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0" yWindow="0" windowWidth="19320" windowHeight="13785" tabRatio="902"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规证" sheetId="84" r:id="rId14"/>
    <sheet name="数据-汇总表" sheetId="6" r:id="rId15"/>
    <sheet name="数据-取费表" sheetId="1" r:id="rId16"/>
    <sheet name="估价对象房地状况" sheetId="20" state="hidden" r:id="rId17"/>
    <sheet name="成本估算表" sheetId="92" r:id="rId18"/>
    <sheet name="预期售价" sheetId="96" r:id="rId19"/>
    <sheet name="系统读取表" sheetId="74" r:id="rId20"/>
    <sheet name="结果表（住宅）" sheetId="9" r:id="rId21"/>
    <sheet name="成本法" sheetId="68" state="hidden" r:id="rId22"/>
    <sheet name="成本法 (元)" sheetId="69" state="hidden" r:id="rId23"/>
    <sheet name="假设开发法" sheetId="12" state="hidden" r:id="rId24"/>
    <sheet name="比较法-住宅" sheetId="21" r:id="rId25"/>
    <sheet name="收益法（住宅）" sheetId="15" r:id="rId26"/>
    <sheet name="收益法（汇总）" sheetId="70" state="hidden" r:id="rId27"/>
    <sheet name="住宅案例" sheetId="86" r:id="rId28"/>
    <sheet name="住宅案例（二手房）" sheetId="78" r:id="rId29"/>
    <sheet name="住宅案例（租金）" sheetId="94" r:id="rId30"/>
    <sheet name="结果表 (商业)" sheetId="80" r:id="rId31"/>
    <sheet name="收益法 (元)" sheetId="67" state="hidden" r:id="rId32"/>
    <sheet name="酒店收入计算" sheetId="66"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比较法-商业" sheetId="33" r:id="rId45"/>
    <sheet name="收益法（商业）" sheetId="77" r:id="rId46"/>
    <sheet name="商业案例" sheetId="98" r:id="rId47"/>
    <sheet name="Sheet16" sheetId="99" r:id="rId48"/>
    <sheet name="结果表 (公寓)" sheetId="83" r:id="rId49"/>
    <sheet name="比较法-公寓" sheetId="82" r:id="rId50"/>
    <sheet name="收益法（公寓）" sheetId="81" r:id="rId51"/>
    <sheet name="典型户型修正" sheetId="31" state="hidden" r:id="rId52"/>
    <sheet name="成本法（废）" sheetId="11" state="hidden" r:id="rId53"/>
    <sheet name="区片价" sheetId="44" state="hidden" r:id="rId54"/>
    <sheet name="因素修正幅度" sheetId="65" state="hidden" r:id="rId55"/>
    <sheet name="存贷款利率" sheetId="73" state="hidden" r:id="rId56"/>
    <sheet name="区片价（范围）" sheetId="75" state="hidden" r:id="rId57"/>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49" hidden="1">'比较法-公寓'!$A$1:$L$49</definedName>
    <definedName name="_xlnm._FilterDatabase" localSheetId="44" hidden="1">'比较法-商业'!$A$1:$L$49</definedName>
    <definedName name="_xlnm._FilterDatabase" localSheetId="24"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31">'收益法 (元)'!$A$1:$AK$69</definedName>
    <definedName name="_xlnm.Print_Area" localSheetId="50">'收益法（公寓）'!$A$1:$AK$69</definedName>
    <definedName name="_xlnm.Print_Area" localSheetId="45">'收益法（商业）'!$A$1:$AK$69</definedName>
    <definedName name="_xlnm.Print_Area" localSheetId="25">'收益法（住宅）'!$A$1:$AK$69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9">'比较法-公寓'!$B$88:$M$88</definedName>
    <definedName name="住宅朝向">'比较法-住宅'!$B$88:$M$88</definedName>
    <definedName name="住宅房型" localSheetId="49">'比较法-公寓'!$B$118:$M$118</definedName>
    <definedName name="住宅房型">'比较法-住宅'!$B$118:$M$118</definedName>
    <definedName name="住宅公共部分装修" localSheetId="49">'比较法-公寓'!$B$109:$M$109</definedName>
    <definedName name="住宅公共部分装修">'比较法-住宅'!$B$109:$M$109</definedName>
    <definedName name="住宅基础设施水平" localSheetId="49">'比较法-公寓'!$B$116:$M$116</definedName>
    <definedName name="住宅基础设施水平">'比较法-住宅'!$B$116:$M$116</definedName>
    <definedName name="住宅建筑结构" localSheetId="49">'比较法-公寓'!$B$105:$M$105</definedName>
    <definedName name="住宅建筑结构">'比较法-住宅'!$B$105:$M$105</definedName>
    <definedName name="住宅建筑类型" localSheetId="49">'比较法-公寓'!$B$100:$M$100</definedName>
    <definedName name="住宅建筑类型">'比较法-住宅'!$B$100:$M$100</definedName>
    <definedName name="住宅建筑品质" localSheetId="49">'比较法-公寓'!$B$107:$M$107</definedName>
    <definedName name="住宅建筑品质">'比较法-住宅'!$B$107:$M$107</definedName>
    <definedName name="住宅交易情况" localSheetId="49">'比较法-公寓'!$A$61:$M$61</definedName>
    <definedName name="住宅交易情况">'比较法-住宅'!$A$61:$M$61</definedName>
    <definedName name="住宅楼层" localSheetId="49">'比较法-公寓'!$B$86:$M$86</definedName>
    <definedName name="住宅楼层">'比较法-住宅'!$B$86:$M$86</definedName>
    <definedName name="住宅内部装修" localSheetId="49">'比较法-公寓'!$B$122:$M$122</definedName>
    <definedName name="住宅内部装修">'比较法-住宅'!$B$122:$M$122</definedName>
    <definedName name="住宅物业管理" localSheetId="49">'比较法-公寓'!$B$114:$M$114</definedName>
    <definedName name="住宅物业管理">'比较法-住宅'!$B$114:$M$114</definedName>
    <definedName name="住宅用途" localSheetId="49">'比较法-公寓'!$B$63:$M$63</definedName>
    <definedName name="住宅用途">'比较法-住宅'!$B$63:$M$63</definedName>
    <definedName name="住宅主力户型面积" localSheetId="49">'比较法-公寓'!$B$120:$M$120</definedName>
    <definedName name="住宅主力户型面积">'比较法-住宅'!$B$120:$M$120</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D36" i="6" l="1"/>
  <c r="E89" i="33" l="1"/>
  <c r="F89" i="33" s="1"/>
  <c r="G89" i="33" s="1"/>
  <c r="D89" i="33"/>
  <c r="C2" i="99"/>
  <c r="I47" i="33"/>
  <c r="G47" i="33"/>
  <c r="E47" i="33"/>
  <c r="V23" i="1"/>
  <c r="Y8" i="1"/>
  <c r="D14" i="80" l="1"/>
  <c r="C14" i="80"/>
  <c r="D14" i="83"/>
  <c r="C14" i="83"/>
  <c r="C33" i="21"/>
  <c r="C27" i="84" l="1"/>
  <c r="A3" i="3"/>
  <c r="AN14" i="3"/>
  <c r="AL14" i="3"/>
  <c r="O13" i="3"/>
  <c r="K13" i="3"/>
  <c r="I13" i="3"/>
  <c r="E24" i="84"/>
  <c r="E23" i="84"/>
  <c r="E18" i="84"/>
  <c r="E17" i="84"/>
  <c r="E4" i="84"/>
  <c r="I47" i="82" l="1"/>
  <c r="G47" i="82"/>
  <c r="E47" i="82"/>
  <c r="G5" i="82"/>
  <c r="B70" i="82"/>
  <c r="F12" i="82"/>
  <c r="AA12" i="82"/>
  <c r="B72" i="82"/>
  <c r="F13" i="82"/>
  <c r="AA13" i="82"/>
  <c r="B74" i="82"/>
  <c r="F14" i="82"/>
  <c r="AA14" i="82"/>
  <c r="C63" i="82"/>
  <c r="F9" i="82"/>
  <c r="AA9" i="82"/>
  <c r="D66" i="82"/>
  <c r="E66" i="82"/>
  <c r="F66" i="82"/>
  <c r="F10" i="82"/>
  <c r="AA10" i="82"/>
  <c r="R47" i="82"/>
  <c r="D125" i="82"/>
  <c r="F43" i="82"/>
  <c r="AA43" i="82"/>
  <c r="F40" i="82"/>
  <c r="AA40" i="82" s="1"/>
  <c r="D117" i="82"/>
  <c r="F39" i="82" s="1"/>
  <c r="F38" i="82"/>
  <c r="AA38" i="82"/>
  <c r="F36" i="82"/>
  <c r="AA36" i="82" s="1"/>
  <c r="F34" i="82"/>
  <c r="AA34" i="82"/>
  <c r="D101" i="82"/>
  <c r="E101" i="82" s="1"/>
  <c r="F32" i="82" s="1"/>
  <c r="D113" i="82"/>
  <c r="E113" i="82"/>
  <c r="F113" i="82"/>
  <c r="G113" i="82"/>
  <c r="F37" i="82"/>
  <c r="AA37" i="82" s="1"/>
  <c r="H12" i="82"/>
  <c r="AB12" i="82"/>
  <c r="H13" i="82"/>
  <c r="AB13" i="82"/>
  <c r="H14" i="82"/>
  <c r="AB14" i="82"/>
  <c r="H9" i="82"/>
  <c r="AB9" i="82"/>
  <c r="H10" i="82"/>
  <c r="AB10" i="82"/>
  <c r="T47" i="82"/>
  <c r="H43" i="82"/>
  <c r="AB43" i="82"/>
  <c r="D119" i="82"/>
  <c r="H40" i="82" s="1"/>
  <c r="AB40" i="82" s="1"/>
  <c r="H38" i="82"/>
  <c r="AB38" i="82"/>
  <c r="H36" i="82"/>
  <c r="AB36" i="82" s="1"/>
  <c r="H34" i="82"/>
  <c r="AB34" i="82" s="1"/>
  <c r="H37" i="82"/>
  <c r="AB37" i="82"/>
  <c r="J12" i="82"/>
  <c r="AC12" i="82"/>
  <c r="J13" i="82"/>
  <c r="AC13" i="82"/>
  <c r="J14" i="82"/>
  <c r="AC14" i="82"/>
  <c r="J9" i="82"/>
  <c r="AC9" i="82"/>
  <c r="J10" i="82"/>
  <c r="AC10" i="82"/>
  <c r="V47" i="82"/>
  <c r="J43" i="82"/>
  <c r="AC43" i="82"/>
  <c r="J38" i="82"/>
  <c r="AC38" i="82"/>
  <c r="J36" i="82"/>
  <c r="AC36" i="82" s="1"/>
  <c r="J34" i="82"/>
  <c r="AC34" i="82" s="1"/>
  <c r="J32" i="82"/>
  <c r="AC32" i="82" s="1"/>
  <c r="J37" i="82"/>
  <c r="AC37" i="82" s="1"/>
  <c r="D123" i="82"/>
  <c r="E123" i="82" s="1"/>
  <c r="B126" i="33"/>
  <c r="F44" i="33"/>
  <c r="AA44" i="33" s="1"/>
  <c r="B128" i="33"/>
  <c r="F45" i="33"/>
  <c r="AA45" i="33"/>
  <c r="B130" i="33"/>
  <c r="F46" i="33"/>
  <c r="AA46" i="33" s="1"/>
  <c r="B94" i="33"/>
  <c r="F29" i="33"/>
  <c r="AA29" i="33"/>
  <c r="B96" i="33"/>
  <c r="F30" i="33"/>
  <c r="AA30" i="33"/>
  <c r="B98" i="33"/>
  <c r="F31" i="33"/>
  <c r="AA31" i="33"/>
  <c r="H44" i="33"/>
  <c r="AB44" i="33"/>
  <c r="H45" i="33"/>
  <c r="AB45" i="33"/>
  <c r="H46" i="33"/>
  <c r="AB46" i="33"/>
  <c r="H29" i="33"/>
  <c r="AB29" i="33"/>
  <c r="H30" i="33"/>
  <c r="AB30" i="33"/>
  <c r="H31" i="33"/>
  <c r="AB31" i="33"/>
  <c r="J44" i="33"/>
  <c r="AC44" i="33"/>
  <c r="J45" i="33"/>
  <c r="AC45" i="33"/>
  <c r="J46" i="33"/>
  <c r="AC46" i="33"/>
  <c r="J29" i="33"/>
  <c r="AC29" i="33"/>
  <c r="J30" i="33"/>
  <c r="AC30" i="33"/>
  <c r="J31" i="33"/>
  <c r="AC31" i="33"/>
  <c r="V24" i="1"/>
  <c r="E93" i="33" s="1"/>
  <c r="D93" i="33"/>
  <c r="T20" i="1"/>
  <c r="E111" i="83"/>
  <c r="H111" i="83"/>
  <c r="D126" i="83" s="1"/>
  <c r="D127" i="83" s="1"/>
  <c r="A126" i="83"/>
  <c r="E109" i="83"/>
  <c r="H109" i="83" s="1"/>
  <c r="A124" i="83"/>
  <c r="E107" i="83"/>
  <c r="D79" i="82"/>
  <c r="F17" i="82" s="1"/>
  <c r="AA17" i="82" s="1"/>
  <c r="H17" i="82"/>
  <c r="AB17" i="82" s="1"/>
  <c r="J17" i="82"/>
  <c r="AC17" i="82" s="1"/>
  <c r="C17" i="83"/>
  <c r="D17" i="83"/>
  <c r="M47" i="81"/>
  <c r="C24" i="83"/>
  <c r="H105" i="83"/>
  <c r="H106" i="83"/>
  <c r="H103" i="83" s="1"/>
  <c r="D120" i="83" s="1"/>
  <c r="A122" i="83"/>
  <c r="A120" i="83"/>
  <c r="H112" i="83"/>
  <c r="H104" i="83"/>
  <c r="D101" i="83"/>
  <c r="C101" i="83"/>
  <c r="D89" i="83"/>
  <c r="C89" i="83"/>
  <c r="C87" i="83" s="1"/>
  <c r="C91" i="83"/>
  <c r="E90" i="83"/>
  <c r="C76" i="83"/>
  <c r="D77" i="83"/>
  <c r="H77" i="83"/>
  <c r="D48" i="83"/>
  <c r="M52" i="83" s="1"/>
  <c r="I55" i="83"/>
  <c r="D59" i="83"/>
  <c r="M55" i="83" s="1"/>
  <c r="J55" i="83"/>
  <c r="F59" i="83"/>
  <c r="O55" i="83" s="1"/>
  <c r="E59" i="83"/>
  <c r="F56" i="83"/>
  <c r="O54" i="83" s="1"/>
  <c r="N55" i="83"/>
  <c r="K55" i="83"/>
  <c r="F55" i="83"/>
  <c r="O53" i="83" s="1"/>
  <c r="N54" i="83"/>
  <c r="N53" i="83"/>
  <c r="F48" i="83"/>
  <c r="O52" i="83"/>
  <c r="E48" i="83"/>
  <c r="N52" i="83"/>
  <c r="K49" i="83"/>
  <c r="F33" i="83"/>
  <c r="D27" i="83"/>
  <c r="C25" i="83"/>
  <c r="L4" i="83"/>
  <c r="K4" i="83"/>
  <c r="H1" i="83"/>
  <c r="J140" i="82"/>
  <c r="K145" i="82" s="1"/>
  <c r="C145" i="82"/>
  <c r="K139" i="82"/>
  <c r="K144" i="82"/>
  <c r="J142" i="82"/>
  <c r="B130" i="82"/>
  <c r="B128" i="82"/>
  <c r="B126" i="82"/>
  <c r="E125" i="82"/>
  <c r="F125" i="82"/>
  <c r="G125" i="82" s="1"/>
  <c r="D115" i="82"/>
  <c r="E115" i="82" s="1"/>
  <c r="F115" i="82" s="1"/>
  <c r="G115" i="82" s="1"/>
  <c r="H115" i="82" s="1"/>
  <c r="I115" i="82" s="1"/>
  <c r="J115" i="82" s="1"/>
  <c r="K115" i="82" s="1"/>
  <c r="L115" i="82" s="1"/>
  <c r="M115" i="82" s="1"/>
  <c r="H113" i="82"/>
  <c r="H111" i="82"/>
  <c r="G111" i="82"/>
  <c r="F111" i="82"/>
  <c r="E111" i="82"/>
  <c r="D111" i="82"/>
  <c r="C111" i="82"/>
  <c r="D110" i="82"/>
  <c r="E110" i="82" s="1"/>
  <c r="F110" i="82" s="1"/>
  <c r="G110" i="82" s="1"/>
  <c r="H110" i="82" s="1"/>
  <c r="I110" i="82" s="1"/>
  <c r="J110" i="82" s="1"/>
  <c r="K110" i="82" s="1"/>
  <c r="L110" i="82" s="1"/>
  <c r="M110" i="82" s="1"/>
  <c r="D108" i="82"/>
  <c r="E108" i="82" s="1"/>
  <c r="F108" i="82" s="1"/>
  <c r="G108" i="82" s="1"/>
  <c r="H108" i="82" s="1"/>
  <c r="I108" i="82" s="1"/>
  <c r="J108" i="82" s="1"/>
  <c r="K108" i="82" s="1"/>
  <c r="L108" i="82" s="1"/>
  <c r="M108" i="82" s="1"/>
  <c r="D106" i="82"/>
  <c r="E106" i="82"/>
  <c r="F106" i="82" s="1"/>
  <c r="G106" i="82" s="1"/>
  <c r="H106" i="82" s="1"/>
  <c r="I106" i="82" s="1"/>
  <c r="J106" i="82" s="1"/>
  <c r="K106" i="82" s="1"/>
  <c r="L106" i="82" s="1"/>
  <c r="M106" i="82" s="1"/>
  <c r="M102" i="82"/>
  <c r="L102" i="82"/>
  <c r="K102" i="82"/>
  <c r="J102" i="82"/>
  <c r="I102" i="82"/>
  <c r="H102" i="82"/>
  <c r="G102" i="82"/>
  <c r="F102" i="82"/>
  <c r="E102" i="82"/>
  <c r="D102" i="82"/>
  <c r="C102" i="82"/>
  <c r="B98" i="82"/>
  <c r="B96" i="82"/>
  <c r="B94" i="82"/>
  <c r="B92" i="82"/>
  <c r="B90" i="82"/>
  <c r="D89" i="82"/>
  <c r="E89" i="82"/>
  <c r="F89" i="82" s="1"/>
  <c r="G89" i="82" s="1"/>
  <c r="H89" i="82" s="1"/>
  <c r="I89" i="82" s="1"/>
  <c r="J89" i="82" s="1"/>
  <c r="K89" i="82" s="1"/>
  <c r="L89" i="82" s="1"/>
  <c r="M89" i="82" s="1"/>
  <c r="M87" i="82"/>
  <c r="L87" i="82"/>
  <c r="K87" i="82"/>
  <c r="J87" i="82"/>
  <c r="I87" i="82"/>
  <c r="H87" i="82"/>
  <c r="G87" i="82"/>
  <c r="F87" i="82"/>
  <c r="E87" i="82"/>
  <c r="D87" i="82"/>
  <c r="D85" i="82"/>
  <c r="E85" i="82"/>
  <c r="F85" i="82" s="1"/>
  <c r="G85" i="82" s="1"/>
  <c r="D83" i="82"/>
  <c r="E83" i="82"/>
  <c r="F83" i="82" s="1"/>
  <c r="G83" i="82" s="1"/>
  <c r="D81" i="82"/>
  <c r="E81" i="82"/>
  <c r="F81" i="82" s="1"/>
  <c r="G81" i="82" s="1"/>
  <c r="E79" i="82"/>
  <c r="F79" i="82"/>
  <c r="G79" i="82" s="1"/>
  <c r="D77" i="82"/>
  <c r="E77" i="82" s="1"/>
  <c r="F77" i="82" s="1"/>
  <c r="G77" i="82" s="1"/>
  <c r="D69" i="82"/>
  <c r="E69" i="82" s="1"/>
  <c r="F69" i="82" s="1"/>
  <c r="G69" i="82" s="1"/>
  <c r="H69" i="82" s="1"/>
  <c r="I69" i="82" s="1"/>
  <c r="J69" i="82" s="1"/>
  <c r="K69" i="82" s="1"/>
  <c r="L69" i="82" s="1"/>
  <c r="M69" i="82" s="1"/>
  <c r="M67" i="82"/>
  <c r="L67" i="82"/>
  <c r="K67" i="82"/>
  <c r="J67" i="82"/>
  <c r="I67" i="82"/>
  <c r="H67" i="82"/>
  <c r="G67" i="82"/>
  <c r="F67" i="82"/>
  <c r="E67" i="82"/>
  <c r="D67" i="82"/>
  <c r="C67" i="82"/>
  <c r="G66" i="82"/>
  <c r="H66" i="82"/>
  <c r="I66" i="82" s="1"/>
  <c r="I54" i="82"/>
  <c r="J54" i="82" s="1"/>
  <c r="G54" i="82"/>
  <c r="H54" i="82" s="1"/>
  <c r="E54" i="82"/>
  <c r="F54" i="82" s="1"/>
  <c r="I7" i="82"/>
  <c r="J8" i="82"/>
  <c r="AC8" i="82"/>
  <c r="J11" i="82"/>
  <c r="AC11" i="82"/>
  <c r="J15" i="82"/>
  <c r="AC15" i="82" s="1"/>
  <c r="J19" i="82"/>
  <c r="AC19" i="82" s="1"/>
  <c r="J21" i="82"/>
  <c r="AC21" i="82" s="1"/>
  <c r="J23" i="82"/>
  <c r="AC23" i="82" s="1"/>
  <c r="J25" i="82"/>
  <c r="AC25" i="82" s="1"/>
  <c r="J26" i="82"/>
  <c r="AC26" i="82" s="1"/>
  <c r="J33" i="82"/>
  <c r="AC33" i="82" s="1"/>
  <c r="J41" i="82"/>
  <c r="AC41" i="82" s="1"/>
  <c r="J44" i="82"/>
  <c r="AC44" i="82" s="1"/>
  <c r="J45" i="82"/>
  <c r="AC45" i="82" s="1"/>
  <c r="J46" i="82"/>
  <c r="AC46" i="82" s="1"/>
  <c r="F8" i="82"/>
  <c r="AA8" i="82" s="1"/>
  <c r="F11" i="82"/>
  <c r="AA11" i="82" s="1"/>
  <c r="F15" i="82"/>
  <c r="AA15" i="82" s="1"/>
  <c r="F19" i="82"/>
  <c r="AA19" i="82" s="1"/>
  <c r="F21" i="82"/>
  <c r="AA21" i="82" s="1"/>
  <c r="F23" i="82"/>
  <c r="AA23" i="82" s="1"/>
  <c r="F25" i="82"/>
  <c r="AA25" i="82" s="1"/>
  <c r="F26" i="82"/>
  <c r="AA26" i="82" s="1"/>
  <c r="F33" i="82"/>
  <c r="AA33" i="82" s="1"/>
  <c r="F41" i="82"/>
  <c r="AA41" i="82" s="1"/>
  <c r="F44" i="82"/>
  <c r="AA44" i="82"/>
  <c r="F45" i="82"/>
  <c r="AA45" i="82"/>
  <c r="F46" i="82"/>
  <c r="AA46" i="82"/>
  <c r="G7" i="82"/>
  <c r="H8" i="82"/>
  <c r="AB8" i="82"/>
  <c r="H11" i="82"/>
  <c r="AB11" i="82"/>
  <c r="H15" i="82"/>
  <c r="AB15" i="82" s="1"/>
  <c r="H19" i="82"/>
  <c r="AB19" i="82" s="1"/>
  <c r="H21" i="82"/>
  <c r="AB21" i="82" s="1"/>
  <c r="H23" i="82"/>
  <c r="AB23" i="82" s="1"/>
  <c r="H25" i="82"/>
  <c r="AB25" i="82" s="1"/>
  <c r="H26" i="82"/>
  <c r="AB26" i="82" s="1"/>
  <c r="H33" i="82"/>
  <c r="AB33" i="82" s="1"/>
  <c r="H41" i="82"/>
  <c r="AB41" i="82" s="1"/>
  <c r="H44" i="82"/>
  <c r="AB44" i="82" s="1"/>
  <c r="H45" i="82"/>
  <c r="AB45" i="82" s="1"/>
  <c r="H46" i="82"/>
  <c r="AB46" i="82" s="1"/>
  <c r="P49" i="82"/>
  <c r="P48" i="82"/>
  <c r="P47" i="82"/>
  <c r="Q46" i="82"/>
  <c r="Z46" i="82"/>
  <c r="W46" i="82"/>
  <c r="U46" i="82"/>
  <c r="S46" i="82"/>
  <c r="Q45" i="82"/>
  <c r="Z45" i="82" s="1"/>
  <c r="W45" i="82"/>
  <c r="S45" i="82"/>
  <c r="Q44" i="82"/>
  <c r="Z44" i="82"/>
  <c r="W44" i="82"/>
  <c r="U44" i="82"/>
  <c r="S44" i="82"/>
  <c r="Q43" i="82"/>
  <c r="Z43" i="82" s="1"/>
  <c r="W43" i="82"/>
  <c r="U43" i="82"/>
  <c r="S43" i="82"/>
  <c r="Q42" i="82"/>
  <c r="Z42" i="82"/>
  <c r="Q41" i="82"/>
  <c r="Z41" i="82" s="1"/>
  <c r="W41" i="82"/>
  <c r="Q40" i="82"/>
  <c r="Z40" i="82"/>
  <c r="S40" i="82"/>
  <c r="Q39" i="82"/>
  <c r="Z39" i="82" s="1"/>
  <c r="Q38" i="82"/>
  <c r="Z38" i="82"/>
  <c r="W38" i="82"/>
  <c r="U38" i="82"/>
  <c r="S38" i="82"/>
  <c r="Q37" i="82"/>
  <c r="Z37" i="82" s="1"/>
  <c r="W37" i="82"/>
  <c r="U37" i="82"/>
  <c r="S37" i="82"/>
  <c r="Q36" i="82"/>
  <c r="Z36" i="82"/>
  <c r="W36" i="82"/>
  <c r="S36" i="82"/>
  <c r="Q35" i="82"/>
  <c r="Z35" i="82" s="1"/>
  <c r="Q34" i="82"/>
  <c r="Z34" i="82"/>
  <c r="W34" i="82"/>
  <c r="U34" i="82"/>
  <c r="S34" i="82"/>
  <c r="Q33" i="82"/>
  <c r="Z33" i="82" s="1"/>
  <c r="W33" i="82"/>
  <c r="S33" i="82"/>
  <c r="Q32" i="82"/>
  <c r="Z32" i="82"/>
  <c r="Q31" i="82"/>
  <c r="Z31" i="82" s="1"/>
  <c r="Q30" i="82"/>
  <c r="Z30" i="82"/>
  <c r="Q29" i="82"/>
  <c r="Z29" i="82" s="1"/>
  <c r="Q28" i="82"/>
  <c r="Z28" i="82"/>
  <c r="Q27" i="82"/>
  <c r="Z27" i="82" s="1"/>
  <c r="Q26" i="82"/>
  <c r="Z26" i="82" s="1"/>
  <c r="W26" i="82"/>
  <c r="S26" i="82"/>
  <c r="Q25" i="82"/>
  <c r="Z25" i="82" s="1"/>
  <c r="W25" i="82"/>
  <c r="S25" i="82"/>
  <c r="Q23" i="82"/>
  <c r="Z23" i="82"/>
  <c r="W23" i="82"/>
  <c r="C23" i="82"/>
  <c r="Q21" i="82"/>
  <c r="Z21" i="82"/>
  <c r="W21" i="82"/>
  <c r="U21" i="82"/>
  <c r="S21" i="82"/>
  <c r="C21" i="82"/>
  <c r="Q19" i="82"/>
  <c r="Z19" i="82"/>
  <c r="W19" i="82"/>
  <c r="C19" i="82"/>
  <c r="Q17" i="82"/>
  <c r="Z17" i="82"/>
  <c r="W17" i="82"/>
  <c r="S17" i="82"/>
  <c r="C17" i="82"/>
  <c r="Q15" i="82"/>
  <c r="Z15" i="82"/>
  <c r="C15" i="82"/>
  <c r="Q14" i="82"/>
  <c r="Z14" i="82"/>
  <c r="W14" i="82"/>
  <c r="U14" i="82"/>
  <c r="S14" i="82"/>
  <c r="Q13" i="82"/>
  <c r="Z13" i="82" s="1"/>
  <c r="W13" i="82"/>
  <c r="U13" i="82"/>
  <c r="S13" i="82"/>
  <c r="Q12" i="82"/>
  <c r="Z12" i="82"/>
  <c r="W12" i="82"/>
  <c r="U12" i="82"/>
  <c r="S12" i="82"/>
  <c r="Q11" i="82"/>
  <c r="Z11" i="82" s="1"/>
  <c r="W11" i="82"/>
  <c r="U11" i="82"/>
  <c r="S11" i="82"/>
  <c r="Q10" i="82"/>
  <c r="Z10" i="82"/>
  <c r="W10" i="82"/>
  <c r="U10" i="82"/>
  <c r="S10" i="82"/>
  <c r="Q9" i="82"/>
  <c r="Z9" i="82" s="1"/>
  <c r="W9" i="82"/>
  <c r="U9" i="82"/>
  <c r="S9" i="82"/>
  <c r="W8" i="82"/>
  <c r="U8" i="82"/>
  <c r="S8" i="82"/>
  <c r="F15" i="81"/>
  <c r="F17" i="81"/>
  <c r="F18" i="81"/>
  <c r="F20" i="81"/>
  <c r="F23" i="81"/>
  <c r="D24" i="81" s="1"/>
  <c r="F21" i="81"/>
  <c r="F33" i="81"/>
  <c r="J50" i="81"/>
  <c r="K59" i="81"/>
  <c r="P74" i="81" s="1"/>
  <c r="Q72" i="81"/>
  <c r="F61" i="81"/>
  <c r="Q59" i="81"/>
  <c r="F59" i="81"/>
  <c r="Q58" i="81"/>
  <c r="Q51" i="81"/>
  <c r="D46" i="81"/>
  <c r="F31" i="81"/>
  <c r="M19" i="81"/>
  <c r="D23" i="81"/>
  <c r="M17" i="81"/>
  <c r="G7" i="33"/>
  <c r="I7" i="33" s="1"/>
  <c r="E111" i="80"/>
  <c r="H111" i="80"/>
  <c r="D126" i="80" s="1"/>
  <c r="D127" i="80" s="1"/>
  <c r="A126" i="80"/>
  <c r="E109" i="80"/>
  <c r="H109" i="80" s="1"/>
  <c r="A124" i="80"/>
  <c r="E107" i="80"/>
  <c r="R47" i="33"/>
  <c r="F8" i="33"/>
  <c r="AA8" i="33" s="1"/>
  <c r="C63" i="33"/>
  <c r="F9" i="33" s="1"/>
  <c r="AA9" i="33" s="1"/>
  <c r="F10" i="33"/>
  <c r="AA10" i="33"/>
  <c r="B70" i="33"/>
  <c r="F12" i="33"/>
  <c r="AA12" i="33" s="1"/>
  <c r="B72" i="33"/>
  <c r="F13" i="33" s="1"/>
  <c r="AA13" i="33" s="1"/>
  <c r="B74" i="33"/>
  <c r="F14" i="33"/>
  <c r="AA14" i="33" s="1"/>
  <c r="D77" i="33"/>
  <c r="E77" i="33" s="1"/>
  <c r="D79" i="33"/>
  <c r="F17" i="33" s="1"/>
  <c r="AA17" i="33" s="1"/>
  <c r="D83" i="33"/>
  <c r="F21" i="33"/>
  <c r="AA21" i="33" s="1"/>
  <c r="D85" i="33"/>
  <c r="F23" i="33" s="1"/>
  <c r="AA23" i="33" s="1"/>
  <c r="F34" i="33"/>
  <c r="AA34" i="33"/>
  <c r="F35" i="33"/>
  <c r="AA35" i="33"/>
  <c r="F37" i="33"/>
  <c r="AA37" i="33"/>
  <c r="F38" i="33"/>
  <c r="AA38" i="33"/>
  <c r="D123" i="33"/>
  <c r="E123" i="33" s="1"/>
  <c r="D125" i="33"/>
  <c r="F43" i="33"/>
  <c r="AA43" i="33" s="1"/>
  <c r="H8" i="33"/>
  <c r="AB8" i="33" s="1"/>
  <c r="T47" i="33"/>
  <c r="H10" i="33"/>
  <c r="AB10" i="33"/>
  <c r="H12" i="33"/>
  <c r="AB12" i="33"/>
  <c r="H14" i="33"/>
  <c r="AB14" i="33"/>
  <c r="H21" i="33"/>
  <c r="AB21" i="33"/>
  <c r="H34" i="33"/>
  <c r="AB34" i="33"/>
  <c r="H35" i="33"/>
  <c r="AB35" i="33"/>
  <c r="H37" i="33"/>
  <c r="AB37" i="33"/>
  <c r="H38" i="33"/>
  <c r="AB38" i="33"/>
  <c r="H43" i="33"/>
  <c r="AB43" i="33" s="1"/>
  <c r="J8" i="33"/>
  <c r="AC8" i="33" s="1"/>
  <c r="J9" i="33"/>
  <c r="AC9" i="33" s="1"/>
  <c r="J10" i="33"/>
  <c r="AC10" i="33" s="1"/>
  <c r="J12" i="33"/>
  <c r="AC12" i="33" s="1"/>
  <c r="J13" i="33"/>
  <c r="AC13" i="33" s="1"/>
  <c r="J14" i="33"/>
  <c r="AC14" i="33" s="1"/>
  <c r="E79" i="33"/>
  <c r="J17" i="33" s="1"/>
  <c r="AC17" i="33" s="1"/>
  <c r="J21" i="33"/>
  <c r="AC21" i="33"/>
  <c r="J23" i="33"/>
  <c r="AC23" i="33"/>
  <c r="J34" i="33"/>
  <c r="AC34" i="33"/>
  <c r="J35" i="33"/>
  <c r="AC35" i="33" s="1"/>
  <c r="J37" i="33"/>
  <c r="AC37" i="33" s="1"/>
  <c r="J38" i="33"/>
  <c r="AC38" i="33" s="1"/>
  <c r="J43" i="33"/>
  <c r="AC43" i="33" s="1"/>
  <c r="V47" i="33"/>
  <c r="C17" i="80"/>
  <c r="D17" i="80"/>
  <c r="C18" i="80"/>
  <c r="D18" i="80" s="1"/>
  <c r="C24" i="80"/>
  <c r="H105" i="80"/>
  <c r="H106" i="80"/>
  <c r="H103" i="80" s="1"/>
  <c r="D120" i="80" s="1"/>
  <c r="A122" i="80"/>
  <c r="A120" i="80"/>
  <c r="H112" i="80"/>
  <c r="H104" i="80"/>
  <c r="D101" i="80"/>
  <c r="C101" i="80"/>
  <c r="D89" i="80"/>
  <c r="C89" i="80" s="1"/>
  <c r="C87" i="80" s="1"/>
  <c r="C91" i="80"/>
  <c r="E90" i="80"/>
  <c r="C76" i="80"/>
  <c r="D77" i="80"/>
  <c r="H77" i="80"/>
  <c r="D48" i="80"/>
  <c r="M52" i="80"/>
  <c r="I55" i="80"/>
  <c r="D59" i="80"/>
  <c r="M55" i="80"/>
  <c r="J55" i="80"/>
  <c r="F59" i="80"/>
  <c r="E59" i="80"/>
  <c r="N55" i="80" s="1"/>
  <c r="F56" i="80"/>
  <c r="O55" i="80"/>
  <c r="K55" i="80"/>
  <c r="F55" i="80"/>
  <c r="O54" i="80"/>
  <c r="N54" i="80"/>
  <c r="O53" i="80"/>
  <c r="N53" i="80"/>
  <c r="F48" i="80"/>
  <c r="O52" i="80" s="1"/>
  <c r="E48" i="80"/>
  <c r="N52" i="80" s="1"/>
  <c r="K49" i="80"/>
  <c r="F33" i="80"/>
  <c r="D27" i="80"/>
  <c r="C25" i="80"/>
  <c r="L4" i="80"/>
  <c r="K4" i="80"/>
  <c r="H1" i="80"/>
  <c r="I7" i="21"/>
  <c r="BE13" i="3"/>
  <c r="BC13" i="3"/>
  <c r="F20" i="6"/>
  <c r="E20" i="6" s="1"/>
  <c r="F22" i="6"/>
  <c r="E22" i="6" s="1"/>
  <c r="F15" i="77"/>
  <c r="F17" i="77"/>
  <c r="F18" i="77"/>
  <c r="F20" i="77"/>
  <c r="F23" i="77"/>
  <c r="F21" i="77"/>
  <c r="F33" i="77"/>
  <c r="F61" i="77" s="1"/>
  <c r="H13" i="3"/>
  <c r="L20" i="6"/>
  <c r="M47" i="77"/>
  <c r="J50" i="77"/>
  <c r="K59" i="77"/>
  <c r="Q72" i="77"/>
  <c r="Q59" i="77"/>
  <c r="F59" i="77"/>
  <c r="Q58" i="77"/>
  <c r="Q51" i="77"/>
  <c r="D46" i="77"/>
  <c r="F31" i="77"/>
  <c r="M19" i="77"/>
  <c r="D24" i="77"/>
  <c r="D23" i="77"/>
  <c r="D22" i="77"/>
  <c r="M17" i="77"/>
  <c r="Y7" i="1"/>
  <c r="Y9" i="1"/>
  <c r="Y6" i="1"/>
  <c r="F21" i="6"/>
  <c r="F19" i="6"/>
  <c r="B5" i="4"/>
  <c r="B7" i="4"/>
  <c r="D3" i="4"/>
  <c r="AD5" i="71"/>
  <c r="AH5" i="71"/>
  <c r="AG5" i="71"/>
  <c r="AE5" i="71"/>
  <c r="AF5" i="71" s="1"/>
  <c r="Q5" i="71"/>
  <c r="P5" i="71"/>
  <c r="O5" i="71"/>
  <c r="N5" i="71"/>
  <c r="G2" i="43"/>
  <c r="I17" i="43"/>
  <c r="G20" i="43"/>
  <c r="E41" i="43"/>
  <c r="C41" i="43" s="1"/>
  <c r="L3" i="71"/>
  <c r="AH3" i="71" s="1"/>
  <c r="K3" i="71"/>
  <c r="J3" i="71"/>
  <c r="AE3" i="71"/>
  <c r="I3" i="71"/>
  <c r="AH6" i="71"/>
  <c r="AG6" i="71"/>
  <c r="AE6" i="71"/>
  <c r="AF6" i="71" s="1"/>
  <c r="AD6" i="71"/>
  <c r="Q6" i="71"/>
  <c r="Q7" i="71"/>
  <c r="Q8" i="71"/>
  <c r="Q9" i="71"/>
  <c r="F9" i="71" s="1"/>
  <c r="Q10" i="71"/>
  <c r="Q11" i="71"/>
  <c r="Q12" i="71"/>
  <c r="Q13" i="71"/>
  <c r="Q14" i="71"/>
  <c r="Q15" i="71"/>
  <c r="Q16" i="71"/>
  <c r="Q17" i="71"/>
  <c r="Q18" i="71"/>
  <c r="Q19" i="71"/>
  <c r="Q20" i="71"/>
  <c r="Q21" i="71"/>
  <c r="Q22" i="71"/>
  <c r="Q23" i="71"/>
  <c r="Q24" i="71"/>
  <c r="AB5" i="71"/>
  <c r="P6" i="71"/>
  <c r="P7" i="71"/>
  <c r="P8" i="71"/>
  <c r="P9" i="71"/>
  <c r="P10" i="71"/>
  <c r="P11" i="71"/>
  <c r="P12" i="71"/>
  <c r="P13" i="71"/>
  <c r="P14" i="71"/>
  <c r="P15" i="71"/>
  <c r="P16" i="71"/>
  <c r="P17" i="71"/>
  <c r="P18" i="71"/>
  <c r="P19" i="71"/>
  <c r="P20" i="71"/>
  <c r="P21" i="71"/>
  <c r="P22" i="71"/>
  <c r="P23" i="71"/>
  <c r="P24" i="71"/>
  <c r="AA6" i="71"/>
  <c r="O6" i="71"/>
  <c r="O7" i="71"/>
  <c r="O8" i="71"/>
  <c r="O9" i="71"/>
  <c r="C9" i="71" s="1"/>
  <c r="O10" i="71"/>
  <c r="O11" i="71"/>
  <c r="O12" i="71"/>
  <c r="O13" i="71"/>
  <c r="O14" i="71"/>
  <c r="O15" i="71"/>
  <c r="O16" i="71"/>
  <c r="O17" i="71"/>
  <c r="O18" i="71"/>
  <c r="O19" i="71"/>
  <c r="O20" i="71"/>
  <c r="O21" i="71"/>
  <c r="O22" i="71"/>
  <c r="O23" i="71"/>
  <c r="O24" i="71"/>
  <c r="Y6" i="71"/>
  <c r="Z6" i="71" s="1"/>
  <c r="N6" i="71"/>
  <c r="N7" i="71"/>
  <c r="N8" i="71"/>
  <c r="N9" i="71"/>
  <c r="N10" i="71"/>
  <c r="N11" i="71"/>
  <c r="N12" i="71"/>
  <c r="N13" i="71"/>
  <c r="N14" i="71"/>
  <c r="N15" i="71"/>
  <c r="N16" i="71"/>
  <c r="N17" i="71"/>
  <c r="N18" i="71"/>
  <c r="N19" i="71"/>
  <c r="N20" i="71"/>
  <c r="N21" i="71"/>
  <c r="N22" i="71"/>
  <c r="N23" i="71"/>
  <c r="N24" i="71"/>
  <c r="X6" i="71"/>
  <c r="F8" i="71"/>
  <c r="F7" i="71" s="1"/>
  <c r="E9" i="71"/>
  <c r="E8" i="71" s="1"/>
  <c r="E7" i="71" s="1"/>
  <c r="C8" i="71"/>
  <c r="C7" i="71" s="1"/>
  <c r="D7" i="71" s="1"/>
  <c r="B9" i="71"/>
  <c r="B8" i="71" s="1"/>
  <c r="B7" i="71"/>
  <c r="B6" i="71" s="1"/>
  <c r="B5" i="71" s="1"/>
  <c r="AH7" i="71"/>
  <c r="AG7" i="71"/>
  <c r="AE7" i="71"/>
  <c r="AF7" i="71" s="1"/>
  <c r="AD7" i="71"/>
  <c r="AA7" i="71"/>
  <c r="D8" i="71"/>
  <c r="M19" i="43"/>
  <c r="J20" i="43"/>
  <c r="I20" i="43"/>
  <c r="C20" i="43"/>
  <c r="M47" i="67"/>
  <c r="J53" i="67"/>
  <c r="M47" i="15"/>
  <c r="J50" i="15"/>
  <c r="D10" i="71"/>
  <c r="AH8" i="71"/>
  <c r="AG8" i="71"/>
  <c r="AE8" i="71"/>
  <c r="AF8" i="71" s="1"/>
  <c r="AD8" i="71"/>
  <c r="BB13" i="3"/>
  <c r="BD13" i="3"/>
  <c r="BF13" i="3"/>
  <c r="BG13" i="3"/>
  <c r="BH13" i="3"/>
  <c r="BI13" i="3"/>
  <c r="BJ13" i="3"/>
  <c r="BK13" i="3"/>
  <c r="BM13" i="3"/>
  <c r="BN13" i="3"/>
  <c r="BO13" i="3"/>
  <c r="BP13" i="3"/>
  <c r="BQ13" i="3"/>
  <c r="BR13" i="3"/>
  <c r="BS13" i="3"/>
  <c r="BT13" i="3"/>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O192" i="3"/>
  <c r="BP192" i="3"/>
  <c r="BQ192" i="3"/>
  <c r="BR192" i="3"/>
  <c r="BS192" i="3"/>
  <c r="BT192" i="3"/>
  <c r="BB193" i="3"/>
  <c r="BC193" i="3"/>
  <c r="BA193" i="3" s="1"/>
  <c r="AZ193" i="3" s="1"/>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s="1"/>
  <c r="AZ194" i="3" s="1"/>
  <c r="BO194" i="3"/>
  <c r="BP194" i="3"/>
  <c r="BQ194" i="3"/>
  <c r="BR194" i="3"/>
  <c r="BS194" i="3"/>
  <c r="BT194" i="3"/>
  <c r="BB195" i="3"/>
  <c r="BC195" i="3"/>
  <c r="BA195" i="3" s="1"/>
  <c r="AZ195" i="3" s="1"/>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s="1"/>
  <c r="AZ196" i="3" s="1"/>
  <c r="BO196" i="3"/>
  <c r="BP196" i="3"/>
  <c r="BQ196" i="3"/>
  <c r="BR196" i="3"/>
  <c r="BS196" i="3"/>
  <c r="BT196" i="3"/>
  <c r="BB197" i="3"/>
  <c r="BC197" i="3"/>
  <c r="BA197" i="3" s="1"/>
  <c r="AZ197" i="3" s="1"/>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L198" i="3" s="1"/>
  <c r="AZ198" i="3" s="1"/>
  <c r="BO198" i="3"/>
  <c r="BP198" i="3"/>
  <c r="BQ198" i="3"/>
  <c r="BR198" i="3"/>
  <c r="BS198" i="3"/>
  <c r="BT198" i="3"/>
  <c r="BB199" i="3"/>
  <c r="BC199" i="3"/>
  <c r="BA199" i="3" s="1"/>
  <c r="AZ199" i="3" s="1"/>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L200" i="3" s="1"/>
  <c r="AZ200" i="3" s="1"/>
  <c r="BO200" i="3"/>
  <c r="BP200" i="3"/>
  <c r="BQ200" i="3"/>
  <c r="BR200" i="3"/>
  <c r="BS200" i="3"/>
  <c r="BT200" i="3"/>
  <c r="BB201" i="3"/>
  <c r="BC201" i="3"/>
  <c r="BA201" i="3" s="1"/>
  <c r="AZ201" i="3" s="1"/>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L202" i="3" s="1"/>
  <c r="AZ202" i="3" s="1"/>
  <c r="BO202" i="3"/>
  <c r="BP202" i="3"/>
  <c r="BQ202" i="3"/>
  <c r="BR202" i="3"/>
  <c r="BS202" i="3"/>
  <c r="BT202" i="3"/>
  <c r="BB203" i="3"/>
  <c r="BC203" i="3"/>
  <c r="BA203" i="3" s="1"/>
  <c r="AZ203" i="3" s="1"/>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L204" i="3" s="1"/>
  <c r="AZ204" i="3" s="1"/>
  <c r="BO204" i="3"/>
  <c r="BP204" i="3"/>
  <c r="BQ204" i="3"/>
  <c r="BR204" i="3"/>
  <c r="BS204" i="3"/>
  <c r="BT204" i="3"/>
  <c r="BB205" i="3"/>
  <c r="BC205" i="3"/>
  <c r="BA205" i="3" s="1"/>
  <c r="AZ205" i="3" s="1"/>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L206" i="3" s="1"/>
  <c r="AZ206" i="3" s="1"/>
  <c r="BO206" i="3"/>
  <c r="BP206" i="3"/>
  <c r="BQ206" i="3"/>
  <c r="BR206" i="3"/>
  <c r="BS206" i="3"/>
  <c r="BT206" i="3"/>
  <c r="BB207" i="3"/>
  <c r="BC207" i="3"/>
  <c r="BA207" i="3" s="1"/>
  <c r="AZ207" i="3" s="1"/>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L208" i="3" s="1"/>
  <c r="AZ208" i="3" s="1"/>
  <c r="BO208" i="3"/>
  <c r="BP208" i="3"/>
  <c r="BQ208" i="3"/>
  <c r="BR208" i="3"/>
  <c r="BS208" i="3"/>
  <c r="BT208" i="3"/>
  <c r="BB209" i="3"/>
  <c r="BC209" i="3"/>
  <c r="BA209" i="3" s="1"/>
  <c r="AZ209" i="3" s="1"/>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L210" i="3" s="1"/>
  <c r="AZ210" i="3" s="1"/>
  <c r="BO210" i="3"/>
  <c r="BP210" i="3"/>
  <c r="BQ210" i="3"/>
  <c r="BR210" i="3"/>
  <c r="BS210" i="3"/>
  <c r="BT210" i="3"/>
  <c r="BB211" i="3"/>
  <c r="BC211" i="3"/>
  <c r="BA211" i="3" s="1"/>
  <c r="AZ211" i="3" s="1"/>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L212" i="3" s="1"/>
  <c r="AZ212" i="3" s="1"/>
  <c r="BO212" i="3"/>
  <c r="BP212" i="3"/>
  <c r="BQ212" i="3"/>
  <c r="BR212" i="3"/>
  <c r="BS212" i="3"/>
  <c r="BT212" i="3"/>
  <c r="BB213" i="3"/>
  <c r="BC213" i="3"/>
  <c r="BA213" i="3" s="1"/>
  <c r="AZ213" i="3" s="1"/>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L214" i="3" s="1"/>
  <c r="AZ214" i="3" s="1"/>
  <c r="BO214" i="3"/>
  <c r="BP214" i="3"/>
  <c r="BQ214" i="3"/>
  <c r="BR214" i="3"/>
  <c r="BS214" i="3"/>
  <c r="BT214" i="3"/>
  <c r="BB215" i="3"/>
  <c r="BC215" i="3"/>
  <c r="BA215" i="3" s="1"/>
  <c r="AZ215" i="3" s="1"/>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L216" i="3" s="1"/>
  <c r="AZ216" i="3" s="1"/>
  <c r="BO216" i="3"/>
  <c r="BP216" i="3"/>
  <c r="BQ216" i="3"/>
  <c r="BR216" i="3"/>
  <c r="BS216" i="3"/>
  <c r="BT216" i="3"/>
  <c r="BB217" i="3"/>
  <c r="BC217" i="3"/>
  <c r="BA217" i="3" s="1"/>
  <c r="AZ217" i="3" s="1"/>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L218" i="3" s="1"/>
  <c r="AZ218" i="3" s="1"/>
  <c r="BO218" i="3"/>
  <c r="BP218" i="3"/>
  <c r="BQ218" i="3"/>
  <c r="BR218" i="3"/>
  <c r="BS218" i="3"/>
  <c r="BT218" i="3"/>
  <c r="BB219" i="3"/>
  <c r="BC219" i="3"/>
  <c r="BA219" i="3" s="1"/>
  <c r="AZ219" i="3" s="1"/>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s="1"/>
  <c r="AZ220" i="3" s="1"/>
  <c r="BO220" i="3"/>
  <c r="BP220" i="3"/>
  <c r="BQ220" i="3"/>
  <c r="BR220" i="3"/>
  <c r="BS220" i="3"/>
  <c r="BT220" i="3"/>
  <c r="BB221" i="3"/>
  <c r="BC221" i="3"/>
  <c r="BA221" i="3" s="1"/>
  <c r="AZ221" i="3" s="1"/>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s="1"/>
  <c r="AZ222" i="3" s="1"/>
  <c r="BO222" i="3"/>
  <c r="BP222" i="3"/>
  <c r="BQ222" i="3"/>
  <c r="BR222" i="3"/>
  <c r="BS222" i="3"/>
  <c r="BT222" i="3"/>
  <c r="BB223" i="3"/>
  <c r="BC223" i="3"/>
  <c r="BA223" i="3" s="1"/>
  <c r="AZ223" i="3" s="1"/>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L224" i="3" s="1"/>
  <c r="AZ224" i="3" s="1"/>
  <c r="BO224" i="3"/>
  <c r="BP224" i="3"/>
  <c r="BQ224" i="3"/>
  <c r="BR224" i="3"/>
  <c r="BS224" i="3"/>
  <c r="BT224" i="3"/>
  <c r="BB225" i="3"/>
  <c r="BC225" i="3"/>
  <c r="BA225" i="3" s="1"/>
  <c r="AZ225" i="3" s="1"/>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L226" i="3" s="1"/>
  <c r="AZ226" i="3" s="1"/>
  <c r="BO226" i="3"/>
  <c r="BP226" i="3"/>
  <c r="BQ226" i="3"/>
  <c r="BR226" i="3"/>
  <c r="BS226" i="3"/>
  <c r="BT226" i="3"/>
  <c r="BB227" i="3"/>
  <c r="BC227" i="3"/>
  <c r="BA227" i="3" s="1"/>
  <c r="AZ227" i="3" s="1"/>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L228" i="3" s="1"/>
  <c r="AZ228" i="3" s="1"/>
  <c r="BO228" i="3"/>
  <c r="BP228" i="3"/>
  <c r="BQ228" i="3"/>
  <c r="BR228" i="3"/>
  <c r="BS228" i="3"/>
  <c r="BT228" i="3"/>
  <c r="BB229" i="3"/>
  <c r="BC229" i="3"/>
  <c r="BA229" i="3" s="1"/>
  <c r="AZ229" i="3" s="1"/>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L230" i="3" s="1"/>
  <c r="AZ230" i="3" s="1"/>
  <c r="BO230" i="3"/>
  <c r="BP230" i="3"/>
  <c r="BQ230" i="3"/>
  <c r="BR230" i="3"/>
  <c r="BS230" i="3"/>
  <c r="BT230" i="3"/>
  <c r="BB231" i="3"/>
  <c r="BC231" i="3"/>
  <c r="BA231" i="3" s="1"/>
  <c r="AZ231" i="3" s="1"/>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L232" i="3" s="1"/>
  <c r="AZ232" i="3" s="1"/>
  <c r="BO232" i="3"/>
  <c r="BP232" i="3"/>
  <c r="BQ232" i="3"/>
  <c r="BR232" i="3"/>
  <c r="BS232" i="3"/>
  <c r="BT232" i="3"/>
  <c r="BB233" i="3"/>
  <c r="BC233" i="3"/>
  <c r="BA233" i="3" s="1"/>
  <c r="AZ233" i="3" s="1"/>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L234" i="3" s="1"/>
  <c r="AZ234" i="3" s="1"/>
  <c r="BO234" i="3"/>
  <c r="BP234" i="3"/>
  <c r="BQ234" i="3"/>
  <c r="BR234" i="3"/>
  <c r="BS234" i="3"/>
  <c r="BT234" i="3"/>
  <c r="BB235" i="3"/>
  <c r="BC235" i="3"/>
  <c r="BA235" i="3" s="1"/>
  <c r="AZ235" i="3" s="1"/>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L236" i="3" s="1"/>
  <c r="AZ236" i="3" s="1"/>
  <c r="BO236" i="3"/>
  <c r="BP236" i="3"/>
  <c r="BQ236" i="3"/>
  <c r="BR236" i="3"/>
  <c r="BS236" i="3"/>
  <c r="BT236" i="3"/>
  <c r="BB237" i="3"/>
  <c r="BC237" i="3"/>
  <c r="BA237" i="3" s="1"/>
  <c r="AZ237" i="3" s="1"/>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L238" i="3" s="1"/>
  <c r="AZ238" i="3" s="1"/>
  <c r="BO238" i="3"/>
  <c r="BP238" i="3"/>
  <c r="BQ238" i="3"/>
  <c r="BR238" i="3"/>
  <c r="BS238" i="3"/>
  <c r="BT238" i="3"/>
  <c r="BB239" i="3"/>
  <c r="BC239" i="3"/>
  <c r="BA239" i="3" s="1"/>
  <c r="AZ239" i="3" s="1"/>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L240" i="3" s="1"/>
  <c r="AZ240" i="3" s="1"/>
  <c r="BO240" i="3"/>
  <c r="BP240" i="3"/>
  <c r="BQ240" i="3"/>
  <c r="BR240" i="3"/>
  <c r="BS240" i="3"/>
  <c r="BT240" i="3"/>
  <c r="BB241" i="3"/>
  <c r="BC241" i="3"/>
  <c r="BA241" i="3" s="1"/>
  <c r="AZ241" i="3" s="1"/>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L242" i="3" s="1"/>
  <c r="AZ242" i="3" s="1"/>
  <c r="BO242" i="3"/>
  <c r="BP242" i="3"/>
  <c r="BQ242" i="3"/>
  <c r="BR242" i="3"/>
  <c r="BS242" i="3"/>
  <c r="BT242" i="3"/>
  <c r="BB243" i="3"/>
  <c r="BC243" i="3"/>
  <c r="BA243" i="3" s="1"/>
  <c r="AZ243" i="3" s="1"/>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L244" i="3" s="1"/>
  <c r="AZ244" i="3" s="1"/>
  <c r="BO244" i="3"/>
  <c r="BP244" i="3"/>
  <c r="BQ244" i="3"/>
  <c r="BR244" i="3"/>
  <c r="BS244" i="3"/>
  <c r="BT244" i="3"/>
  <c r="BB245" i="3"/>
  <c r="BC245" i="3"/>
  <c r="BA245" i="3" s="1"/>
  <c r="AZ245" i="3" s="1"/>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L246" i="3" s="1"/>
  <c r="AZ246" i="3" s="1"/>
  <c r="BO246" i="3"/>
  <c r="BP246" i="3"/>
  <c r="BQ246" i="3"/>
  <c r="BR246" i="3"/>
  <c r="BS246" i="3"/>
  <c r="BT246" i="3"/>
  <c r="BB247" i="3"/>
  <c r="BC247" i="3"/>
  <c r="BA247" i="3" s="1"/>
  <c r="AZ247" i="3" s="1"/>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A251" i="3" s="1"/>
  <c r="AZ251" i="3" s="1"/>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A253" i="3" s="1"/>
  <c r="AZ253" i="3" s="1"/>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s="1"/>
  <c r="AZ254" i="3" s="1"/>
  <c r="BO254" i="3"/>
  <c r="BP254" i="3"/>
  <c r="BQ254" i="3"/>
  <c r="BR254" i="3"/>
  <c r="BS254" i="3"/>
  <c r="BT254" i="3"/>
  <c r="BB255" i="3"/>
  <c r="BC255" i="3"/>
  <c r="BA255" i="3" s="1"/>
  <c r="AZ255" i="3" s="1"/>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s="1"/>
  <c r="AZ256" i="3" s="1"/>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s="1"/>
  <c r="AZ258" i="3" s="1"/>
  <c r="BO258" i="3"/>
  <c r="BP258" i="3"/>
  <c r="BQ258" i="3"/>
  <c r="BR258" i="3"/>
  <c r="BS258" i="3"/>
  <c r="BT258" i="3"/>
  <c r="BB259" i="3"/>
  <c r="BC259" i="3"/>
  <c r="BA259" i="3" s="1"/>
  <c r="AZ259" i="3" s="1"/>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s="1"/>
  <c r="AZ260" i="3" s="1"/>
  <c r="BO260" i="3"/>
  <c r="BP260" i="3"/>
  <c r="BQ260" i="3"/>
  <c r="BR260" i="3"/>
  <c r="BS260" i="3"/>
  <c r="BT260" i="3"/>
  <c r="BB261" i="3"/>
  <c r="BC261" i="3"/>
  <c r="BA261" i="3" s="1"/>
  <c r="AZ261" i="3" s="1"/>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L262" i="3" s="1"/>
  <c r="AZ262" i="3" s="1"/>
  <c r="BO262" i="3"/>
  <c r="BP262" i="3"/>
  <c r="BQ262" i="3"/>
  <c r="BR262" i="3"/>
  <c r="BS262" i="3"/>
  <c r="BT262" i="3"/>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A265" i="3" s="1"/>
  <c r="AZ265" i="3" s="1"/>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AZ267" i="3" s="1"/>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AZ269" i="3" s="1"/>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AZ271" i="3" s="1"/>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AZ273" i="3" s="1"/>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s="1"/>
  <c r="AZ274" i="3" s="1"/>
  <c r="BO274" i="3"/>
  <c r="BP274" i="3"/>
  <c r="BQ274" i="3"/>
  <c r="BR274" i="3"/>
  <c r="BS274" i="3"/>
  <c r="BT274" i="3"/>
  <c r="BB275" i="3"/>
  <c r="BC275" i="3"/>
  <c r="BA275" i="3" s="1"/>
  <c r="AZ275" i="3" s="1"/>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s="1"/>
  <c r="AZ276" i="3" s="1"/>
  <c r="BO276" i="3"/>
  <c r="BP276" i="3"/>
  <c r="BQ276" i="3"/>
  <c r="BR276" i="3"/>
  <c r="BS276" i="3"/>
  <c r="BT276" i="3"/>
  <c r="BB277" i="3"/>
  <c r="BC277" i="3"/>
  <c r="BA277" i="3" s="1"/>
  <c r="AZ277" i="3" s="1"/>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A279" i="3" s="1"/>
  <c r="AZ279" i="3" s="1"/>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s="1"/>
  <c r="AZ280" i="3" s="1"/>
  <c r="BO280" i="3"/>
  <c r="BP280" i="3"/>
  <c r="BQ280" i="3"/>
  <c r="BR280" i="3"/>
  <c r="BS280" i="3"/>
  <c r="BT280" i="3"/>
  <c r="BB281" i="3"/>
  <c r="BC281" i="3"/>
  <c r="BA281" i="3" s="1"/>
  <c r="AZ281" i="3" s="1"/>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L282" i="3" s="1"/>
  <c r="AZ282" i="3" s="1"/>
  <c r="BO282" i="3"/>
  <c r="BP282" i="3"/>
  <c r="BQ282" i="3"/>
  <c r="BR282" i="3"/>
  <c r="BS282" i="3"/>
  <c r="BT282" i="3"/>
  <c r="BB283" i="3"/>
  <c r="BC283" i="3"/>
  <c r="BA283" i="3" s="1"/>
  <c r="AZ283" i="3" s="1"/>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s="1"/>
  <c r="AZ284" i="3" s="1"/>
  <c r="BO284" i="3"/>
  <c r="BP284" i="3"/>
  <c r="BQ284" i="3"/>
  <c r="BR284" i="3"/>
  <c r="BS284" i="3"/>
  <c r="BT284" i="3"/>
  <c r="BB285" i="3"/>
  <c r="BC285" i="3"/>
  <c r="BA285" i="3" s="1"/>
  <c r="AZ285" i="3" s="1"/>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s="1"/>
  <c r="AZ286" i="3" s="1"/>
  <c r="BO286" i="3"/>
  <c r="BP286" i="3"/>
  <c r="BQ286" i="3"/>
  <c r="BR286" i="3"/>
  <c r="BS286" i="3"/>
  <c r="BT286" i="3"/>
  <c r="BB287" i="3"/>
  <c r="BC287" i="3"/>
  <c r="BA287" i="3" s="1"/>
  <c r="AZ287" i="3" s="1"/>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s="1"/>
  <c r="AZ288" i="3" s="1"/>
  <c r="BO288" i="3"/>
  <c r="BP288" i="3"/>
  <c r="BQ288" i="3"/>
  <c r="BR288" i="3"/>
  <c r="BS288" i="3"/>
  <c r="BT288" i="3"/>
  <c r="BB289" i="3"/>
  <c r="BC289" i="3"/>
  <c r="BA289" i="3" s="1"/>
  <c r="AZ289" i="3" s="1"/>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s="1"/>
  <c r="AZ290" i="3" s="1"/>
  <c r="BO290" i="3"/>
  <c r="BP290" i="3"/>
  <c r="BQ290" i="3"/>
  <c r="BR290" i="3"/>
  <c r="BS290" i="3"/>
  <c r="BT290" i="3"/>
  <c r="BB291" i="3"/>
  <c r="BC291" i="3"/>
  <c r="BA291" i="3" s="1"/>
  <c r="AZ291" i="3" s="1"/>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s="1"/>
  <c r="AZ292" i="3" s="1"/>
  <c r="BO292" i="3"/>
  <c r="BP292" i="3"/>
  <c r="BQ292" i="3"/>
  <c r="BR292" i="3"/>
  <c r="BS292" i="3"/>
  <c r="BT292" i="3"/>
  <c r="BB293" i="3"/>
  <c r="BC293" i="3"/>
  <c r="BA293" i="3" s="1"/>
  <c r="AZ293" i="3" s="1"/>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s="1"/>
  <c r="AZ294" i="3" s="1"/>
  <c r="BO294" i="3"/>
  <c r="BP294" i="3"/>
  <c r="BQ294" i="3"/>
  <c r="BR294" i="3"/>
  <c r="BS294" i="3"/>
  <c r="BT294" i="3"/>
  <c r="BB295" i="3"/>
  <c r="BC295" i="3"/>
  <c r="BA295" i="3" s="1"/>
  <c r="AZ295" i="3" s="1"/>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s="1"/>
  <c r="AZ296" i="3" s="1"/>
  <c r="BO296" i="3"/>
  <c r="BP296" i="3"/>
  <c r="BQ296" i="3"/>
  <c r="BR296" i="3"/>
  <c r="BS296" i="3"/>
  <c r="BT296" i="3"/>
  <c r="BB297" i="3"/>
  <c r="BC297" i="3"/>
  <c r="BA297" i="3" s="1"/>
  <c r="AZ297" i="3" s="1"/>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s="1"/>
  <c r="AZ298" i="3" s="1"/>
  <c r="BO298" i="3"/>
  <c r="BP298" i="3"/>
  <c r="BQ298" i="3"/>
  <c r="BR298" i="3"/>
  <c r="BS298" i="3"/>
  <c r="BT298" i="3"/>
  <c r="BB299" i="3"/>
  <c r="BC299" i="3"/>
  <c r="BA299" i="3" s="1"/>
  <c r="AZ299" i="3" s="1"/>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A301" i="3" s="1"/>
  <c r="AZ301" i="3" s="1"/>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A303" i="3" s="1"/>
  <c r="AZ303" i="3" s="1"/>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s="1"/>
  <c r="AZ304" i="3" s="1"/>
  <c r="BO304" i="3"/>
  <c r="BP304" i="3"/>
  <c r="BQ304" i="3"/>
  <c r="BR304" i="3"/>
  <c r="BS304" i="3"/>
  <c r="BT304" i="3"/>
  <c r="BB305" i="3"/>
  <c r="BC305" i="3"/>
  <c r="BA305" i="3" s="1"/>
  <c r="AZ305" i="3" s="1"/>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s="1"/>
  <c r="AZ306" i="3" s="1"/>
  <c r="BO306" i="3"/>
  <c r="BP306" i="3"/>
  <c r="BQ306" i="3"/>
  <c r="BR306" i="3"/>
  <c r="BS306" i="3"/>
  <c r="BT306" i="3"/>
  <c r="BB307" i="3"/>
  <c r="BC307" i="3"/>
  <c r="BA307" i="3" s="1"/>
  <c r="AZ307" i="3" s="1"/>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AZ309" i="3" s="1"/>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s="1"/>
  <c r="AZ310" i="3" s="1"/>
  <c r="BO310" i="3"/>
  <c r="BP310" i="3"/>
  <c r="BQ310" i="3"/>
  <c r="BR310" i="3"/>
  <c r="BS310" i="3"/>
  <c r="BT310" i="3"/>
  <c r="BB311" i="3"/>
  <c r="BC311" i="3"/>
  <c r="BA311" i="3" s="1"/>
  <c r="AZ311" i="3" s="1"/>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AZ313" i="3" s="1"/>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s="1"/>
  <c r="AZ314" i="3" s="1"/>
  <c r="BO314" i="3"/>
  <c r="BP314" i="3"/>
  <c r="BQ314" i="3"/>
  <c r="BR314" i="3"/>
  <c r="BS314" i="3"/>
  <c r="BT314" i="3"/>
  <c r="BB315" i="3"/>
  <c r="BC315" i="3"/>
  <c r="BA315" i="3" s="1"/>
  <c r="AZ315" i="3" s="1"/>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s="1"/>
  <c r="AZ316" i="3" s="1"/>
  <c r="BO316" i="3"/>
  <c r="BP316" i="3"/>
  <c r="BQ316" i="3"/>
  <c r="BR316" i="3"/>
  <c r="BS316" i="3"/>
  <c r="BT316" i="3"/>
  <c r="BB317" i="3"/>
  <c r="BC317" i="3"/>
  <c r="BA317" i="3" s="1"/>
  <c r="AZ317" i="3" s="1"/>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s="1"/>
  <c r="AZ318" i="3" s="1"/>
  <c r="BO318" i="3"/>
  <c r="BP318" i="3"/>
  <c r="BQ318" i="3"/>
  <c r="BR318" i="3"/>
  <c r="BS318" i="3"/>
  <c r="BT318" i="3"/>
  <c r="BB319" i="3"/>
  <c r="BC319" i="3"/>
  <c r="BA319" i="3" s="1"/>
  <c r="AZ319" i="3" s="1"/>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s="1"/>
  <c r="AZ320" i="3" s="1"/>
  <c r="BO320" i="3"/>
  <c r="BP320" i="3"/>
  <c r="BQ320" i="3"/>
  <c r="BR320" i="3"/>
  <c r="BS320" i="3"/>
  <c r="BT320" i="3"/>
  <c r="BB321" i="3"/>
  <c r="BC321" i="3"/>
  <c r="BA321" i="3" s="1"/>
  <c r="AZ321" i="3" s="1"/>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s="1"/>
  <c r="AZ322" i="3" s="1"/>
  <c r="BO322" i="3"/>
  <c r="BP322" i="3"/>
  <c r="BQ322" i="3"/>
  <c r="BR322" i="3"/>
  <c r="BS322" i="3"/>
  <c r="BT322" i="3"/>
  <c r="BB323" i="3"/>
  <c r="BC323" i="3"/>
  <c r="BA323" i="3" s="1"/>
  <c r="AZ323" i="3" s="1"/>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s="1"/>
  <c r="AZ324" i="3" s="1"/>
  <c r="BO324" i="3"/>
  <c r="BP324" i="3"/>
  <c r="BQ324" i="3"/>
  <c r="BR324" i="3"/>
  <c r="BS324" i="3"/>
  <c r="BT324" i="3"/>
  <c r="BB325" i="3"/>
  <c r="BC325" i="3"/>
  <c r="BA325" i="3" s="1"/>
  <c r="AZ325" i="3" s="1"/>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s="1"/>
  <c r="AZ326" i="3" s="1"/>
  <c r="BO326" i="3"/>
  <c r="BP326" i="3"/>
  <c r="BQ326" i="3"/>
  <c r="BR326" i="3"/>
  <c r="BS326" i="3"/>
  <c r="BT326" i="3"/>
  <c r="BB327" i="3"/>
  <c r="BC327" i="3"/>
  <c r="BA327" i="3" s="1"/>
  <c r="AZ327" i="3" s="1"/>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A329" i="3" s="1"/>
  <c r="AZ329" i="3" s="1"/>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s="1"/>
  <c r="AZ330" i="3" s="1"/>
  <c r="BO330" i="3"/>
  <c r="BP330" i="3"/>
  <c r="BQ330" i="3"/>
  <c r="BR330" i="3"/>
  <c r="BS330" i="3"/>
  <c r="BT330" i="3"/>
  <c r="BB331" i="3"/>
  <c r="BC331" i="3"/>
  <c r="BA331" i="3" s="1"/>
  <c r="AZ331" i="3" s="1"/>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s="1"/>
  <c r="AZ332" i="3" s="1"/>
  <c r="BO332" i="3"/>
  <c r="BP332" i="3"/>
  <c r="BQ332" i="3"/>
  <c r="BR332" i="3"/>
  <c r="BS332" i="3"/>
  <c r="BT332" i="3"/>
  <c r="BB333" i="3"/>
  <c r="BC333" i="3"/>
  <c r="BA333" i="3" s="1"/>
  <c r="AZ333" i="3" s="1"/>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s="1"/>
  <c r="AZ334" i="3" s="1"/>
  <c r="BO334" i="3"/>
  <c r="BP334" i="3"/>
  <c r="BQ334" i="3"/>
  <c r="BR334" i="3"/>
  <c r="BS334" i="3"/>
  <c r="BT334" i="3"/>
  <c r="BB335" i="3"/>
  <c r="BC335" i="3"/>
  <c r="BA335" i="3" s="1"/>
  <c r="AZ335" i="3" s="1"/>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s="1"/>
  <c r="AZ336" i="3" s="1"/>
  <c r="BO336" i="3"/>
  <c r="BP336" i="3"/>
  <c r="BQ336" i="3"/>
  <c r="BR336" i="3"/>
  <c r="BS336" i="3"/>
  <c r="BT336" i="3"/>
  <c r="BB337" i="3"/>
  <c r="BC337" i="3"/>
  <c r="BA337" i="3" s="1"/>
  <c r="AZ337" i="3" s="1"/>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s="1"/>
  <c r="AZ338" i="3" s="1"/>
  <c r="BO338" i="3"/>
  <c r="BP338" i="3"/>
  <c r="BQ338" i="3"/>
  <c r="BR338" i="3"/>
  <c r="BS338" i="3"/>
  <c r="BT338" i="3"/>
  <c r="BB339" i="3"/>
  <c r="BC339" i="3"/>
  <c r="BA339" i="3" s="1"/>
  <c r="AZ339" i="3" s="1"/>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s="1"/>
  <c r="AZ340" i="3" s="1"/>
  <c r="BO340" i="3"/>
  <c r="BP340" i="3"/>
  <c r="BQ340" i="3"/>
  <c r="BR340" i="3"/>
  <c r="BS340" i="3"/>
  <c r="BT340" i="3"/>
  <c r="BB341" i="3"/>
  <c r="BC341" i="3"/>
  <c r="BA341" i="3" s="1"/>
  <c r="AZ341" i="3" s="1"/>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s="1"/>
  <c r="AZ342" i="3" s="1"/>
  <c r="BO342" i="3"/>
  <c r="BP342" i="3"/>
  <c r="BQ342" i="3"/>
  <c r="BR342" i="3"/>
  <c r="BS342" i="3"/>
  <c r="BT342" i="3"/>
  <c r="BB343" i="3"/>
  <c r="BC343" i="3"/>
  <c r="BA343" i="3" s="1"/>
  <c r="AZ343" i="3" s="1"/>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s="1"/>
  <c r="AZ344" i="3" s="1"/>
  <c r="BO344" i="3"/>
  <c r="BP344" i="3"/>
  <c r="BQ344" i="3"/>
  <c r="BR344" i="3"/>
  <c r="BS344" i="3"/>
  <c r="BT344" i="3"/>
  <c r="BB345" i="3"/>
  <c r="BC345" i="3"/>
  <c r="BA345" i="3" s="1"/>
  <c r="AZ345" i="3" s="1"/>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s="1"/>
  <c r="AZ346" i="3" s="1"/>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s="1"/>
  <c r="AZ348" i="3" s="1"/>
  <c r="BO348" i="3"/>
  <c r="BP348" i="3"/>
  <c r="BQ348" i="3"/>
  <c r="BR348" i="3"/>
  <c r="BS348" i="3"/>
  <c r="BT348" i="3"/>
  <c r="BB349" i="3"/>
  <c r="BC349" i="3"/>
  <c r="BA349" i="3" s="1"/>
  <c r="AZ349" i="3" s="1"/>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s="1"/>
  <c r="AZ350" i="3" s="1"/>
  <c r="BO350" i="3"/>
  <c r="BP350" i="3"/>
  <c r="BQ350" i="3"/>
  <c r="BR350" i="3"/>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s="1"/>
  <c r="AZ352" i="3" s="1"/>
  <c r="BO352" i="3"/>
  <c r="BP352" i="3"/>
  <c r="BQ352" i="3"/>
  <c r="BR352" i="3"/>
  <c r="BS352" i="3"/>
  <c r="BT352" i="3"/>
  <c r="BB353" i="3"/>
  <c r="BC353" i="3"/>
  <c r="BA353" i="3" s="1"/>
  <c r="AZ353" i="3" s="1"/>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s="1"/>
  <c r="AZ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s="1"/>
  <c r="AZ406" i="3" s="1"/>
  <c r="BO406" i="3"/>
  <c r="BP406" i="3"/>
  <c r="BQ406" i="3"/>
  <c r="BR406" i="3"/>
  <c r="BS406" i="3"/>
  <c r="BT406" i="3"/>
  <c r="BB407" i="3"/>
  <c r="BC407" i="3"/>
  <c r="BA407" i="3" s="1"/>
  <c r="AZ407" i="3" s="1"/>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s="1"/>
  <c r="AZ408" i="3" s="1"/>
  <c r="BO408" i="3"/>
  <c r="BP408" i="3"/>
  <c r="BQ408" i="3"/>
  <c r="BR408" i="3"/>
  <c r="BS408" i="3"/>
  <c r="BT408" i="3"/>
  <c r="BB409" i="3"/>
  <c r="BC409" i="3"/>
  <c r="BA409" i="3" s="1"/>
  <c r="AZ409" i="3" s="1"/>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s="1"/>
  <c r="AZ410" i="3" s="1"/>
  <c r="BO410" i="3"/>
  <c r="BP410" i="3"/>
  <c r="BQ410" i="3"/>
  <c r="BR410" i="3"/>
  <c r="BS410" i="3"/>
  <c r="BT410" i="3"/>
  <c r="BB411" i="3"/>
  <c r="BC411" i="3"/>
  <c r="BA411" i="3" s="1"/>
  <c r="AZ411" i="3" s="1"/>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s="1"/>
  <c r="AZ412" i="3" s="1"/>
  <c r="BO412" i="3"/>
  <c r="BP412" i="3"/>
  <c r="BQ412" i="3"/>
  <c r="BR412" i="3"/>
  <c r="BS412" i="3"/>
  <c r="BT412" i="3"/>
  <c r="BB413" i="3"/>
  <c r="BC413" i="3"/>
  <c r="BA413" i="3" s="1"/>
  <c r="AZ413" i="3" s="1"/>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s="1"/>
  <c r="AZ414" i="3" s="1"/>
  <c r="BO414" i="3"/>
  <c r="BP414" i="3"/>
  <c r="BQ414" i="3"/>
  <c r="BR414" i="3"/>
  <c r="BS414" i="3"/>
  <c r="BT414" i="3"/>
  <c r="BB415" i="3"/>
  <c r="BC415" i="3"/>
  <c r="BA415" i="3" s="1"/>
  <c r="AZ415" i="3" s="1"/>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AZ417" i="3" s="1"/>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s="1"/>
  <c r="AZ418" i="3" s="1"/>
  <c r="BO418" i="3"/>
  <c r="BP418" i="3"/>
  <c r="BQ418" i="3"/>
  <c r="BR418" i="3"/>
  <c r="BS418" i="3"/>
  <c r="BT418" i="3"/>
  <c r="BB419" i="3"/>
  <c r="BC419" i="3"/>
  <c r="BA419" i="3" s="1"/>
  <c r="AZ419" i="3" s="1"/>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s="1"/>
  <c r="AZ420" i="3" s="1"/>
  <c r="BO420" i="3"/>
  <c r="BP420" i="3"/>
  <c r="BQ420" i="3"/>
  <c r="BR420" i="3"/>
  <c r="BS420" i="3"/>
  <c r="BT420" i="3"/>
  <c r="BB421" i="3"/>
  <c r="BC421" i="3"/>
  <c r="BA421" i="3" s="1"/>
  <c r="AZ421" i="3" s="1"/>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s="1"/>
  <c r="AZ422" i="3" s="1"/>
  <c r="BO422" i="3"/>
  <c r="BP422" i="3"/>
  <c r="BQ422" i="3"/>
  <c r="BR422" i="3"/>
  <c r="BS422" i="3"/>
  <c r="BT422" i="3"/>
  <c r="BB423" i="3"/>
  <c r="BC423" i="3"/>
  <c r="BA423" i="3" s="1"/>
  <c r="AZ423" i="3" s="1"/>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s="1"/>
  <c r="AZ424" i="3" s="1"/>
  <c r="BO424" i="3"/>
  <c r="BP424" i="3"/>
  <c r="BQ424" i="3"/>
  <c r="BR424" i="3"/>
  <c r="BS424" i="3"/>
  <c r="BT424" i="3"/>
  <c r="BB425" i="3"/>
  <c r="BC425" i="3"/>
  <c r="BA425" i="3" s="1"/>
  <c r="AZ425" i="3" s="1"/>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s="1"/>
  <c r="AZ426" i="3" s="1"/>
  <c r="BO426" i="3"/>
  <c r="BP426" i="3"/>
  <c r="BQ426" i="3"/>
  <c r="BR426" i="3"/>
  <c r="BS426" i="3"/>
  <c r="BT426" i="3"/>
  <c r="BB427" i="3"/>
  <c r="BC427" i="3"/>
  <c r="BD427" i="3"/>
  <c r="BE427" i="3"/>
  <c r="BF427" i="3"/>
  <c r="BG427" i="3"/>
  <c r="BA427" i="3" s="1"/>
  <c r="AZ427" i="3" s="1"/>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D429" i="3"/>
  <c r="BE429" i="3"/>
  <c r="BA429" i="3" s="1"/>
  <c r="AZ429" i="3" s="1"/>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D431" i="3"/>
  <c r="BE431" i="3"/>
  <c r="BF431" i="3"/>
  <c r="BG431" i="3"/>
  <c r="BA431" i="3" s="1"/>
  <c r="AZ431" i="3" s="1"/>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D433" i="3"/>
  <c r="BE433" i="3"/>
  <c r="BF433" i="3"/>
  <c r="BG433" i="3"/>
  <c r="BA433" i="3" s="1"/>
  <c r="AZ433" i="3" s="1"/>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A435" i="3" s="1"/>
  <c r="AZ435" i="3" s="1"/>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s="1"/>
  <c r="AZ436" i="3" s="1"/>
  <c r="BO436" i="3"/>
  <c r="BP436" i="3"/>
  <c r="BQ436" i="3"/>
  <c r="BR436" i="3"/>
  <c r="BS436" i="3"/>
  <c r="BT436" i="3"/>
  <c r="BB437" i="3"/>
  <c r="BC437" i="3"/>
  <c r="BD437" i="3"/>
  <c r="BE437" i="3"/>
  <c r="BA437" i="3" s="1"/>
  <c r="AZ437" i="3" s="1"/>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s="1"/>
  <c r="AZ438" i="3" s="1"/>
  <c r="BO438" i="3"/>
  <c r="BP438" i="3"/>
  <c r="BQ438" i="3"/>
  <c r="BR438" i="3"/>
  <c r="BS438" i="3"/>
  <c r="BT438" i="3"/>
  <c r="BB439" i="3"/>
  <c r="BC439" i="3"/>
  <c r="BD439" i="3"/>
  <c r="BE439" i="3"/>
  <c r="BF439" i="3"/>
  <c r="BG439" i="3"/>
  <c r="BA439" i="3" s="1"/>
  <c r="AZ439" i="3" s="1"/>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s="1"/>
  <c r="AZ440" i="3" s="1"/>
  <c r="BO440" i="3"/>
  <c r="BP440" i="3"/>
  <c r="BQ440" i="3"/>
  <c r="BR440" i="3"/>
  <c r="BS440" i="3"/>
  <c r="BT440" i="3"/>
  <c r="BB441" i="3"/>
  <c r="BC441" i="3"/>
  <c r="BD441" i="3"/>
  <c r="BE441" i="3"/>
  <c r="BA441" i="3" s="1"/>
  <c r="AZ441" i="3" s="1"/>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s="1"/>
  <c r="AZ442" i="3" s="1"/>
  <c r="BO442" i="3"/>
  <c r="BP442" i="3"/>
  <c r="BQ442" i="3"/>
  <c r="BR442" i="3"/>
  <c r="BS442" i="3"/>
  <c r="BT442" i="3"/>
  <c r="BB443" i="3"/>
  <c r="BC443" i="3"/>
  <c r="BD443" i="3"/>
  <c r="BE443" i="3"/>
  <c r="BF443" i="3"/>
  <c r="BG443" i="3"/>
  <c r="BA443" i="3" s="1"/>
  <c r="AZ443" i="3" s="1"/>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O444" i="3"/>
  <c r="BP444" i="3"/>
  <c r="BQ444" i="3"/>
  <c r="BR444" i="3"/>
  <c r="BL444" i="3" s="1"/>
  <c r="AZ444" i="3" s="1"/>
  <c r="BS444" i="3"/>
  <c r="BT444" i="3"/>
  <c r="BB445" i="3"/>
  <c r="BC445" i="3"/>
  <c r="BD445" i="3"/>
  <c r="BE445" i="3"/>
  <c r="BF445" i="3"/>
  <c r="BG445" i="3"/>
  <c r="BH445" i="3"/>
  <c r="BI445" i="3"/>
  <c r="BJ445" i="3"/>
  <c r="BK445" i="3"/>
  <c r="BA445" i="3"/>
  <c r="BM445" i="3"/>
  <c r="BN445" i="3"/>
  <c r="BO445" i="3"/>
  <c r="BP445" i="3"/>
  <c r="BL445" i="3" s="1"/>
  <c r="AZ445" i="3" s="1"/>
  <c r="BQ445" i="3"/>
  <c r="BR445" i="3"/>
  <c r="BS445" i="3"/>
  <c r="BT445" i="3"/>
  <c r="BB446" i="3"/>
  <c r="BC446" i="3"/>
  <c r="BD446" i="3"/>
  <c r="BE446" i="3"/>
  <c r="BF446" i="3"/>
  <c r="BG446" i="3"/>
  <c r="BH446" i="3"/>
  <c r="BI446" i="3"/>
  <c r="BA446" i="3" s="1"/>
  <c r="AZ446" i="3" s="1"/>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O447" i="3"/>
  <c r="BP447" i="3"/>
  <c r="BL447" i="3" s="1"/>
  <c r="AZ447" i="3" s="1"/>
  <c r="BQ447" i="3"/>
  <c r="BR447" i="3"/>
  <c r="BS447" i="3"/>
  <c r="BT447" i="3"/>
  <c r="BB448" i="3"/>
  <c r="BC448" i="3"/>
  <c r="BD448" i="3"/>
  <c r="BE448" i="3"/>
  <c r="BF448" i="3"/>
  <c r="BG448" i="3"/>
  <c r="BH448" i="3"/>
  <c r="BI448" i="3"/>
  <c r="BA448" i="3" s="1"/>
  <c r="AZ448" i="3" s="1"/>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O449" i="3"/>
  <c r="BP449" i="3"/>
  <c r="BQ449" i="3"/>
  <c r="BR449" i="3"/>
  <c r="BL449" i="3" s="1"/>
  <c r="AZ449" i="3" s="1"/>
  <c r="BS449" i="3"/>
  <c r="BT449" i="3"/>
  <c r="BB450" i="3"/>
  <c r="BC450" i="3"/>
  <c r="BD450" i="3"/>
  <c r="BE450" i="3"/>
  <c r="BF450" i="3"/>
  <c r="BG450" i="3"/>
  <c r="BH450" i="3"/>
  <c r="BI450" i="3"/>
  <c r="BA450" i="3" s="1"/>
  <c r="AZ450" i="3" s="1"/>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O451" i="3"/>
  <c r="BP451" i="3"/>
  <c r="BQ451" i="3"/>
  <c r="BR451" i="3"/>
  <c r="BL451" i="3" s="1"/>
  <c r="AZ451" i="3" s="1"/>
  <c r="BS451" i="3"/>
  <c r="BT451" i="3"/>
  <c r="BB452" i="3"/>
  <c r="BC452" i="3"/>
  <c r="BD452" i="3"/>
  <c r="BE452" i="3"/>
  <c r="BF452" i="3"/>
  <c r="BG452" i="3"/>
  <c r="BH452" i="3"/>
  <c r="BI452" i="3"/>
  <c r="BJ452" i="3"/>
  <c r="BK452" i="3"/>
  <c r="BA452" i="3" s="1"/>
  <c r="AZ452" i="3" s="1"/>
  <c r="BM452" i="3"/>
  <c r="BN452" i="3"/>
  <c r="BO452" i="3"/>
  <c r="BP452" i="3"/>
  <c r="BQ452" i="3"/>
  <c r="BR452" i="3"/>
  <c r="BS452" i="3"/>
  <c r="BT452" i="3"/>
  <c r="BL452" i="3"/>
  <c r="BB453" i="3"/>
  <c r="BC453" i="3"/>
  <c r="BD453" i="3"/>
  <c r="BE453" i="3"/>
  <c r="BF453" i="3"/>
  <c r="BG453" i="3"/>
  <c r="BH453" i="3"/>
  <c r="BI453" i="3"/>
  <c r="BJ453" i="3"/>
  <c r="BK453" i="3"/>
  <c r="BA453" i="3"/>
  <c r="BM453" i="3"/>
  <c r="BN453" i="3"/>
  <c r="BO453" i="3"/>
  <c r="BP453" i="3"/>
  <c r="BQ453" i="3"/>
  <c r="BR453" i="3"/>
  <c r="BS453" i="3"/>
  <c r="BT453" i="3"/>
  <c r="BL453" i="3"/>
  <c r="AZ453" i="3" s="1"/>
  <c r="BB454" i="3"/>
  <c r="BC454" i="3"/>
  <c r="BD454" i="3"/>
  <c r="BE454" i="3"/>
  <c r="BF454" i="3"/>
  <c r="BG454" i="3"/>
  <c r="BH454" i="3"/>
  <c r="BI454" i="3"/>
  <c r="BJ454" i="3"/>
  <c r="BK454" i="3"/>
  <c r="BA454" i="3"/>
  <c r="BM454" i="3"/>
  <c r="BN454" i="3"/>
  <c r="BO454" i="3"/>
  <c r="BP454" i="3"/>
  <c r="BQ454" i="3"/>
  <c r="BR454" i="3"/>
  <c r="BS454" i="3"/>
  <c r="BT454" i="3"/>
  <c r="BL454" i="3"/>
  <c r="AZ454" i="3" s="1"/>
  <c r="BB455" i="3"/>
  <c r="BC455" i="3"/>
  <c r="BD455" i="3"/>
  <c r="BE455" i="3"/>
  <c r="BF455" i="3"/>
  <c r="BG455" i="3"/>
  <c r="BH455" i="3"/>
  <c r="BI455" i="3"/>
  <c r="BJ455" i="3"/>
  <c r="BK455" i="3"/>
  <c r="BA455" i="3"/>
  <c r="BM455" i="3"/>
  <c r="BN455" i="3"/>
  <c r="BO455" i="3"/>
  <c r="BP455" i="3"/>
  <c r="BQ455" i="3"/>
  <c r="BR455" i="3"/>
  <c r="BL455" i="3" s="1"/>
  <c r="AZ455" i="3" s="1"/>
  <c r="BS455" i="3"/>
  <c r="BT455" i="3"/>
  <c r="BB456" i="3"/>
  <c r="BC456" i="3"/>
  <c r="BD456" i="3"/>
  <c r="BE456" i="3"/>
  <c r="BF456" i="3"/>
  <c r="BG456" i="3"/>
  <c r="BH456" i="3"/>
  <c r="BI456" i="3"/>
  <c r="BJ456" i="3"/>
  <c r="BK456" i="3"/>
  <c r="BA456" i="3"/>
  <c r="BM456" i="3"/>
  <c r="BN456" i="3"/>
  <c r="BO456" i="3"/>
  <c r="BP456" i="3"/>
  <c r="BQ456" i="3"/>
  <c r="BR456" i="3"/>
  <c r="BS456" i="3"/>
  <c r="BT456" i="3"/>
  <c r="BL456" i="3" s="1"/>
  <c r="AZ456" i="3" s="1"/>
  <c r="BB457" i="3"/>
  <c r="BC457" i="3"/>
  <c r="BD457" i="3"/>
  <c r="BE457" i="3"/>
  <c r="BF457" i="3"/>
  <c r="BG457" i="3"/>
  <c r="BH457" i="3"/>
  <c r="BI457" i="3"/>
  <c r="BJ457" i="3"/>
  <c r="BK457" i="3"/>
  <c r="BA457" i="3"/>
  <c r="BM457" i="3"/>
  <c r="BN457" i="3"/>
  <c r="BO457" i="3"/>
  <c r="BP457" i="3"/>
  <c r="BQ457" i="3"/>
  <c r="BR457" i="3"/>
  <c r="BS457" i="3"/>
  <c r="BT457" i="3"/>
  <c r="BL457" i="3" s="1"/>
  <c r="AZ457" i="3" s="1"/>
  <c r="BB458" i="3"/>
  <c r="BC458" i="3"/>
  <c r="BD458" i="3"/>
  <c r="BE458" i="3"/>
  <c r="BF458" i="3"/>
  <c r="BG458" i="3"/>
  <c r="BH458" i="3"/>
  <c r="BI458" i="3"/>
  <c r="BJ458" i="3"/>
  <c r="BK458" i="3"/>
  <c r="BA458" i="3"/>
  <c r="BM458" i="3"/>
  <c r="BN458" i="3"/>
  <c r="BO458" i="3"/>
  <c r="BP458" i="3"/>
  <c r="BQ458" i="3"/>
  <c r="BR458" i="3"/>
  <c r="BS458" i="3"/>
  <c r="BT458" i="3"/>
  <c r="BL458" i="3"/>
  <c r="AZ458" i="3" s="1"/>
  <c r="BB459" i="3"/>
  <c r="BC459" i="3"/>
  <c r="BD459" i="3"/>
  <c r="BE459" i="3"/>
  <c r="BF459" i="3"/>
  <c r="BG459" i="3"/>
  <c r="BH459" i="3"/>
  <c r="BI459" i="3"/>
  <c r="BJ459" i="3"/>
  <c r="BK459" i="3"/>
  <c r="BA459" i="3"/>
  <c r="BM459" i="3"/>
  <c r="BN459" i="3"/>
  <c r="BO459" i="3"/>
  <c r="BP459" i="3"/>
  <c r="BQ459" i="3"/>
  <c r="BR459" i="3"/>
  <c r="BL459" i="3" s="1"/>
  <c r="AZ459" i="3" s="1"/>
  <c r="BS459" i="3"/>
  <c r="BT459" i="3"/>
  <c r="BB460" i="3"/>
  <c r="BC460" i="3"/>
  <c r="BD460" i="3"/>
  <c r="BE460" i="3"/>
  <c r="BF460" i="3"/>
  <c r="BG460" i="3"/>
  <c r="BH460" i="3"/>
  <c r="BI460" i="3"/>
  <c r="BJ460" i="3"/>
  <c r="BK460" i="3"/>
  <c r="BA460" i="3" s="1"/>
  <c r="AZ460" i="3" s="1"/>
  <c r="BM460" i="3"/>
  <c r="BN460" i="3"/>
  <c r="BO460" i="3"/>
  <c r="BP460" i="3"/>
  <c r="BQ460" i="3"/>
  <c r="BR460" i="3"/>
  <c r="BS460" i="3"/>
  <c r="BT460" i="3"/>
  <c r="BL460" i="3"/>
  <c r="BB461" i="3"/>
  <c r="BC461" i="3"/>
  <c r="BD461" i="3"/>
  <c r="BE461" i="3"/>
  <c r="BF461" i="3"/>
  <c r="BG461" i="3"/>
  <c r="BH461" i="3"/>
  <c r="BI461" i="3"/>
  <c r="BJ461" i="3"/>
  <c r="BK461" i="3"/>
  <c r="BA461" i="3"/>
  <c r="BM461" i="3"/>
  <c r="BN461" i="3"/>
  <c r="BO461" i="3"/>
  <c r="BP461" i="3"/>
  <c r="BL461" i="3" s="1"/>
  <c r="AZ461" i="3" s="1"/>
  <c r="BQ461" i="3"/>
  <c r="BR461" i="3"/>
  <c r="BS461" i="3"/>
  <c r="BT461" i="3"/>
  <c r="BB462" i="3"/>
  <c r="BC462" i="3"/>
  <c r="BD462" i="3"/>
  <c r="BE462" i="3"/>
  <c r="BF462" i="3"/>
  <c r="BG462" i="3"/>
  <c r="BH462" i="3"/>
  <c r="BI462" i="3"/>
  <c r="BJ462" i="3"/>
  <c r="BK462" i="3"/>
  <c r="BA462" i="3" s="1"/>
  <c r="AZ462" i="3" s="1"/>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D464" i="3"/>
  <c r="BE464" i="3"/>
  <c r="BF464" i="3"/>
  <c r="BG464" i="3"/>
  <c r="BA464" i="3" s="1"/>
  <c r="AZ464" i="3" s="1"/>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O465" i="3"/>
  <c r="BP465" i="3"/>
  <c r="BL465" i="3" s="1"/>
  <c r="AZ465" i="3" s="1"/>
  <c r="BQ465" i="3"/>
  <c r="BR465" i="3"/>
  <c r="BS465" i="3"/>
  <c r="BT465" i="3"/>
  <c r="BB466" i="3"/>
  <c r="BC466" i="3"/>
  <c r="BD466" i="3"/>
  <c r="BE466" i="3"/>
  <c r="BF466" i="3"/>
  <c r="BG466" i="3"/>
  <c r="BH466" i="3"/>
  <c r="BI466" i="3"/>
  <c r="BJ466" i="3"/>
  <c r="BK466" i="3"/>
  <c r="BA466" i="3" s="1"/>
  <c r="AZ466" i="3" s="1"/>
  <c r="BM466" i="3"/>
  <c r="BN466" i="3"/>
  <c r="BO466" i="3"/>
  <c r="BP466" i="3"/>
  <c r="BQ466" i="3"/>
  <c r="BR466" i="3"/>
  <c r="BS466" i="3"/>
  <c r="BT466" i="3"/>
  <c r="BL466" i="3"/>
  <c r="BB467" i="3"/>
  <c r="BC467" i="3"/>
  <c r="BD467" i="3"/>
  <c r="BE467" i="3"/>
  <c r="BF467" i="3"/>
  <c r="BG467" i="3"/>
  <c r="BH467" i="3"/>
  <c r="BI467" i="3"/>
  <c r="BJ467" i="3"/>
  <c r="BK467" i="3"/>
  <c r="BA467" i="3"/>
  <c r="BM467" i="3"/>
  <c r="BN467" i="3"/>
  <c r="BO467" i="3"/>
  <c r="BP467" i="3"/>
  <c r="BL467" i="3" s="1"/>
  <c r="AZ467" i="3" s="1"/>
  <c r="BQ467" i="3"/>
  <c r="BR467" i="3"/>
  <c r="BS467" i="3"/>
  <c r="BT467" i="3"/>
  <c r="BB468" i="3"/>
  <c r="BC468" i="3"/>
  <c r="BD468" i="3"/>
  <c r="BE468" i="3"/>
  <c r="BF468" i="3"/>
  <c r="BG468" i="3"/>
  <c r="BH468" i="3"/>
  <c r="BI468" i="3"/>
  <c r="BA468" i="3" s="1"/>
  <c r="AZ468" i="3" s="1"/>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O469" i="3"/>
  <c r="BP469" i="3"/>
  <c r="BL469" i="3" s="1"/>
  <c r="AZ469" i="3" s="1"/>
  <c r="BQ469" i="3"/>
  <c r="BR469" i="3"/>
  <c r="BS469" i="3"/>
  <c r="BT469" i="3"/>
  <c r="BB470" i="3"/>
  <c r="BC470" i="3"/>
  <c r="BD470" i="3"/>
  <c r="BE470" i="3"/>
  <c r="BF470" i="3"/>
  <c r="BG470" i="3"/>
  <c r="BH470" i="3"/>
  <c r="BI470" i="3"/>
  <c r="BA470" i="3" s="1"/>
  <c r="AZ470" i="3" s="1"/>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O471" i="3"/>
  <c r="BP471" i="3"/>
  <c r="BQ471" i="3"/>
  <c r="BR471" i="3"/>
  <c r="BS471" i="3"/>
  <c r="BT471" i="3"/>
  <c r="BL471" i="3"/>
  <c r="AZ471" i="3" s="1"/>
  <c r="BB472" i="3"/>
  <c r="BC472" i="3"/>
  <c r="BD472" i="3"/>
  <c r="BE472" i="3"/>
  <c r="BF472" i="3"/>
  <c r="BG472" i="3"/>
  <c r="BH472" i="3"/>
  <c r="BI472" i="3"/>
  <c r="BJ472" i="3"/>
  <c r="BK472" i="3"/>
  <c r="BA472" i="3"/>
  <c r="BM472" i="3"/>
  <c r="BN472" i="3"/>
  <c r="BO472" i="3"/>
  <c r="BP472" i="3"/>
  <c r="BQ472" i="3"/>
  <c r="BR472" i="3"/>
  <c r="BL472" i="3" s="1"/>
  <c r="AZ472" i="3" s="1"/>
  <c r="BS472" i="3"/>
  <c r="BT472" i="3"/>
  <c r="BB473" i="3"/>
  <c r="BC473" i="3"/>
  <c r="BD473" i="3"/>
  <c r="BE473" i="3"/>
  <c r="BF473" i="3"/>
  <c r="BG473" i="3"/>
  <c r="BH473" i="3"/>
  <c r="BI473" i="3"/>
  <c r="BJ473" i="3"/>
  <c r="BK473" i="3"/>
  <c r="BA473" i="3" s="1"/>
  <c r="AZ473" i="3" s="1"/>
  <c r="BM473" i="3"/>
  <c r="BN473" i="3"/>
  <c r="BO473" i="3"/>
  <c r="BP473" i="3"/>
  <c r="BQ473" i="3"/>
  <c r="BR473" i="3"/>
  <c r="BS473" i="3"/>
  <c r="BT473" i="3"/>
  <c r="BL473" i="3"/>
  <c r="BB474" i="3"/>
  <c r="BC474" i="3"/>
  <c r="BD474" i="3"/>
  <c r="BE474" i="3"/>
  <c r="BF474" i="3"/>
  <c r="BG474" i="3"/>
  <c r="BH474" i="3"/>
  <c r="BI474" i="3"/>
  <c r="BJ474" i="3"/>
  <c r="BK474" i="3"/>
  <c r="BA474" i="3"/>
  <c r="BM474" i="3"/>
  <c r="BN474" i="3"/>
  <c r="BO474" i="3"/>
  <c r="BP474" i="3"/>
  <c r="BQ474" i="3"/>
  <c r="BR474" i="3"/>
  <c r="BS474" i="3"/>
  <c r="BT474" i="3"/>
  <c r="BL474" i="3"/>
  <c r="AZ474" i="3" s="1"/>
  <c r="BB475" i="3"/>
  <c r="BC475" i="3"/>
  <c r="BD475" i="3"/>
  <c r="BE475" i="3"/>
  <c r="BF475" i="3"/>
  <c r="BG475" i="3"/>
  <c r="BH475" i="3"/>
  <c r="BI475" i="3"/>
  <c r="BJ475" i="3"/>
  <c r="BK475" i="3"/>
  <c r="BA475" i="3"/>
  <c r="BM475" i="3"/>
  <c r="BN475" i="3"/>
  <c r="BO475" i="3"/>
  <c r="BP475" i="3"/>
  <c r="BQ475" i="3"/>
  <c r="BR475" i="3"/>
  <c r="BL475" i="3" s="1"/>
  <c r="AZ475" i="3" s="1"/>
  <c r="BS475" i="3"/>
  <c r="BT475" i="3"/>
  <c r="BB476" i="3"/>
  <c r="BC476" i="3"/>
  <c r="BD476" i="3"/>
  <c r="BE476" i="3"/>
  <c r="BF476" i="3"/>
  <c r="BG476" i="3"/>
  <c r="BH476" i="3"/>
  <c r="BI476" i="3"/>
  <c r="BJ476" i="3"/>
  <c r="BK476" i="3"/>
  <c r="BA476" i="3"/>
  <c r="BM476" i="3"/>
  <c r="BN476" i="3"/>
  <c r="BO476" i="3"/>
  <c r="BP476" i="3"/>
  <c r="BQ476" i="3"/>
  <c r="BR476" i="3"/>
  <c r="BL476" i="3" s="1"/>
  <c r="AZ476" i="3" s="1"/>
  <c r="BS476" i="3"/>
  <c r="BT476" i="3"/>
  <c r="BB477" i="3"/>
  <c r="BC477" i="3"/>
  <c r="BD477" i="3"/>
  <c r="BE477" i="3"/>
  <c r="BF477" i="3"/>
  <c r="BG477" i="3"/>
  <c r="BH477" i="3"/>
  <c r="BI477" i="3"/>
  <c r="BJ477" i="3"/>
  <c r="BK477" i="3"/>
  <c r="BA477" i="3" s="1"/>
  <c r="AZ477" i="3" s="1"/>
  <c r="BM477" i="3"/>
  <c r="BN477" i="3"/>
  <c r="BO477" i="3"/>
  <c r="BP477" i="3"/>
  <c r="BQ477" i="3"/>
  <c r="BR477" i="3"/>
  <c r="BS477" i="3"/>
  <c r="BT477" i="3"/>
  <c r="BL477" i="3"/>
  <c r="BB478" i="3"/>
  <c r="BC478" i="3"/>
  <c r="BD478" i="3"/>
  <c r="BE478" i="3"/>
  <c r="BF478" i="3"/>
  <c r="BG478" i="3"/>
  <c r="BH478" i="3"/>
  <c r="BI478" i="3"/>
  <c r="BJ478" i="3"/>
  <c r="BK478" i="3"/>
  <c r="BA478" i="3"/>
  <c r="BM478" i="3"/>
  <c r="BN478" i="3"/>
  <c r="BO478" i="3"/>
  <c r="BP478" i="3"/>
  <c r="BL478" i="3" s="1"/>
  <c r="AZ478" i="3" s="1"/>
  <c r="BQ478" i="3"/>
  <c r="BR478" i="3"/>
  <c r="BS478" i="3"/>
  <c r="BT478" i="3"/>
  <c r="BB479" i="3"/>
  <c r="BC479" i="3"/>
  <c r="BD479" i="3"/>
  <c r="BE479" i="3"/>
  <c r="BF479" i="3"/>
  <c r="BG479" i="3"/>
  <c r="BH479" i="3"/>
  <c r="BI479" i="3"/>
  <c r="BA479" i="3" s="1"/>
  <c r="AZ479" i="3" s="1"/>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O480" i="3"/>
  <c r="BP480" i="3"/>
  <c r="BQ480" i="3"/>
  <c r="BR480" i="3"/>
  <c r="BS480" i="3"/>
  <c r="BT480" i="3"/>
  <c r="BL480" i="3" s="1"/>
  <c r="AZ480" i="3" s="1"/>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s="1"/>
  <c r="AZ482" i="3" s="1"/>
  <c r="BB483" i="3"/>
  <c r="BC483" i="3"/>
  <c r="BD483" i="3"/>
  <c r="BE483" i="3"/>
  <c r="BF483" i="3"/>
  <c r="BG483" i="3"/>
  <c r="BH483" i="3"/>
  <c r="BI483" i="3"/>
  <c r="BJ483" i="3"/>
  <c r="BK483" i="3"/>
  <c r="BA483" i="3"/>
  <c r="BM483" i="3"/>
  <c r="BN483" i="3"/>
  <c r="BO483" i="3"/>
  <c r="BP483" i="3"/>
  <c r="BQ483" i="3"/>
  <c r="BR483" i="3"/>
  <c r="BS483" i="3"/>
  <c r="BT483" i="3"/>
  <c r="BL483" i="3" s="1"/>
  <c r="AZ483" i="3" s="1"/>
  <c r="BB484" i="3"/>
  <c r="BC484" i="3"/>
  <c r="BD484" i="3"/>
  <c r="BE484" i="3"/>
  <c r="BF484" i="3"/>
  <c r="BG484" i="3"/>
  <c r="BH484" i="3"/>
  <c r="BI484" i="3"/>
  <c r="BJ484" i="3"/>
  <c r="BK484" i="3"/>
  <c r="BA484" i="3" s="1"/>
  <c r="AZ484" i="3" s="1"/>
  <c r="BM484" i="3"/>
  <c r="BN484" i="3"/>
  <c r="BO484" i="3"/>
  <c r="BP484" i="3"/>
  <c r="BQ484" i="3"/>
  <c r="BR484" i="3"/>
  <c r="BS484" i="3"/>
  <c r="BT484" i="3"/>
  <c r="BL484" i="3"/>
  <c r="BB485" i="3"/>
  <c r="BC485" i="3"/>
  <c r="BD485" i="3"/>
  <c r="BE485" i="3"/>
  <c r="BF485" i="3"/>
  <c r="BG485" i="3"/>
  <c r="BH485" i="3"/>
  <c r="BI485" i="3"/>
  <c r="BJ485" i="3"/>
  <c r="BK485" i="3"/>
  <c r="BA485" i="3"/>
  <c r="BM485" i="3"/>
  <c r="BN485" i="3"/>
  <c r="BO485" i="3"/>
  <c r="BP485" i="3"/>
  <c r="BQ485" i="3"/>
  <c r="BR485" i="3"/>
  <c r="BL485" i="3" s="1"/>
  <c r="AZ485" i="3" s="1"/>
  <c r="BS485" i="3"/>
  <c r="BT485" i="3"/>
  <c r="BB486" i="3"/>
  <c r="BC486" i="3"/>
  <c r="BD486" i="3"/>
  <c r="BE486" i="3"/>
  <c r="BF486" i="3"/>
  <c r="BG486" i="3"/>
  <c r="BH486" i="3"/>
  <c r="BI486" i="3"/>
  <c r="BJ486" i="3"/>
  <c r="BK486" i="3"/>
  <c r="BA486" i="3" s="1"/>
  <c r="AZ486" i="3" s="1"/>
  <c r="BM486" i="3"/>
  <c r="BN486" i="3"/>
  <c r="BO486" i="3"/>
  <c r="BP486" i="3"/>
  <c r="BQ486" i="3"/>
  <c r="BR486" i="3"/>
  <c r="BS486" i="3"/>
  <c r="BT486" i="3"/>
  <c r="BL486" i="3"/>
  <c r="BB487" i="3"/>
  <c r="BC487" i="3"/>
  <c r="BD487" i="3"/>
  <c r="BE487" i="3"/>
  <c r="BF487" i="3"/>
  <c r="BG487" i="3"/>
  <c r="BH487" i="3"/>
  <c r="BI487" i="3"/>
  <c r="BJ487" i="3"/>
  <c r="BK487" i="3"/>
  <c r="BA487" i="3"/>
  <c r="BM487" i="3"/>
  <c r="BN487" i="3"/>
  <c r="BO487" i="3"/>
  <c r="BP487" i="3"/>
  <c r="BQ487" i="3"/>
  <c r="BR487" i="3"/>
  <c r="BS487" i="3"/>
  <c r="BT487" i="3"/>
  <c r="BL487" i="3" s="1"/>
  <c r="AZ487" i="3" s="1"/>
  <c r="BB488" i="3"/>
  <c r="BC488" i="3"/>
  <c r="BD488" i="3"/>
  <c r="BE488" i="3"/>
  <c r="BF488" i="3"/>
  <c r="BG488" i="3"/>
  <c r="BH488" i="3"/>
  <c r="BI488" i="3"/>
  <c r="BJ488" i="3"/>
  <c r="BK488" i="3"/>
  <c r="BA488" i="3"/>
  <c r="BM488" i="3"/>
  <c r="BN488" i="3"/>
  <c r="BO488" i="3"/>
  <c r="BP488" i="3"/>
  <c r="BQ488" i="3"/>
  <c r="BR488" i="3"/>
  <c r="BL488" i="3" s="1"/>
  <c r="AZ488" i="3" s="1"/>
  <c r="BS488" i="3"/>
  <c r="BT488" i="3"/>
  <c r="BB489" i="3"/>
  <c r="BC489" i="3"/>
  <c r="BD489" i="3"/>
  <c r="BE489" i="3"/>
  <c r="BF489" i="3"/>
  <c r="BG489" i="3"/>
  <c r="BH489" i="3"/>
  <c r="BI489" i="3"/>
  <c r="BJ489" i="3"/>
  <c r="BK489" i="3"/>
  <c r="BA489" i="3" s="1"/>
  <c r="AZ489" i="3" s="1"/>
  <c r="BM489" i="3"/>
  <c r="BN489" i="3"/>
  <c r="BO489" i="3"/>
  <c r="BP489" i="3"/>
  <c r="BQ489" i="3"/>
  <c r="BR489" i="3"/>
  <c r="BS489" i="3"/>
  <c r="BT489" i="3"/>
  <c r="BL489" i="3"/>
  <c r="BB490" i="3"/>
  <c r="BC490" i="3"/>
  <c r="BD490" i="3"/>
  <c r="BE490" i="3"/>
  <c r="BF490" i="3"/>
  <c r="BG490" i="3"/>
  <c r="BH490" i="3"/>
  <c r="BI490" i="3"/>
  <c r="BJ490" i="3"/>
  <c r="BK490" i="3"/>
  <c r="BA490" i="3" s="1"/>
  <c r="AZ490" i="3" s="1"/>
  <c r="BM490" i="3"/>
  <c r="BN490" i="3"/>
  <c r="BO490" i="3"/>
  <c r="BP490" i="3"/>
  <c r="BQ490" i="3"/>
  <c r="BR490" i="3"/>
  <c r="BS490" i="3"/>
  <c r="BT490" i="3"/>
  <c r="BL490" i="3"/>
  <c r="BB491" i="3"/>
  <c r="BC491" i="3"/>
  <c r="BD491" i="3"/>
  <c r="BE491" i="3"/>
  <c r="BF491" i="3"/>
  <c r="BG491" i="3"/>
  <c r="BH491" i="3"/>
  <c r="BI491" i="3"/>
  <c r="BJ491" i="3"/>
  <c r="BK491" i="3"/>
  <c r="BA491" i="3"/>
  <c r="BM491" i="3"/>
  <c r="BN491" i="3"/>
  <c r="BO491" i="3"/>
  <c r="BP491" i="3"/>
  <c r="BQ491" i="3"/>
  <c r="BR491" i="3"/>
  <c r="BS491" i="3"/>
  <c r="BT491" i="3"/>
  <c r="BL491" i="3" s="1"/>
  <c r="AZ491" i="3" s="1"/>
  <c r="BB492" i="3"/>
  <c r="BC492" i="3"/>
  <c r="BD492" i="3"/>
  <c r="BE492" i="3"/>
  <c r="BF492" i="3"/>
  <c r="BG492" i="3"/>
  <c r="BH492" i="3"/>
  <c r="BI492" i="3"/>
  <c r="BJ492" i="3"/>
  <c r="BK492" i="3"/>
  <c r="BA492" i="3"/>
  <c r="BM492" i="3"/>
  <c r="BN492" i="3"/>
  <c r="BO492" i="3"/>
  <c r="BP492" i="3"/>
  <c r="BQ492" i="3"/>
  <c r="BR492" i="3"/>
  <c r="BS492" i="3"/>
  <c r="BT492" i="3"/>
  <c r="BL492" i="3"/>
  <c r="AZ492" i="3" s="1"/>
  <c r="BB493" i="3"/>
  <c r="BC493" i="3"/>
  <c r="BD493" i="3"/>
  <c r="BE493" i="3"/>
  <c r="BF493" i="3"/>
  <c r="BG493" i="3"/>
  <c r="BH493" i="3"/>
  <c r="BI493" i="3"/>
  <c r="BJ493" i="3"/>
  <c r="BK493" i="3"/>
  <c r="BA493" i="3"/>
  <c r="BM493" i="3"/>
  <c r="BN493" i="3"/>
  <c r="BO493" i="3"/>
  <c r="BP493" i="3"/>
  <c r="BQ493" i="3"/>
  <c r="BR493" i="3"/>
  <c r="BS493" i="3"/>
  <c r="BT493" i="3"/>
  <c r="BL493" i="3"/>
  <c r="AZ493" i="3" s="1"/>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s="1"/>
  <c r="AZ495" i="3" s="1"/>
  <c r="BB496" i="3"/>
  <c r="BC496" i="3"/>
  <c r="BD496" i="3"/>
  <c r="BE496" i="3"/>
  <c r="BF496" i="3"/>
  <c r="BG496" i="3"/>
  <c r="BH496" i="3"/>
  <c r="BI496" i="3"/>
  <c r="BJ496" i="3"/>
  <c r="BK496" i="3"/>
  <c r="BA496" i="3"/>
  <c r="BM496" i="3"/>
  <c r="BN496" i="3"/>
  <c r="BO496" i="3"/>
  <c r="BP496" i="3"/>
  <c r="BQ496" i="3"/>
  <c r="BR496" i="3"/>
  <c r="BS496" i="3"/>
  <c r="BT496" i="3"/>
  <c r="BL496" i="3" s="1"/>
  <c r="AZ496" i="3" s="1"/>
  <c r="BB497" i="3"/>
  <c r="BC497" i="3"/>
  <c r="BD497" i="3"/>
  <c r="BE497" i="3"/>
  <c r="BF497" i="3"/>
  <c r="BG497" i="3"/>
  <c r="BH497" i="3"/>
  <c r="BI497" i="3"/>
  <c r="BJ497" i="3"/>
  <c r="BK497" i="3"/>
  <c r="BA497" i="3" s="1"/>
  <c r="AZ497" i="3" s="1"/>
  <c r="BM497" i="3"/>
  <c r="BN497" i="3"/>
  <c r="BO497" i="3"/>
  <c r="BP497" i="3"/>
  <c r="BQ497" i="3"/>
  <c r="BR497" i="3"/>
  <c r="BS497" i="3"/>
  <c r="BT497" i="3"/>
  <c r="BL497" i="3"/>
  <c r="BB498" i="3"/>
  <c r="BC498" i="3"/>
  <c r="BD498" i="3"/>
  <c r="BE498" i="3"/>
  <c r="BF498" i="3"/>
  <c r="BG498" i="3"/>
  <c r="BH498" i="3"/>
  <c r="BI498" i="3"/>
  <c r="BJ498" i="3"/>
  <c r="BK498" i="3"/>
  <c r="BA498" i="3"/>
  <c r="BM498" i="3"/>
  <c r="BN498" i="3"/>
  <c r="BO498" i="3"/>
  <c r="BP498" i="3"/>
  <c r="BL498" i="3" s="1"/>
  <c r="AZ498" i="3" s="1"/>
  <c r="BQ498" i="3"/>
  <c r="BR498" i="3"/>
  <c r="BS498" i="3"/>
  <c r="BT498" i="3"/>
  <c r="BB499" i="3"/>
  <c r="BC499" i="3"/>
  <c r="BD499" i="3"/>
  <c r="BE499" i="3"/>
  <c r="BF499" i="3"/>
  <c r="BG499" i="3"/>
  <c r="BH499" i="3"/>
  <c r="BI499" i="3"/>
  <c r="BJ499" i="3"/>
  <c r="BK499" i="3"/>
  <c r="BA499" i="3" s="1"/>
  <c r="AZ499" i="3" s="1"/>
  <c r="BM499" i="3"/>
  <c r="BN499" i="3"/>
  <c r="BO499" i="3"/>
  <c r="BP499" i="3"/>
  <c r="BQ499" i="3"/>
  <c r="BR499" i="3"/>
  <c r="BS499" i="3"/>
  <c r="BT499" i="3"/>
  <c r="BL499" i="3"/>
  <c r="BB500" i="3"/>
  <c r="BC500" i="3"/>
  <c r="BD500" i="3"/>
  <c r="BE500" i="3"/>
  <c r="BF500" i="3"/>
  <c r="BG500" i="3"/>
  <c r="BH500" i="3"/>
  <c r="BI500" i="3"/>
  <c r="BJ500" i="3"/>
  <c r="BK500" i="3"/>
  <c r="BA500" i="3"/>
  <c r="BM500" i="3"/>
  <c r="BN500" i="3"/>
  <c r="BO500" i="3"/>
  <c r="BP500" i="3"/>
  <c r="BQ500" i="3"/>
  <c r="BR500" i="3"/>
  <c r="BL500" i="3" s="1"/>
  <c r="AZ500" i="3" s="1"/>
  <c r="BS500" i="3"/>
  <c r="BT500" i="3"/>
  <c r="BB501" i="3"/>
  <c r="BC501" i="3"/>
  <c r="BD501" i="3"/>
  <c r="BE501" i="3"/>
  <c r="BF501" i="3"/>
  <c r="BG501" i="3"/>
  <c r="BH501" i="3"/>
  <c r="BI501" i="3"/>
  <c r="BJ501" i="3"/>
  <c r="BK501" i="3"/>
  <c r="BA501" i="3"/>
  <c r="BM501" i="3"/>
  <c r="BN501" i="3"/>
  <c r="BO501" i="3"/>
  <c r="BP501" i="3"/>
  <c r="BQ501" i="3"/>
  <c r="BR501" i="3"/>
  <c r="BS501" i="3"/>
  <c r="BT501" i="3"/>
  <c r="BL501" i="3"/>
  <c r="AZ501" i="3" s="1"/>
  <c r="BB502" i="3"/>
  <c r="BC502" i="3"/>
  <c r="BD502" i="3"/>
  <c r="BE502" i="3"/>
  <c r="BF502" i="3"/>
  <c r="BG502" i="3"/>
  <c r="BH502" i="3"/>
  <c r="BI502" i="3"/>
  <c r="BJ502" i="3"/>
  <c r="BK502" i="3"/>
  <c r="BA502" i="3"/>
  <c r="BM502" i="3"/>
  <c r="BN502" i="3"/>
  <c r="BO502" i="3"/>
  <c r="BP502" i="3"/>
  <c r="BQ502" i="3"/>
  <c r="BR502" i="3"/>
  <c r="BL502" i="3" s="1"/>
  <c r="AZ502" i="3" s="1"/>
  <c r="BS502" i="3"/>
  <c r="BT502" i="3"/>
  <c r="BB503" i="3"/>
  <c r="BC503" i="3"/>
  <c r="BD503" i="3"/>
  <c r="BE503" i="3"/>
  <c r="BF503" i="3"/>
  <c r="BG503" i="3"/>
  <c r="BH503" i="3"/>
  <c r="BI503" i="3"/>
  <c r="BJ503" i="3"/>
  <c r="BK503" i="3"/>
  <c r="BA503" i="3" s="1"/>
  <c r="AZ503" i="3" s="1"/>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D505" i="3"/>
  <c r="BE505" i="3"/>
  <c r="BF505" i="3"/>
  <c r="BG505" i="3"/>
  <c r="BA505" i="3" s="1"/>
  <c r="AZ505" i="3" s="1"/>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D507" i="3"/>
  <c r="BE507" i="3"/>
  <c r="BF507" i="3"/>
  <c r="BG507" i="3"/>
  <c r="BA507" i="3" s="1"/>
  <c r="AZ507" i="3" s="1"/>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D509" i="3"/>
  <c r="BE509" i="3"/>
  <c r="BF509" i="3"/>
  <c r="BG509" i="3"/>
  <c r="BA509" i="3" s="1"/>
  <c r="AZ509" i="3" s="1"/>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O510" i="3"/>
  <c r="BP510" i="3"/>
  <c r="BL510" i="3" s="1"/>
  <c r="AZ510" i="3" s="1"/>
  <c r="BQ510" i="3"/>
  <c r="BR510" i="3"/>
  <c r="BS510" i="3"/>
  <c r="BT510" i="3"/>
  <c r="BB511" i="3"/>
  <c r="BC511" i="3"/>
  <c r="BD511" i="3"/>
  <c r="BE511" i="3"/>
  <c r="BF511" i="3"/>
  <c r="BG511" i="3"/>
  <c r="BH511" i="3"/>
  <c r="BI511" i="3"/>
  <c r="BA511" i="3" s="1"/>
  <c r="AZ511" i="3" s="1"/>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O512" i="3"/>
  <c r="BP512" i="3"/>
  <c r="BQ512" i="3"/>
  <c r="BR512" i="3"/>
  <c r="BL512" i="3" s="1"/>
  <c r="AZ512" i="3" s="1"/>
  <c r="BS512" i="3"/>
  <c r="BT512" i="3"/>
  <c r="BB513" i="3"/>
  <c r="BC513" i="3"/>
  <c r="BD513" i="3"/>
  <c r="BE513" i="3"/>
  <c r="BF513" i="3"/>
  <c r="BG513" i="3"/>
  <c r="BH513" i="3"/>
  <c r="BI513" i="3"/>
  <c r="BJ513" i="3"/>
  <c r="BK513" i="3"/>
  <c r="BA513" i="3"/>
  <c r="BM513" i="3"/>
  <c r="BN513" i="3"/>
  <c r="BO513" i="3"/>
  <c r="BP513" i="3"/>
  <c r="BQ513" i="3"/>
  <c r="BR513" i="3"/>
  <c r="BS513" i="3"/>
  <c r="BT513" i="3"/>
  <c r="BL513" i="3"/>
  <c r="AZ513" i="3" s="1"/>
  <c r="BB514" i="3"/>
  <c r="BC514" i="3"/>
  <c r="BD514" i="3"/>
  <c r="BE514" i="3"/>
  <c r="BF514" i="3"/>
  <c r="BG514" i="3"/>
  <c r="BH514" i="3"/>
  <c r="BI514" i="3"/>
  <c r="BJ514" i="3"/>
  <c r="BK514" i="3"/>
  <c r="BA514" i="3"/>
  <c r="BM514" i="3"/>
  <c r="BN514" i="3"/>
  <c r="BO514" i="3"/>
  <c r="BP514" i="3"/>
  <c r="BQ514" i="3"/>
  <c r="BR514" i="3"/>
  <c r="BS514" i="3"/>
  <c r="BT514" i="3"/>
  <c r="BL514" i="3"/>
  <c r="AZ514" i="3" s="1"/>
  <c r="BB515" i="3"/>
  <c r="BC515" i="3"/>
  <c r="BD515" i="3"/>
  <c r="BE515" i="3"/>
  <c r="BF515" i="3"/>
  <c r="BG515" i="3"/>
  <c r="BH515" i="3"/>
  <c r="BI515" i="3"/>
  <c r="BJ515" i="3"/>
  <c r="BK515" i="3"/>
  <c r="BA515" i="3"/>
  <c r="BM515" i="3"/>
  <c r="BN515" i="3"/>
  <c r="BO515" i="3"/>
  <c r="BP515" i="3"/>
  <c r="BQ515" i="3"/>
  <c r="BR515" i="3"/>
  <c r="BS515" i="3"/>
  <c r="BT515" i="3"/>
  <c r="BL515" i="3"/>
  <c r="AZ515" i="3" s="1"/>
  <c r="BB516" i="3"/>
  <c r="BC516" i="3"/>
  <c r="BD516" i="3"/>
  <c r="BE516" i="3"/>
  <c r="BF516" i="3"/>
  <c r="BG516" i="3"/>
  <c r="BH516" i="3"/>
  <c r="BI516" i="3"/>
  <c r="BJ516" i="3"/>
  <c r="BK516" i="3"/>
  <c r="BA516" i="3"/>
  <c r="BM516" i="3"/>
  <c r="BN516" i="3"/>
  <c r="BO516" i="3"/>
  <c r="BP516" i="3"/>
  <c r="BQ516" i="3"/>
  <c r="BR516" i="3"/>
  <c r="BL516" i="3" s="1"/>
  <c r="AZ516" i="3" s="1"/>
  <c r="BS516" i="3"/>
  <c r="BT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s="1"/>
  <c r="AZ518" i="3" s="1"/>
  <c r="BM518" i="3"/>
  <c r="BN518" i="3"/>
  <c r="BO518" i="3"/>
  <c r="BP518" i="3"/>
  <c r="BQ518" i="3"/>
  <c r="BR518" i="3"/>
  <c r="BS518" i="3"/>
  <c r="BT518" i="3"/>
  <c r="BL518" i="3"/>
  <c r="BB519" i="3"/>
  <c r="BC519" i="3"/>
  <c r="BD519" i="3"/>
  <c r="BE519" i="3"/>
  <c r="BF519" i="3"/>
  <c r="BG519" i="3"/>
  <c r="BH519" i="3"/>
  <c r="BI519" i="3"/>
  <c r="BJ519" i="3"/>
  <c r="BK519" i="3"/>
  <c r="BA519" i="3"/>
  <c r="BM519" i="3"/>
  <c r="BN519" i="3"/>
  <c r="BO519" i="3"/>
  <c r="BP519" i="3"/>
  <c r="BL519" i="3" s="1"/>
  <c r="AZ519" i="3" s="1"/>
  <c r="BQ519" i="3"/>
  <c r="BR519" i="3"/>
  <c r="BS519" i="3"/>
  <c r="BT519" i="3"/>
  <c r="BB520" i="3"/>
  <c r="BC520" i="3"/>
  <c r="BD520" i="3"/>
  <c r="BE520" i="3"/>
  <c r="BF520" i="3"/>
  <c r="BG520" i="3"/>
  <c r="BH520" i="3"/>
  <c r="BI520" i="3"/>
  <c r="BA520" i="3" s="1"/>
  <c r="AZ520" i="3" s="1"/>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O521" i="3"/>
  <c r="BP521" i="3"/>
  <c r="BL521" i="3" s="1"/>
  <c r="AZ521" i="3" s="1"/>
  <c r="BQ521" i="3"/>
  <c r="BR521" i="3"/>
  <c r="BS521" i="3"/>
  <c r="BT521" i="3"/>
  <c r="BB522" i="3"/>
  <c r="BC522" i="3"/>
  <c r="BD522" i="3"/>
  <c r="BE522" i="3"/>
  <c r="BF522" i="3"/>
  <c r="BG522" i="3"/>
  <c r="BH522" i="3"/>
  <c r="BI522" i="3"/>
  <c r="BJ522" i="3"/>
  <c r="BK522" i="3"/>
  <c r="BA522" i="3"/>
  <c r="BM522" i="3"/>
  <c r="BN522" i="3"/>
  <c r="BO522" i="3"/>
  <c r="BP522" i="3"/>
  <c r="BQ522" i="3"/>
  <c r="BR522" i="3"/>
  <c r="BS522" i="3"/>
  <c r="BT522" i="3"/>
  <c r="BL522" i="3"/>
  <c r="AZ522" i="3" s="1"/>
  <c r="BB523" i="3"/>
  <c r="BC523" i="3"/>
  <c r="BD523" i="3"/>
  <c r="BE523" i="3"/>
  <c r="BF523" i="3"/>
  <c r="BG523" i="3"/>
  <c r="BH523" i="3"/>
  <c r="BI523" i="3"/>
  <c r="BJ523" i="3"/>
  <c r="BK523" i="3"/>
  <c r="BA523" i="3"/>
  <c r="BM523" i="3"/>
  <c r="BN523" i="3"/>
  <c r="BO523" i="3"/>
  <c r="BP523" i="3"/>
  <c r="BQ523" i="3"/>
  <c r="BR523" i="3"/>
  <c r="BL523" i="3" s="1"/>
  <c r="AZ523" i="3" s="1"/>
  <c r="BS523" i="3"/>
  <c r="BT523" i="3"/>
  <c r="BB524" i="3"/>
  <c r="BC524" i="3"/>
  <c r="BD524" i="3"/>
  <c r="BE524" i="3"/>
  <c r="BF524" i="3"/>
  <c r="BG524" i="3"/>
  <c r="BH524" i="3"/>
  <c r="BI524" i="3"/>
  <c r="BJ524" i="3"/>
  <c r="BK524" i="3"/>
  <c r="BA524" i="3"/>
  <c r="BM524" i="3"/>
  <c r="BN524" i="3"/>
  <c r="BO524" i="3"/>
  <c r="BP524" i="3"/>
  <c r="BQ524" i="3"/>
  <c r="BR524" i="3"/>
  <c r="BS524" i="3"/>
  <c r="BT524" i="3"/>
  <c r="BL524" i="3"/>
  <c r="AZ524" i="3" s="1"/>
  <c r="BB525" i="3"/>
  <c r="BC525" i="3"/>
  <c r="BD525" i="3"/>
  <c r="BE525" i="3"/>
  <c r="BF525" i="3"/>
  <c r="BG525" i="3"/>
  <c r="BH525" i="3"/>
  <c r="BI525" i="3"/>
  <c r="BJ525" i="3"/>
  <c r="BK525" i="3"/>
  <c r="BA525" i="3"/>
  <c r="BM525" i="3"/>
  <c r="BN525" i="3"/>
  <c r="BO525" i="3"/>
  <c r="BP525" i="3"/>
  <c r="BQ525" i="3"/>
  <c r="BR525" i="3"/>
  <c r="BL525" i="3" s="1"/>
  <c r="AZ525" i="3" s="1"/>
  <c r="BS525" i="3"/>
  <c r="BT525" i="3"/>
  <c r="BB526" i="3"/>
  <c r="BC526" i="3"/>
  <c r="BD526" i="3"/>
  <c r="BE526" i="3"/>
  <c r="BF526" i="3"/>
  <c r="BG526" i="3"/>
  <c r="BH526" i="3"/>
  <c r="BI526" i="3"/>
  <c r="BJ526" i="3"/>
  <c r="BK526" i="3"/>
  <c r="BA526" i="3"/>
  <c r="BM526" i="3"/>
  <c r="BN526" i="3"/>
  <c r="BO526" i="3"/>
  <c r="BP526" i="3"/>
  <c r="BQ526" i="3"/>
  <c r="BR526" i="3"/>
  <c r="BS526" i="3"/>
  <c r="BT526" i="3"/>
  <c r="BL526" i="3" s="1"/>
  <c r="AZ526" i="3" s="1"/>
  <c r="BB527" i="3"/>
  <c r="BC527" i="3"/>
  <c r="BD527" i="3"/>
  <c r="BE527" i="3"/>
  <c r="BF527" i="3"/>
  <c r="BG527" i="3"/>
  <c r="BH527" i="3"/>
  <c r="BI527" i="3"/>
  <c r="BJ527" i="3"/>
  <c r="BK527" i="3"/>
  <c r="BA527" i="3"/>
  <c r="BM527" i="3"/>
  <c r="BN527" i="3"/>
  <c r="BL527" i="3" s="1"/>
  <c r="AZ527" i="3" s="1"/>
  <c r="BO527" i="3"/>
  <c r="BP527" i="3"/>
  <c r="BQ527" i="3"/>
  <c r="BR527" i="3"/>
  <c r="BS527" i="3"/>
  <c r="BT527" i="3"/>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s="1"/>
  <c r="AZ529" i="3" s="1"/>
  <c r="BO529" i="3"/>
  <c r="BP529" i="3"/>
  <c r="BQ529" i="3"/>
  <c r="BR529" i="3"/>
  <c r="BS529" i="3"/>
  <c r="BT529" i="3"/>
  <c r="BB530" i="3"/>
  <c r="BC530" i="3"/>
  <c r="BA530" i="3" s="1"/>
  <c r="AZ530" i="3" s="1"/>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s="1"/>
  <c r="AZ587" i="3" s="1"/>
  <c r="BO587" i="3"/>
  <c r="BP587" i="3"/>
  <c r="BQ587" i="3"/>
  <c r="BR587" i="3"/>
  <c r="BS587" i="3"/>
  <c r="BT587" i="3"/>
  <c r="AC13" i="3"/>
  <c r="H14" i="3"/>
  <c r="AC14" i="3"/>
  <c r="G14" i="3" s="1"/>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AD9" i="71"/>
  <c r="AG9" i="71"/>
  <c r="AH9" i="71"/>
  <c r="AE9" i="71"/>
  <c r="AF9" i="71" s="1"/>
  <c r="X8" i="71"/>
  <c r="AB8" i="71"/>
  <c r="AA8" i="71"/>
  <c r="Y8" i="71"/>
  <c r="Z8" i="71"/>
  <c r="T9" i="71"/>
  <c r="S9" i="71"/>
  <c r="V9" i="71"/>
  <c r="D9" i="71"/>
  <c r="U9" i="71" s="1"/>
  <c r="AB9" i="71"/>
  <c r="Y9" i="71"/>
  <c r="Z9" i="71"/>
  <c r="X9" i="71"/>
  <c r="AA9" i="71"/>
  <c r="A2" i="53"/>
  <c r="K59" i="67"/>
  <c r="P61" i="67" s="1"/>
  <c r="K59" i="15"/>
  <c r="P74" i="15" s="1"/>
  <c r="P61" i="15"/>
  <c r="D116" i="39"/>
  <c r="E116" i="39"/>
  <c r="F116" i="39"/>
  <c r="G116" i="39"/>
  <c r="H116" i="39"/>
  <c r="I116" i="39"/>
  <c r="J116" i="39"/>
  <c r="K116" i="39"/>
  <c r="L116" i="39"/>
  <c r="M116" i="39"/>
  <c r="C116" i="39"/>
  <c r="A21" i="62"/>
  <c r="A20" i="62"/>
  <c r="A22" i="51"/>
  <c r="A21" i="51"/>
  <c r="A20" i="51"/>
  <c r="L20" i="4"/>
  <c r="A15" i="62" s="1"/>
  <c r="B61" i="72" s="1"/>
  <c r="L21" i="4"/>
  <c r="L22" i="4"/>
  <c r="A14" i="62"/>
  <c r="A13" i="62"/>
  <c r="A19" i="62"/>
  <c r="A12" i="62"/>
  <c r="B58" i="72"/>
  <c r="A120" i="9"/>
  <c r="H2" i="52"/>
  <c r="A1" i="52"/>
  <c r="A3" i="53"/>
  <c r="A15" i="51"/>
  <c r="C76" i="9"/>
  <c r="I107" i="40"/>
  <c r="K6" i="4"/>
  <c r="B22" i="31"/>
  <c r="N56" i="9"/>
  <c r="M56" i="9"/>
  <c r="K56" i="9"/>
  <c r="E17" i="74"/>
  <c r="F17" i="74"/>
  <c r="E18" i="74"/>
  <c r="F18" i="74"/>
  <c r="E19" i="74"/>
  <c r="F19" i="74"/>
  <c r="E20" i="74"/>
  <c r="F20" i="74"/>
  <c r="E21" i="74"/>
  <c r="F21" i="74"/>
  <c r="E22" i="74"/>
  <c r="F22" i="74"/>
  <c r="E23" i="74"/>
  <c r="F23" i="74"/>
  <c r="B3" i="74"/>
  <c r="C91" i="9"/>
  <c r="B8" i="72"/>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A10" i="52" s="1"/>
  <c r="B55" i="72" s="1"/>
  <c r="B44" i="72"/>
  <c r="B42" i="72"/>
  <c r="B69" i="72"/>
  <c r="B68" i="72"/>
  <c r="B63" i="72"/>
  <c r="B62" i="72"/>
  <c r="B16" i="72"/>
  <c r="B65" i="72"/>
  <c r="B60" i="72"/>
  <c r="B59" i="72"/>
  <c r="B67" i="72"/>
  <c r="B66" i="72"/>
  <c r="B12" i="72"/>
  <c r="B10" i="72"/>
  <c r="C53" i="10"/>
  <c r="B51" i="10"/>
  <c r="B19" i="72"/>
  <c r="A18" i="51"/>
  <c r="B13" i="72"/>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S53" i="71" s="1"/>
  <c r="F52" i="71"/>
  <c r="F51" i="71" s="1"/>
  <c r="D50" i="71"/>
  <c r="Q49" i="71"/>
  <c r="P49" i="71"/>
  <c r="O49" i="71"/>
  <c r="N49" i="71"/>
  <c r="Q48" i="71"/>
  <c r="P48" i="71"/>
  <c r="O48" i="71"/>
  <c r="N48" i="71"/>
  <c r="Q47" i="71"/>
  <c r="P47" i="71"/>
  <c r="O47" i="71"/>
  <c r="N47" i="71"/>
  <c r="Q46" i="71"/>
  <c r="F47" i="71"/>
  <c r="F48" i="71" s="1"/>
  <c r="F49" i="71" s="1"/>
  <c r="V49" i="71" s="1"/>
  <c r="P46" i="71"/>
  <c r="E47" i="71" s="1"/>
  <c r="E48" i="71" s="1"/>
  <c r="E49" i="71" s="1"/>
  <c r="U49" i="71" s="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c r="O42" i="71"/>
  <c r="C43" i="71"/>
  <c r="C44" i="71" s="1"/>
  <c r="N42" i="71"/>
  <c r="B43" i="71"/>
  <c r="B44" i="71" s="1"/>
  <c r="B45" i="71" s="1"/>
  <c r="S45" i="71" s="1"/>
  <c r="D42" i="71"/>
  <c r="Q41" i="71"/>
  <c r="P41" i="71"/>
  <c r="O41" i="71"/>
  <c r="N41" i="71"/>
  <c r="Q40" i="71"/>
  <c r="P40" i="71"/>
  <c r="O40" i="71"/>
  <c r="N40" i="71"/>
  <c r="Q39" i="71"/>
  <c r="P39" i="71"/>
  <c r="O39" i="71"/>
  <c r="N39" i="71"/>
  <c r="O38" i="71"/>
  <c r="C39" i="71"/>
  <c r="C40" i="71" s="1"/>
  <c r="Q38" i="71"/>
  <c r="F39" i="71"/>
  <c r="F40" i="71" s="1"/>
  <c r="F41" i="71" s="1"/>
  <c r="V41" i="71" s="1"/>
  <c r="P38" i="71"/>
  <c r="E39" i="71" s="1"/>
  <c r="E40" i="71" s="1"/>
  <c r="E41" i="71" s="1"/>
  <c r="U41"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c r="C36" i="71" s="1"/>
  <c r="N34" i="71"/>
  <c r="B35" i="71"/>
  <c r="B36" i="71" s="1"/>
  <c r="B37" i="71" s="1"/>
  <c r="S37" i="71" s="1"/>
  <c r="D34" i="71"/>
  <c r="T33" i="71"/>
  <c r="Q33" i="71"/>
  <c r="P33" i="71"/>
  <c r="O33" i="71"/>
  <c r="N33" i="71"/>
  <c r="D33" i="71"/>
  <c r="Q32" i="71"/>
  <c r="P32" i="71"/>
  <c r="O32" i="71"/>
  <c r="N32" i="71"/>
  <c r="Q31" i="71"/>
  <c r="P31" i="71"/>
  <c r="O31" i="71"/>
  <c r="N31" i="71"/>
  <c r="Q30" i="71"/>
  <c r="F31" i="71"/>
  <c r="F32" i="71" s="1"/>
  <c r="F33" i="71" s="1"/>
  <c r="V33" i="71" s="1"/>
  <c r="P30" i="71"/>
  <c r="E31" i="71" s="1"/>
  <c r="E32" i="71" s="1"/>
  <c r="E33" i="71" s="1"/>
  <c r="U33" i="71" s="1"/>
  <c r="O30" i="71"/>
  <c r="C31" i="71"/>
  <c r="N30" i="71"/>
  <c r="B31" i="71"/>
  <c r="B32" i="71" s="1"/>
  <c r="B33" i="71" s="1"/>
  <c r="S33" i="71" s="1"/>
  <c r="D30" i="71"/>
  <c r="Q29" i="71"/>
  <c r="P29" i="71"/>
  <c r="O29" i="71"/>
  <c r="N29" i="71"/>
  <c r="Q28" i="71"/>
  <c r="P28" i="71"/>
  <c r="O28" i="71"/>
  <c r="N28" i="71"/>
  <c r="Q27" i="71"/>
  <c r="P27" i="71"/>
  <c r="O27" i="71"/>
  <c r="N27" i="71"/>
  <c r="Q26" i="71"/>
  <c r="F27" i="71"/>
  <c r="F28" i="71" s="1"/>
  <c r="F29" i="71" s="1"/>
  <c r="V29" i="71" s="1"/>
  <c r="P26" i="71"/>
  <c r="E27" i="71" s="1"/>
  <c r="E28" i="71" s="1"/>
  <c r="E29" i="71" s="1"/>
  <c r="U29" i="71" s="1"/>
  <c r="O26" i="71"/>
  <c r="C27" i="71"/>
  <c r="D27" i="71" s="1"/>
  <c r="N26" i="71"/>
  <c r="B27" i="71"/>
  <c r="B28" i="71" s="1"/>
  <c r="B29" i="71" s="1"/>
  <c r="S29" i="71" s="1"/>
  <c r="D26" i="71"/>
  <c r="Q25" i="71"/>
  <c r="P25" i="71"/>
  <c r="O25" i="71"/>
  <c r="N25" i="71"/>
  <c r="AB24" i="71"/>
  <c r="AA24" i="71"/>
  <c r="Y24" i="71"/>
  <c r="Z24" i="71"/>
  <c r="X24" i="71"/>
  <c r="AB23" i="71"/>
  <c r="Y23" i="71"/>
  <c r="Z23" i="71"/>
  <c r="F23" i="71"/>
  <c r="F24" i="71"/>
  <c r="F25" i="71" s="1"/>
  <c r="V25" i="71" s="1"/>
  <c r="D22" i="71"/>
  <c r="AB21" i="71"/>
  <c r="Y21" i="71"/>
  <c r="Z21" i="71"/>
  <c r="AB20" i="71"/>
  <c r="Y20" i="71"/>
  <c r="Z20" i="71" s="1"/>
  <c r="AB19" i="71"/>
  <c r="Y19" i="71"/>
  <c r="Z19" i="71"/>
  <c r="F19" i="71"/>
  <c r="F20" i="71"/>
  <c r="F21" i="71" s="1"/>
  <c r="V21" i="71" s="1"/>
  <c r="D18" i="71"/>
  <c r="AB17" i="71"/>
  <c r="Y17" i="71"/>
  <c r="Z17" i="71"/>
  <c r="AB16" i="71"/>
  <c r="Y16" i="71"/>
  <c r="Z16" i="71" s="1"/>
  <c r="AB15" i="71"/>
  <c r="Y15" i="71"/>
  <c r="Z15" i="71"/>
  <c r="F15" i="71"/>
  <c r="F16" i="71"/>
  <c r="F17" i="71" s="1"/>
  <c r="V17" i="71" s="1"/>
  <c r="D14" i="71"/>
  <c r="B15" i="71"/>
  <c r="B16" i="71" s="1"/>
  <c r="B17" i="71" s="1"/>
  <c r="S17" i="71" s="1"/>
  <c r="X14" i="71"/>
  <c r="E15" i="71"/>
  <c r="E16" i="71"/>
  <c r="E17" i="71" s="1"/>
  <c r="U17" i="71" s="1"/>
  <c r="AA14" i="71"/>
  <c r="B19" i="71"/>
  <c r="B20" i="71" s="1"/>
  <c r="B21" i="71" s="1"/>
  <c r="S21" i="71" s="1"/>
  <c r="X18" i="71"/>
  <c r="B23" i="71"/>
  <c r="B24" i="71"/>
  <c r="B25" i="71" s="1"/>
  <c r="S25" i="71" s="1"/>
  <c r="X22" i="71"/>
  <c r="E23" i="71"/>
  <c r="E24" i="71" s="1"/>
  <c r="E25" i="71" s="1"/>
  <c r="U25" i="71" s="1"/>
  <c r="AA22" i="71"/>
  <c r="E19" i="71"/>
  <c r="E20" i="71" s="1"/>
  <c r="E21" i="71" s="1"/>
  <c r="U21" i="71" s="1"/>
  <c r="AA18" i="71"/>
  <c r="C15" i="71"/>
  <c r="Y14" i="71"/>
  <c r="Z14" i="71" s="1"/>
  <c r="AB14" i="71"/>
  <c r="X15" i="71"/>
  <c r="AA15" i="71"/>
  <c r="X16" i="71"/>
  <c r="AA16" i="71"/>
  <c r="X17" i="71"/>
  <c r="AA17" i="71"/>
  <c r="C19" i="71"/>
  <c r="C20" i="71"/>
  <c r="C21" i="71" s="1"/>
  <c r="Y18" i="71"/>
  <c r="Z18" i="71"/>
  <c r="AB18" i="71"/>
  <c r="X19" i="71"/>
  <c r="AA19" i="71"/>
  <c r="X20" i="71"/>
  <c r="AA20" i="71"/>
  <c r="X21" i="71"/>
  <c r="AA21" i="71"/>
  <c r="C23" i="71"/>
  <c r="D23" i="71" s="1"/>
  <c r="Y22" i="71"/>
  <c r="Z22" i="71"/>
  <c r="AB22" i="71"/>
  <c r="X23" i="71"/>
  <c r="AA23" i="71"/>
  <c r="C13" i="71"/>
  <c r="Y3" i="71"/>
  <c r="Z3" i="71" s="1"/>
  <c r="Y10" i="71"/>
  <c r="Z10" i="71" s="1"/>
  <c r="Y11" i="71"/>
  <c r="Z11" i="71" s="1"/>
  <c r="Y12" i="71"/>
  <c r="Z12" i="71" s="1"/>
  <c r="Y13" i="71"/>
  <c r="Z13" i="71" s="1"/>
  <c r="B13" i="71"/>
  <c r="B12" i="71" s="1"/>
  <c r="B11" i="71" s="1"/>
  <c r="X10" i="71"/>
  <c r="X11" i="71"/>
  <c r="X12" i="71"/>
  <c r="X13" i="71"/>
  <c r="C16" i="71"/>
  <c r="D15" i="71"/>
  <c r="D19" i="71"/>
  <c r="C24" i="71"/>
  <c r="C25" i="71" s="1"/>
  <c r="C28" i="71"/>
  <c r="C29" i="71" s="1"/>
  <c r="C32" i="71"/>
  <c r="D32" i="71" s="1"/>
  <c r="D31" i="71"/>
  <c r="D35" i="71"/>
  <c r="E44" i="71"/>
  <c r="E45" i="71" s="1"/>
  <c r="U45" i="71" s="1"/>
  <c r="U53" i="71"/>
  <c r="E52" i="71"/>
  <c r="P52" i="71" s="1"/>
  <c r="D39" i="71"/>
  <c r="D43" i="71"/>
  <c r="T53" i="71"/>
  <c r="O53" i="71"/>
  <c r="D53" i="71"/>
  <c r="C52" i="71"/>
  <c r="Q53" i="71"/>
  <c r="E56" i="71"/>
  <c r="E55" i="71" s="1"/>
  <c r="D57" i="71"/>
  <c r="C60" i="71"/>
  <c r="E60" i="71"/>
  <c r="E59" i="71" s="1"/>
  <c r="D61" i="71"/>
  <c r="E64" i="71"/>
  <c r="E63" i="71" s="1"/>
  <c r="D65" i="71"/>
  <c r="C72" i="71"/>
  <c r="C71" i="71" s="1"/>
  <c r="D71" i="71" s="1"/>
  <c r="T13" i="71"/>
  <c r="C12" i="71"/>
  <c r="C11" i="71" s="1"/>
  <c r="D11" i="71" s="1"/>
  <c r="F13" i="71"/>
  <c r="F12" i="71" s="1"/>
  <c r="F11" i="71" s="1"/>
  <c r="AB10" i="71"/>
  <c r="AB11" i="71"/>
  <c r="AB12" i="71"/>
  <c r="AB13" i="71"/>
  <c r="E13" i="71"/>
  <c r="E12" i="71"/>
  <c r="E11" i="71" s="1"/>
  <c r="AA3" i="71"/>
  <c r="AA10" i="71"/>
  <c r="AA11" i="71"/>
  <c r="AA12" i="71"/>
  <c r="AA13" i="71"/>
  <c r="D13" i="71"/>
  <c r="U13" i="71"/>
  <c r="C51" i="71"/>
  <c r="O52" i="71"/>
  <c r="D52" i="71"/>
  <c r="D60" i="71"/>
  <c r="C59" i="71"/>
  <c r="D59" i="71" s="1"/>
  <c r="D72" i="71"/>
  <c r="E51" i="71"/>
  <c r="P50" i="71" s="1"/>
  <c r="D28" i="71"/>
  <c r="D24" i="71"/>
  <c r="D20" i="71"/>
  <c r="C17" i="71"/>
  <c r="D16" i="71"/>
  <c r="V13" i="71"/>
  <c r="P51" i="71"/>
  <c r="O51" i="71"/>
  <c r="D51" i="71"/>
  <c r="O50" i="71"/>
  <c r="T17" i="71"/>
  <c r="D1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A10" i="70"/>
  <c r="E10" i="70" s="1"/>
  <c r="A11" i="70"/>
  <c r="E11" i="70" s="1"/>
  <c r="A12" i="70"/>
  <c r="E12" i="70" s="1"/>
  <c r="A13" i="70"/>
  <c r="E13" i="70" s="1"/>
  <c r="A6" i="70"/>
  <c r="Q25" i="40"/>
  <c r="Z25" i="40"/>
  <c r="D94" i="40"/>
  <c r="E94" i="40"/>
  <c r="F25" i="40"/>
  <c r="AA25" i="40"/>
  <c r="Q29" i="39"/>
  <c r="Z29" i="39"/>
  <c r="D103" i="39"/>
  <c r="E103" i="39"/>
  <c r="F29" i="39"/>
  <c r="AA29" i="39"/>
  <c r="Q18" i="36"/>
  <c r="Z18" i="36"/>
  <c r="D66" i="36"/>
  <c r="E66" i="36"/>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F21" i="34"/>
  <c r="AA21" i="34"/>
  <c r="C21" i="34"/>
  <c r="Q21" i="33"/>
  <c r="Z21" i="33" s="1"/>
  <c r="E83" i="33"/>
  <c r="C21" i="33"/>
  <c r="C21" i="21"/>
  <c r="Q21" i="21"/>
  <c r="Z21" i="21"/>
  <c r="D81" i="21"/>
  <c r="E81" i="21"/>
  <c r="H19" i="21" s="1"/>
  <c r="D83" i="21"/>
  <c r="E83" i="21" s="1"/>
  <c r="F83" i="21" s="1"/>
  <c r="G83" i="21" s="1"/>
  <c r="F21" i="21"/>
  <c r="AA21" i="21" s="1"/>
  <c r="G20" i="20"/>
  <c r="B86" i="43"/>
  <c r="C22" i="20"/>
  <c r="B75" i="43"/>
  <c r="B55" i="43"/>
  <c r="B66" i="43"/>
  <c r="C25" i="40"/>
  <c r="C29" i="39"/>
  <c r="S25" i="40"/>
  <c r="S29" i="39"/>
  <c r="U18" i="36"/>
  <c r="S21" i="34"/>
  <c r="F94" i="40"/>
  <c r="H25" i="40"/>
  <c r="G94" i="40"/>
  <c r="J25" i="40"/>
  <c r="F103" i="39"/>
  <c r="H29" i="39"/>
  <c r="G103" i="39"/>
  <c r="J29" i="39"/>
  <c r="J18" i="36"/>
  <c r="F68" i="35"/>
  <c r="G68" i="35" s="1"/>
  <c r="H18" i="35"/>
  <c r="S18" i="35"/>
  <c r="J18" i="35"/>
  <c r="W18" i="35" s="1"/>
  <c r="H21" i="37"/>
  <c r="U21" i="37" s="1"/>
  <c r="F21" i="37"/>
  <c r="F84" i="34"/>
  <c r="H21" i="34"/>
  <c r="F83" i="33"/>
  <c r="H1" i="69"/>
  <c r="AC25" i="40"/>
  <c r="W25" i="40"/>
  <c r="AB25" i="40"/>
  <c r="U25" i="40"/>
  <c r="AB29" i="39"/>
  <c r="U29" i="39"/>
  <c r="AC29" i="39"/>
  <c r="W29" i="39"/>
  <c r="AC18" i="36"/>
  <c r="W18" i="36"/>
  <c r="AB21" i="37"/>
  <c r="AA21" i="37"/>
  <c r="S21" i="37"/>
  <c r="AB21" i="34"/>
  <c r="U21" i="34"/>
  <c r="U21" i="33"/>
  <c r="S21" i="33"/>
  <c r="AB18" i="35"/>
  <c r="U18" i="35"/>
  <c r="AC18" i="35"/>
  <c r="J21" i="37"/>
  <c r="G84" i="34"/>
  <c r="J21" i="34"/>
  <c r="G83" i="33"/>
  <c r="H21" i="21"/>
  <c r="AB21" i="21" s="1"/>
  <c r="F38" i="69"/>
  <c r="E37" i="69"/>
  <c r="F36" i="69"/>
  <c r="F35" i="69"/>
  <c r="F21" i="69"/>
  <c r="C21" i="69"/>
  <c r="F20" i="69"/>
  <c r="E10" i="69"/>
  <c r="E9" i="69"/>
  <c r="F7" i="69"/>
  <c r="C7" i="69" s="1"/>
  <c r="AC21" i="37"/>
  <c r="W21" i="37"/>
  <c r="AC21" i="34"/>
  <c r="W21" i="34"/>
  <c r="W21" i="33"/>
  <c r="U21" i="21"/>
  <c r="J21" i="21"/>
  <c r="W21" i="21" s="1"/>
  <c r="C40" i="69"/>
  <c r="F38" i="68"/>
  <c r="E37" i="68"/>
  <c r="F36" i="68"/>
  <c r="F35" i="68"/>
  <c r="F21" i="68"/>
  <c r="C21" i="68" s="1"/>
  <c r="F20" i="68"/>
  <c r="E10" i="68"/>
  <c r="E9" i="68"/>
  <c r="F7" i="68"/>
  <c r="C7" i="68"/>
  <c r="AC21" i="21"/>
  <c r="Q72" i="67"/>
  <c r="Q59" i="67"/>
  <c r="Q58" i="67"/>
  <c r="Q51" i="67"/>
  <c r="J50" i="67"/>
  <c r="D46" i="67"/>
  <c r="F33" i="67"/>
  <c r="F61" i="67" s="1"/>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10" i="1"/>
  <c r="F11" i="1"/>
  <c r="F12" i="1"/>
  <c r="F13" i="1"/>
  <c r="D6" i="1"/>
  <c r="D9" i="1"/>
  <c r="D10" i="1"/>
  <c r="D11" i="1"/>
  <c r="D12" i="1"/>
  <c r="G12" i="1" s="1"/>
  <c r="D13" i="1"/>
  <c r="D7" i="1"/>
  <c r="D8" i="1"/>
  <c r="A7" i="1"/>
  <c r="B7" i="1" s="1"/>
  <c r="E7" i="1" s="1"/>
  <c r="A8" i="1"/>
  <c r="B8" i="1"/>
  <c r="E8" i="1" s="1"/>
  <c r="A9" i="1"/>
  <c r="A10" i="1"/>
  <c r="A11" i="1"/>
  <c r="B11" i="1" s="1"/>
  <c r="E11" i="1" s="1"/>
  <c r="A12" i="1"/>
  <c r="A13" i="1"/>
  <c r="A6" i="1"/>
  <c r="F3" i="35"/>
  <c r="K10" i="1"/>
  <c r="B13" i="1"/>
  <c r="E13" i="1" s="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A5" i="62"/>
  <c r="B72" i="72" s="1"/>
  <c r="A4" i="62"/>
  <c r="B70" i="72" s="1"/>
  <c r="F33" i="9"/>
  <c r="B37" i="48"/>
  <c r="B2" i="72" s="1"/>
  <c r="B13" i="53"/>
  <c r="B29" i="72"/>
  <c r="R35" i="4"/>
  <c r="Q35" i="4"/>
  <c r="P35" i="4"/>
  <c r="O35" i="4"/>
  <c r="N35" i="4"/>
  <c r="M35" i="4"/>
  <c r="L35" i="4"/>
  <c r="K34" i="4"/>
  <c r="T34" i="4" s="1"/>
  <c r="G13" i="1"/>
  <c r="G11" i="1"/>
  <c r="I15" i="4"/>
  <c r="H15" i="4"/>
  <c r="G15" i="4"/>
  <c r="E15" i="4"/>
  <c r="F9" i="1" s="1"/>
  <c r="D15" i="4"/>
  <c r="F7" i="1"/>
  <c r="G7" i="1"/>
  <c r="F19" i="4"/>
  <c r="F2" i="52"/>
  <c r="B50" i="72" s="1"/>
  <c r="D2" i="52"/>
  <c r="B46" i="72" s="1"/>
  <c r="B8" i="53"/>
  <c r="B23" i="72" s="1"/>
  <c r="L4" i="9"/>
  <c r="B17" i="72"/>
  <c r="B15" i="72"/>
  <c r="A3" i="51"/>
  <c r="C8" i="11"/>
  <c r="B2" i="49"/>
  <c r="E17" i="49" s="1"/>
  <c r="B40" i="48"/>
  <c r="B3" i="72"/>
  <c r="I2" i="43"/>
  <c r="N1" i="43"/>
  <c r="F35" i="4"/>
  <c r="J55" i="39"/>
  <c r="H34" i="43"/>
  <c r="H35" i="43"/>
  <c r="H36" i="43"/>
  <c r="H37" i="43"/>
  <c r="H38" i="43"/>
  <c r="H39" i="43"/>
  <c r="H33" i="43"/>
  <c r="C18" i="43"/>
  <c r="F15" i="43"/>
  <c r="E15" i="43"/>
  <c r="D15" i="43"/>
  <c r="C15" i="43"/>
  <c r="C10" i="43"/>
  <c r="C11" i="43"/>
  <c r="C9" i="43"/>
  <c r="A7" i="43"/>
  <c r="F33" i="15"/>
  <c r="F61" i="15"/>
  <c r="M19" i="15"/>
  <c r="M10" i="1"/>
  <c r="O10" i="1"/>
  <c r="B22" i="1"/>
  <c r="B23" i="1"/>
  <c r="B24" i="1"/>
  <c r="B43" i="1"/>
  <c r="D78" i="9"/>
  <c r="E19" i="6"/>
  <c r="E32" i="6" s="1"/>
  <c r="E21" i="6"/>
  <c r="K8" i="1" s="1"/>
  <c r="M8" i="1" s="1"/>
  <c r="F23" i="15"/>
  <c r="D24" i="15"/>
  <c r="O8" i="1"/>
  <c r="P8" i="1"/>
  <c r="O13" i="1"/>
  <c r="P13" i="1"/>
  <c r="E23" i="6"/>
  <c r="E24" i="6"/>
  <c r="E25" i="6"/>
  <c r="E26" i="6"/>
  <c r="BC10" i="3"/>
  <c r="BD10" i="3"/>
  <c r="BB10"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c r="O53" i="9" s="1"/>
  <c r="D89" i="9"/>
  <c r="C89" i="9" s="1"/>
  <c r="C87" i="9" s="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F54" i="33" s="1"/>
  <c r="H7" i="12"/>
  <c r="I7" i="12"/>
  <c r="J7" i="12"/>
  <c r="K7" i="12"/>
  <c r="H111" i="21"/>
  <c r="B110" i="39"/>
  <c r="H35" i="39" s="1"/>
  <c r="B112" i="39"/>
  <c r="J30" i="36"/>
  <c r="W30" i="36" s="1"/>
  <c r="H30" i="36"/>
  <c r="F30" i="36"/>
  <c r="AA30" i="36" s="1"/>
  <c r="C26" i="35"/>
  <c r="C79" i="35" s="1"/>
  <c r="J31" i="35"/>
  <c r="W31" i="35" s="1"/>
  <c r="H31" i="35"/>
  <c r="AB31" i="35" s="1"/>
  <c r="F31" i="35"/>
  <c r="D87" i="35"/>
  <c r="E87" i="35" s="1"/>
  <c r="F87" i="35"/>
  <c r="G87" i="35" s="1"/>
  <c r="H87" i="35" s="1"/>
  <c r="I87" i="35" s="1"/>
  <c r="J87" i="35" s="1"/>
  <c r="K87" i="35" s="1"/>
  <c r="L87" i="35" s="1"/>
  <c r="M87" i="35" s="1"/>
  <c r="H34" i="37"/>
  <c r="AB34" i="37" s="1"/>
  <c r="D101" i="37"/>
  <c r="F34" i="37"/>
  <c r="S34" i="37" s="1"/>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D111" i="33"/>
  <c r="E111" i="33"/>
  <c r="F111" i="33" s="1"/>
  <c r="S515" i="31"/>
  <c r="S516" i="31"/>
  <c r="S517" i="31"/>
  <c r="S518" i="31"/>
  <c r="S519" i="31"/>
  <c r="S520" i="31"/>
  <c r="S521" i="31"/>
  <c r="S522" i="31"/>
  <c r="S523" i="31"/>
  <c r="S524" i="31"/>
  <c r="F41" i="21"/>
  <c r="AA41" i="21" s="1"/>
  <c r="J41" i="21"/>
  <c r="AC41" i="21" s="1"/>
  <c r="H41" i="21"/>
  <c r="U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H40" i="37" s="1"/>
  <c r="D107" i="37"/>
  <c r="E107" i="37"/>
  <c r="D105" i="37"/>
  <c r="E105" i="37"/>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J11" i="36" s="1"/>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21" i="33" s="1"/>
  <c r="F109" i="33"/>
  <c r="E109" i="33"/>
  <c r="D109" i="33"/>
  <c r="C109" i="33"/>
  <c r="D91" i="33"/>
  <c r="E91" i="33" s="1"/>
  <c r="B88" i="33"/>
  <c r="C23" i="33"/>
  <c r="C19" i="33"/>
  <c r="C17" i="33"/>
  <c r="C15" i="33"/>
  <c r="C15" i="21"/>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E85" i="33"/>
  <c r="D81" i="33"/>
  <c r="E81" i="33"/>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H54" i="33"/>
  <c r="P49" i="33"/>
  <c r="P48" i="33"/>
  <c r="P47" i="33"/>
  <c r="Q46" i="33"/>
  <c r="Z46" i="33"/>
  <c r="Q45" i="33"/>
  <c r="Z45" i="33"/>
  <c r="Q44" i="33"/>
  <c r="Z44" i="33"/>
  <c r="Q43" i="33"/>
  <c r="Z43" i="33"/>
  <c r="Q42" i="33"/>
  <c r="Z42" i="33"/>
  <c r="AC41" i="33"/>
  <c r="W41" i="33"/>
  <c r="Q41" i="33"/>
  <c r="Z41" i="33"/>
  <c r="Q40" i="33"/>
  <c r="Z40" i="33"/>
  <c r="J40" i="33"/>
  <c r="AC40" i="33"/>
  <c r="H40" i="33"/>
  <c r="AB40" i="33" s="1"/>
  <c r="AA40" i="33"/>
  <c r="Q39" i="33"/>
  <c r="Z39" i="33" s="1"/>
  <c r="Q38" i="33"/>
  <c r="Z38" i="33" s="1"/>
  <c r="Q37" i="33"/>
  <c r="Z37" i="33" s="1"/>
  <c r="Q36" i="33"/>
  <c r="Z36" i="33" s="1"/>
  <c r="Q35" i="33"/>
  <c r="Z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U12" i="33"/>
  <c r="Q11" i="33"/>
  <c r="Z11" i="33" s="1"/>
  <c r="Q10" i="33"/>
  <c r="Z10" i="33"/>
  <c r="Q9" i="33"/>
  <c r="Z9"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D85" i="21"/>
  <c r="F19" i="21"/>
  <c r="AA19" i="21" s="1"/>
  <c r="F81" i="21"/>
  <c r="G81" i="21" s="1"/>
  <c r="D77" i="21"/>
  <c r="E77" i="21" s="1"/>
  <c r="F77" i="21" s="1"/>
  <c r="B130" i="21"/>
  <c r="B128" i="21"/>
  <c r="J45" i="21"/>
  <c r="W45" i="21" s="1"/>
  <c r="B126" i="21"/>
  <c r="B98" i="21"/>
  <c r="H31" i="21"/>
  <c r="B96" i="21"/>
  <c r="B94" i="21"/>
  <c r="J29" i="21" s="1"/>
  <c r="AC29" i="21" s="1"/>
  <c r="B92" i="21"/>
  <c r="B90" i="21"/>
  <c r="J27" i="21" s="1"/>
  <c r="W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O5" i="3"/>
  <c r="I4" i="6"/>
  <c r="G3" i="43" s="1"/>
  <c r="K101" i="43"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C31" i="36"/>
  <c r="W31" i="36"/>
  <c r="U31" i="36"/>
  <c r="J33" i="36"/>
  <c r="W33" i="36"/>
  <c r="H22" i="35"/>
  <c r="AB22" i="35"/>
  <c r="AC27" i="35"/>
  <c r="W28" i="35"/>
  <c r="U31" i="35"/>
  <c r="S34" i="35"/>
  <c r="W36" i="35"/>
  <c r="W22" i="35"/>
  <c r="S31" i="35"/>
  <c r="U34" i="35"/>
  <c r="F36" i="34"/>
  <c r="J35" i="34"/>
  <c r="W9" i="34"/>
  <c r="S34" i="34"/>
  <c r="U34" i="34"/>
  <c r="S9" i="33"/>
  <c r="U33" i="33"/>
  <c r="U35" i="33"/>
  <c r="S40" i="33"/>
  <c r="H39" i="37"/>
  <c r="AB39" i="37"/>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U34" i="21"/>
  <c r="C25" i="39"/>
  <c r="C21" i="39"/>
  <c r="H11" i="39"/>
  <c r="S40" i="39"/>
  <c r="H32" i="33"/>
  <c r="AB32" i="33" s="1"/>
  <c r="H37" i="40"/>
  <c r="U37" i="40" s="1"/>
  <c r="H36" i="40"/>
  <c r="AB36" i="40" s="1"/>
  <c r="F35" i="40"/>
  <c r="AA35" i="40" s="1"/>
  <c r="H23" i="40"/>
  <c r="AB23" i="40" s="1"/>
  <c r="H17" i="40"/>
  <c r="U17" i="40" s="1"/>
  <c r="J15" i="40"/>
  <c r="W15" i="40" s="1"/>
  <c r="J11" i="40"/>
  <c r="W11" i="40" s="1"/>
  <c r="AB8" i="39"/>
  <c r="AC12" i="34"/>
  <c r="AA12" i="34"/>
  <c r="AB12" i="35"/>
  <c r="W32" i="40"/>
  <c r="S44" i="39"/>
  <c r="F37" i="39"/>
  <c r="AA37" i="39"/>
  <c r="J34" i="36"/>
  <c r="W34" i="36"/>
  <c r="U30" i="36"/>
  <c r="J30" i="35"/>
  <c r="W30" i="35" s="1"/>
  <c r="H30" i="35"/>
  <c r="AB30" i="35" s="1"/>
  <c r="F22" i="35"/>
  <c r="AA22" i="35" s="1"/>
  <c r="H10" i="35"/>
  <c r="U10" i="35" s="1"/>
  <c r="AC16" i="36"/>
  <c r="F33" i="36"/>
  <c r="AA33"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AC15" i="34" s="1"/>
  <c r="H15" i="34"/>
  <c r="AB15" i="34"/>
  <c r="S9" i="34"/>
  <c r="W8" i="34"/>
  <c r="J28" i="34"/>
  <c r="W28" i="34"/>
  <c r="F41" i="33"/>
  <c r="AA41" i="33"/>
  <c r="S38" i="33"/>
  <c r="E113" i="33"/>
  <c r="F113" i="33" s="1"/>
  <c r="G113" i="33" s="1"/>
  <c r="H113" i="33" s="1"/>
  <c r="I113" i="33" s="1"/>
  <c r="J113" i="33" s="1"/>
  <c r="K113" i="33" s="1"/>
  <c r="L113" i="33" s="1"/>
  <c r="M113" i="33" s="1"/>
  <c r="F11" i="33"/>
  <c r="AA11" i="33" s="1"/>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11" i="33"/>
  <c r="AB11" i="33" s="1"/>
  <c r="F28" i="40"/>
  <c r="AA28" i="40"/>
  <c r="AA29" i="35"/>
  <c r="AA42" i="34"/>
  <c r="S42" i="34"/>
  <c r="AC38" i="34"/>
  <c r="AA38" i="34"/>
  <c r="J37" i="34"/>
  <c r="AC37" i="34" s="1"/>
  <c r="J11" i="33"/>
  <c r="W11" i="33" s="1"/>
  <c r="S28" i="34"/>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H13" i="36"/>
  <c r="AB13" i="36"/>
  <c r="J13" i="36"/>
  <c r="F13" i="36"/>
  <c r="S13" i="36" s="1"/>
  <c r="E89" i="37"/>
  <c r="F89" i="37" s="1"/>
  <c r="G89" i="37" s="1"/>
  <c r="H89" i="37" s="1"/>
  <c r="I89" i="37" s="1"/>
  <c r="J89" i="37" s="1"/>
  <c r="K89" i="37" s="1"/>
  <c r="L89" i="37" s="1"/>
  <c r="M89" i="37" s="1"/>
  <c r="J29" i="37"/>
  <c r="W29" i="37"/>
  <c r="F29" i="37"/>
  <c r="S29" i="37"/>
  <c r="H36" i="37"/>
  <c r="AB36" i="37" s="1"/>
  <c r="F107" i="37"/>
  <c r="J37" i="37"/>
  <c r="AC37" i="37"/>
  <c r="H37" i="37"/>
  <c r="U37" i="37"/>
  <c r="AC12" i="40"/>
  <c r="W12" i="40"/>
  <c r="U14" i="33"/>
  <c r="S14" i="33"/>
  <c r="S44" i="33"/>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13" i="39"/>
  <c r="J13" i="39"/>
  <c r="W13" i="39" s="1"/>
  <c r="H13" i="39"/>
  <c r="H14" i="40"/>
  <c r="AB14" i="40"/>
  <c r="J14" i="40"/>
  <c r="W14" i="40"/>
  <c r="F14" i="40"/>
  <c r="AA14" i="40"/>
  <c r="J14" i="37"/>
  <c r="AC14" i="37"/>
  <c r="AA13" i="35"/>
  <c r="U31" i="34"/>
  <c r="U46" i="33"/>
  <c r="J36" i="37"/>
  <c r="AC36" i="37" s="1"/>
  <c r="AB11" i="35"/>
  <c r="J10" i="36"/>
  <c r="AC10" i="36"/>
  <c r="AA14" i="37"/>
  <c r="W31" i="34"/>
  <c r="AC13" i="36"/>
  <c r="W13" i="36"/>
  <c r="W11" i="35"/>
  <c r="AB46" i="34"/>
  <c r="AC30" i="34"/>
  <c r="AA14" i="34"/>
  <c r="S45" i="33"/>
  <c r="U31" i="33"/>
  <c r="W29" i="33"/>
  <c r="AC28" i="21"/>
  <c r="F17" i="21"/>
  <c r="AA17" i="21" s="1"/>
  <c r="H17" i="21"/>
  <c r="AB17" i="21" s="1"/>
  <c r="F15" i="21"/>
  <c r="S15" i="21" s="1"/>
  <c r="J41" i="39"/>
  <c r="W41" i="39"/>
  <c r="W44" i="39"/>
  <c r="W35"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s="1"/>
  <c r="H17" i="37"/>
  <c r="U17" i="37"/>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U43" i="33"/>
  <c r="S28" i="31"/>
  <c r="S27" i="31"/>
  <c r="S26" i="31"/>
  <c r="U14" i="40"/>
  <c r="AC32" i="36"/>
  <c r="AC33" i="36"/>
  <c r="U35" i="35"/>
  <c r="AA12" i="35"/>
  <c r="W14" i="37"/>
  <c r="AB28" i="37"/>
  <c r="U33" i="37"/>
  <c r="U39" i="37"/>
  <c r="W26" i="37"/>
  <c r="AC8" i="37"/>
  <c r="U26" i="37"/>
  <c r="W47" i="34"/>
  <c r="AB13" i="34"/>
  <c r="AB37" i="34"/>
  <c r="W44" i="33"/>
  <c r="U11" i="33"/>
  <c r="U19" i="21"/>
  <c r="U26" i="21"/>
  <c r="W15" i="34"/>
  <c r="W16" i="35"/>
  <c r="G107" i="37"/>
  <c r="H107" i="37" s="1"/>
  <c r="I107" i="37" s="1"/>
  <c r="J107" i="37" s="1"/>
  <c r="K107" i="37" s="1"/>
  <c r="L107" i="37" s="1"/>
  <c r="M107" i="37" s="1"/>
  <c r="H19" i="34"/>
  <c r="AB19" i="34" s="1"/>
  <c r="F36" i="35"/>
  <c r="S36" i="35" s="1"/>
  <c r="J9" i="37"/>
  <c r="W9" i="37" s="1"/>
  <c r="H9" i="37"/>
  <c r="AB9" i="37" s="1"/>
  <c r="F9" i="37"/>
  <c r="S9" i="37" s="1"/>
  <c r="J12" i="37"/>
  <c r="W12" i="37" s="1"/>
  <c r="H12" i="37"/>
  <c r="AB12" i="37" s="1"/>
  <c r="F12" i="37"/>
  <c r="S12" i="37" s="1"/>
  <c r="E71" i="37"/>
  <c r="F71" i="37" s="1"/>
  <c r="G71" i="37" s="1"/>
  <c r="F15" i="37"/>
  <c r="AA15" i="37"/>
  <c r="F31" i="37"/>
  <c r="S31" i="37" s="1"/>
  <c r="F12" i="39"/>
  <c r="S12" i="39" s="1"/>
  <c r="J42" i="39"/>
  <c r="AC42" i="39" s="1"/>
  <c r="H21" i="40"/>
  <c r="AB21" i="40" s="1"/>
  <c r="AC12" i="37"/>
  <c r="H31" i="37"/>
  <c r="U31" i="37"/>
  <c r="J15" i="37"/>
  <c r="W15"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AB34" i="39"/>
  <c r="U40" i="39"/>
  <c r="S42" i="39"/>
  <c r="AA41" i="39"/>
  <c r="W9" i="39"/>
  <c r="W8" i="39"/>
  <c r="J19" i="40"/>
  <c r="AC19" i="40"/>
  <c r="J50" i="40"/>
  <c r="B54" i="72"/>
  <c r="H103" i="9"/>
  <c r="D8" i="53"/>
  <c r="B16" i="53"/>
  <c r="B33" i="72"/>
  <c r="C7" i="37"/>
  <c r="C7" i="34"/>
  <c r="C7" i="36"/>
  <c r="W35" i="40"/>
  <c r="A118" i="9"/>
  <c r="J11" i="39"/>
  <c r="W11" i="39" s="1"/>
  <c r="F11" i="39"/>
  <c r="AA11" i="39" s="1"/>
  <c r="A12" i="52"/>
  <c r="B56" i="72" s="1"/>
  <c r="S11" i="39"/>
  <c r="G4" i="4"/>
  <c r="I4" i="4"/>
  <c r="K5" i="4"/>
  <c r="B47" i="48" s="1"/>
  <c r="N2" i="43"/>
  <c r="F59" i="43"/>
  <c r="BO5" i="3"/>
  <c r="BM5" i="3"/>
  <c r="F29" i="6"/>
  <c r="BJ5" i="3"/>
  <c r="BH5" i="3"/>
  <c r="BF5" i="3"/>
  <c r="BD5" i="3"/>
  <c r="BQ5" i="3"/>
  <c r="AC5" i="3"/>
  <c r="BS5" i="3"/>
  <c r="BP5" i="3"/>
  <c r="BN5" i="3"/>
  <c r="BK5" i="3"/>
  <c r="BI5" i="3"/>
  <c r="BG5" i="3"/>
  <c r="BE5" i="3"/>
  <c r="BC5" i="3"/>
  <c r="E15" i="6" s="1"/>
  <c r="BT5" i="3"/>
  <c r="BB5" i="3"/>
  <c r="E8" i="6" s="1"/>
  <c r="BR5" i="3"/>
  <c r="G28" i="6"/>
  <c r="N4" i="43"/>
  <c r="F36" i="43"/>
  <c r="F81" i="43"/>
  <c r="H83" i="43" s="1"/>
  <c r="H113" i="43"/>
  <c r="F48" i="43"/>
  <c r="H52" i="43"/>
  <c r="N7" i="43"/>
  <c r="F70" i="43"/>
  <c r="H73" i="43"/>
  <c r="M6" i="43"/>
  <c r="M11" i="43"/>
  <c r="E17" i="43"/>
  <c r="F39" i="43"/>
  <c r="F35" i="43"/>
  <c r="F6" i="1"/>
  <c r="U17" i="39"/>
  <c r="S14" i="35"/>
  <c r="AC35" i="21"/>
  <c r="U10" i="21"/>
  <c r="G8" i="1"/>
  <c r="G9" i="1"/>
  <c r="G10" i="1"/>
  <c r="F48" i="9"/>
  <c r="O52" i="9"/>
  <c r="AC11" i="39"/>
  <c r="W37" i="37"/>
  <c r="W44" i="34"/>
  <c r="AC44" i="34"/>
  <c r="S15" i="37"/>
  <c r="U13" i="37"/>
  <c r="U12" i="40"/>
  <c r="AA12" i="40"/>
  <c r="W37" i="33"/>
  <c r="AC17" i="34"/>
  <c r="F106" i="33"/>
  <c r="G106" i="33"/>
  <c r="H106" i="33" s="1"/>
  <c r="I106" i="33" s="1"/>
  <c r="J106" i="33" s="1"/>
  <c r="K106" i="33" s="1"/>
  <c r="L106" i="33" s="1"/>
  <c r="M106" i="33" s="1"/>
  <c r="W34" i="33"/>
  <c r="F33" i="34"/>
  <c r="S33" i="34" s="1"/>
  <c r="H20" i="36"/>
  <c r="U20" i="36" s="1"/>
  <c r="J20" i="36"/>
  <c r="J27" i="36"/>
  <c r="W27" i="36"/>
  <c r="AB25" i="37"/>
  <c r="AC33" i="40"/>
  <c r="F111" i="40"/>
  <c r="G111" i="40"/>
  <c r="H111" i="40" s="1"/>
  <c r="I111" i="40"/>
  <c r="J111" i="40" s="1"/>
  <c r="K111" i="40" s="1"/>
  <c r="L111" i="40" s="1"/>
  <c r="M111" i="40" s="1"/>
  <c r="H35" i="40"/>
  <c r="AB35" i="40"/>
  <c r="AC29" i="35"/>
  <c r="W29" i="35"/>
  <c r="H35" i="37"/>
  <c r="U35" i="37"/>
  <c r="AC14" i="35"/>
  <c r="H20" i="35"/>
  <c r="F20" i="35"/>
  <c r="AA20" i="35" s="1"/>
  <c r="AB29" i="36"/>
  <c r="U29" i="36"/>
  <c r="H32" i="37"/>
  <c r="AB32" i="37"/>
  <c r="F96" i="37"/>
  <c r="H27" i="40"/>
  <c r="J27" i="40"/>
  <c r="AC27" i="40" s="1"/>
  <c r="F27" i="40"/>
  <c r="J30" i="40"/>
  <c r="AC30" i="40" s="1"/>
  <c r="F30" i="40"/>
  <c r="AA30" i="40" s="1"/>
  <c r="AC21" i="40"/>
  <c r="S31" i="39"/>
  <c r="S11" i="40"/>
  <c r="E98" i="40"/>
  <c r="F98" i="40"/>
  <c r="G98" i="40" s="1"/>
  <c r="H98" i="40"/>
  <c r="I98" i="40" s="1"/>
  <c r="J98" i="40" s="1"/>
  <c r="K98" i="40" s="1"/>
  <c r="L98" i="40" s="1"/>
  <c r="M98" i="40" s="1"/>
  <c r="S10" i="33"/>
  <c r="S34" i="33"/>
  <c r="U34" i="33"/>
  <c r="S35" i="33"/>
  <c r="F39" i="34"/>
  <c r="J39" i="34"/>
  <c r="F40" i="34"/>
  <c r="F43" i="34"/>
  <c r="AA43" i="34" s="1"/>
  <c r="H44" i="34"/>
  <c r="AC38" i="39"/>
  <c r="F39" i="39"/>
  <c r="S39" i="39"/>
  <c r="J39" i="39"/>
  <c r="AC39" i="39"/>
  <c r="E97" i="39"/>
  <c r="F97" i="39"/>
  <c r="G97" i="39" s="1"/>
  <c r="C40" i="11"/>
  <c r="H75" i="43"/>
  <c r="H74" i="43"/>
  <c r="H50" i="43"/>
  <c r="H49" i="43"/>
  <c r="H48" i="43"/>
  <c r="F23" i="39"/>
  <c r="AA23" i="39" s="1"/>
  <c r="H27" i="36"/>
  <c r="F27" i="36"/>
  <c r="AA27" i="36" s="1"/>
  <c r="H33" i="34"/>
  <c r="F32" i="37"/>
  <c r="AA32" i="37" s="1"/>
  <c r="G96" i="37"/>
  <c r="H96" i="37" s="1"/>
  <c r="I96" i="37"/>
  <c r="J96" i="37" s="1"/>
  <c r="K96" i="37" s="1"/>
  <c r="L96" i="37" s="1"/>
  <c r="M96" i="37" s="1"/>
  <c r="F20" i="36"/>
  <c r="AA20" i="36"/>
  <c r="J33" i="34"/>
  <c r="AC33" i="34"/>
  <c r="H23" i="39"/>
  <c r="U23" i="39"/>
  <c r="D48" i="9"/>
  <c r="M52" i="9"/>
  <c r="H86" i="43"/>
  <c r="H82" i="43"/>
  <c r="H87" i="43"/>
  <c r="K9" i="1"/>
  <c r="M9" i="1" s="1"/>
  <c r="O9" i="1"/>
  <c r="P9" i="1"/>
  <c r="D93" i="9"/>
  <c r="K6" i="1"/>
  <c r="AP6" i="1" s="1"/>
  <c r="G29" i="6"/>
  <c r="E29" i="6"/>
  <c r="L19" i="6" s="1"/>
  <c r="W27" i="34"/>
  <c r="AC27" i="34"/>
  <c r="AB34" i="36"/>
  <c r="U34" i="36"/>
  <c r="AB33" i="36"/>
  <c r="U33" i="36"/>
  <c r="AC12" i="39"/>
  <c r="W12" i="39"/>
  <c r="F22" i="43"/>
  <c r="E22" i="43"/>
  <c r="W12" i="33"/>
  <c r="AA32" i="36"/>
  <c r="S32" i="36"/>
  <c r="F28" i="6"/>
  <c r="F30" i="6" s="1"/>
  <c r="U30" i="33"/>
  <c r="AC13" i="34"/>
  <c r="AA47" i="34"/>
  <c r="W28" i="37"/>
  <c r="S19" i="39"/>
  <c r="H12" i="39"/>
  <c r="F39" i="40"/>
  <c r="S12" i="1"/>
  <c r="R12" i="1"/>
  <c r="B12" i="1"/>
  <c r="E12" i="1"/>
  <c r="S10" i="1"/>
  <c r="AQ10" i="1" s="1"/>
  <c r="R10" i="1"/>
  <c r="B10" i="1"/>
  <c r="E10" i="1" s="1"/>
  <c r="D1" i="66"/>
  <c r="E10" i="66" s="1"/>
  <c r="K12" i="1"/>
  <c r="M12" i="1" s="1"/>
  <c r="O12" i="1"/>
  <c r="P12" i="1"/>
  <c r="S13" i="1"/>
  <c r="AR13" i="1" s="1"/>
  <c r="R13" i="1"/>
  <c r="S11" i="1"/>
  <c r="AQ11" i="1" s="1"/>
  <c r="R11" i="1"/>
  <c r="E28" i="6"/>
  <c r="J51" i="67"/>
  <c r="C42" i="1"/>
  <c r="H100" i="43"/>
  <c r="C30" i="66"/>
  <c r="E26" i="66" s="1"/>
  <c r="B41" i="1"/>
  <c r="F53" i="9"/>
  <c r="S22" i="31"/>
  <c r="J100" i="43"/>
  <c r="AB37" i="40"/>
  <c r="S35" i="40"/>
  <c r="U35" i="40"/>
  <c r="AC36"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S25"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38" i="33"/>
  <c r="H41" i="33"/>
  <c r="G121" i="33"/>
  <c r="H121" i="33" s="1"/>
  <c r="I121" i="33"/>
  <c r="J121" i="33" s="1"/>
  <c r="K121" i="33" s="1"/>
  <c r="L121" i="33" s="1"/>
  <c r="M121" i="33" s="1"/>
  <c r="G111" i="33"/>
  <c r="F36" i="33" s="1"/>
  <c r="H108" i="33"/>
  <c r="I108" i="33" s="1"/>
  <c r="J108" i="33" s="1"/>
  <c r="K108" i="33" s="1"/>
  <c r="L108" i="33" s="1"/>
  <c r="M108" i="33" s="1"/>
  <c r="S37" i="33"/>
  <c r="J32" i="33"/>
  <c r="W32" i="33" s="1"/>
  <c r="S46" i="33"/>
  <c r="W43" i="33"/>
  <c r="S43" i="33"/>
  <c r="F91" i="33"/>
  <c r="H25" i="33"/>
  <c r="U25" i="33" s="1"/>
  <c r="F25" i="33"/>
  <c r="AA25" i="33" s="1"/>
  <c r="F85" i="33"/>
  <c r="F81" i="33"/>
  <c r="F79" i="33"/>
  <c r="I66" i="33"/>
  <c r="AC11" i="33"/>
  <c r="W43" i="21"/>
  <c r="W36" i="21"/>
  <c r="AB39" i="21"/>
  <c r="AA43" i="21"/>
  <c r="S39" i="21"/>
  <c r="AA38" i="21"/>
  <c r="AA36" i="21"/>
  <c r="AC40" i="21"/>
  <c r="J15" i="21"/>
  <c r="W15" i="21" s="1"/>
  <c r="G77" i="21"/>
  <c r="F23" i="21"/>
  <c r="S23" i="21" s="1"/>
  <c r="E85" i="21"/>
  <c r="F85" i="21" s="1"/>
  <c r="G85" i="21" s="1"/>
  <c r="AA14" i="21"/>
  <c r="AB8" i="21"/>
  <c r="S8" i="21"/>
  <c r="M3" i="43"/>
  <c r="N10" i="43"/>
  <c r="M1" i="43"/>
  <c r="M8" i="43"/>
  <c r="N8" i="43"/>
  <c r="N9" i="43"/>
  <c r="D120" i="9"/>
  <c r="C18" i="9"/>
  <c r="D18" i="9" s="1"/>
  <c r="F34" i="67"/>
  <c r="F62" i="67"/>
  <c r="M20" i="67"/>
  <c r="F34" i="15"/>
  <c r="E10" i="6"/>
  <c r="E11" i="6"/>
  <c r="E61" i="39" s="1"/>
  <c r="G30" i="6"/>
  <c r="G31" i="6" s="1"/>
  <c r="J56" i="9"/>
  <c r="J57" i="9" s="1"/>
  <c r="A24" i="51"/>
  <c r="B18" i="72" s="1"/>
  <c r="U29" i="34"/>
  <c r="E14" i="6"/>
  <c r="E64" i="39" s="1"/>
  <c r="P10" i="1"/>
  <c r="H22" i="43"/>
  <c r="D101" i="43"/>
  <c r="D109" i="43" s="1"/>
  <c r="M101" i="43"/>
  <c r="M109" i="43" s="1"/>
  <c r="I101" i="43"/>
  <c r="I109" i="43" s="1"/>
  <c r="E101" i="43"/>
  <c r="E102" i="43" s="1"/>
  <c r="G1" i="68"/>
  <c r="K1" i="12"/>
  <c r="S2" i="43"/>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S5" i="43"/>
  <c r="E48" i="43"/>
  <c r="B46" i="43"/>
  <c r="E70" i="43"/>
  <c r="B68" i="43"/>
  <c r="F100" i="43"/>
  <c r="D9" i="53"/>
  <c r="B25" i="72" s="1"/>
  <c r="B24" i="72"/>
  <c r="G6" i="1"/>
  <c r="H85" i="43"/>
  <c r="H81" i="43"/>
  <c r="H84" i="43"/>
  <c r="H88" i="43"/>
  <c r="H53" i="43"/>
  <c r="H54" i="43"/>
  <c r="H78" i="43"/>
  <c r="H70" i="43"/>
  <c r="H71" i="43"/>
  <c r="F33" i="43"/>
  <c r="F34" i="43"/>
  <c r="M7" i="43"/>
  <c r="N6" i="43"/>
  <c r="M2" i="43"/>
  <c r="M10" i="43"/>
  <c r="N3" i="43"/>
  <c r="N11" i="43"/>
  <c r="F38" i="43"/>
  <c r="F37" i="43"/>
  <c r="M9" i="43"/>
  <c r="N12" i="43"/>
  <c r="N5" i="43"/>
  <c r="M5" i="43"/>
  <c r="M12" i="43"/>
  <c r="M4" i="43"/>
  <c r="B19" i="53"/>
  <c r="B37" i="72"/>
  <c r="C7" i="39"/>
  <c r="C68" i="39"/>
  <c r="C70" i="39" s="1"/>
  <c r="C7" i="35"/>
  <c r="C7" i="33"/>
  <c r="C58" i="33"/>
  <c r="C7" i="21"/>
  <c r="C7" i="40"/>
  <c r="C63" i="40" s="1"/>
  <c r="D63" i="40" s="1"/>
  <c r="E63" i="40" s="1"/>
  <c r="F63" i="40" s="1"/>
  <c r="G63" i="40" s="1"/>
  <c r="H63" i="40" s="1"/>
  <c r="I63" i="40" s="1"/>
  <c r="J63" i="40" s="1"/>
  <c r="J65" i="40" s="1"/>
  <c r="M47" i="9"/>
  <c r="G19" i="43"/>
  <c r="T35" i="4"/>
  <c r="A19" i="51" s="1"/>
  <c r="B14" i="72"/>
  <c r="C46" i="36"/>
  <c r="D46" i="36"/>
  <c r="E46" i="36" s="1"/>
  <c r="F46" i="36" s="1"/>
  <c r="C59" i="34"/>
  <c r="D59" i="34" s="1"/>
  <c r="C52" i="37"/>
  <c r="D52" i="37" s="1"/>
  <c r="A4" i="51"/>
  <c r="B6" i="72" s="1"/>
  <c r="C48" i="35"/>
  <c r="D48" i="35" s="1"/>
  <c r="E48" i="35" s="1"/>
  <c r="C58" i="21"/>
  <c r="D58" i="21" s="1"/>
  <c r="C94" i="9"/>
  <c r="C4" i="12"/>
  <c r="C92" i="9"/>
  <c r="H62" i="43"/>
  <c r="H66" i="43"/>
  <c r="H61" i="43"/>
  <c r="H65" i="43"/>
  <c r="H60" i="43"/>
  <c r="H64" i="43"/>
  <c r="H59" i="43"/>
  <c r="H63" i="43"/>
  <c r="H67" i="43"/>
  <c r="H55" i="43"/>
  <c r="H51" i="43"/>
  <c r="H56" i="43"/>
  <c r="H76" i="43"/>
  <c r="H72" i="43"/>
  <c r="H77" i="43"/>
  <c r="E51" i="40"/>
  <c r="B6" i="1"/>
  <c r="E6" i="1"/>
  <c r="K11" i="1"/>
  <c r="M11" i="1" s="1"/>
  <c r="O11" i="1"/>
  <c r="P11" i="1"/>
  <c r="B9" i="1"/>
  <c r="E9"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U25" i="36"/>
  <c r="AB28" i="36"/>
  <c r="AA13" i="36"/>
  <c r="W9" i="36"/>
  <c r="W22" i="36"/>
  <c r="W23" i="36"/>
  <c r="S9" i="36"/>
  <c r="AC25" i="35"/>
  <c r="U25" i="35"/>
  <c r="S24" i="35"/>
  <c r="W33" i="35"/>
  <c r="AA30" i="35"/>
  <c r="U24" i="35"/>
  <c r="S35" i="35"/>
  <c r="W35" i="35"/>
  <c r="AA16" i="35"/>
  <c r="AA35" i="37"/>
  <c r="W36" i="37"/>
  <c r="S28" i="37"/>
  <c r="W32" i="37"/>
  <c r="U36" i="37"/>
  <c r="U38" i="37"/>
  <c r="AB37" i="37"/>
  <c r="S33" i="37"/>
  <c r="AC34" i="37"/>
  <c r="AB35" i="37"/>
  <c r="AA11" i="37"/>
  <c r="AA31" i="37"/>
  <c r="U19" i="37"/>
  <c r="AA29" i="37"/>
  <c r="AA8" i="37"/>
  <c r="U8" i="37"/>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8" i="33"/>
  <c r="S33" i="33"/>
  <c r="U44" i="33"/>
  <c r="S30" i="33"/>
  <c r="W14" i="33"/>
  <c r="W30" i="33"/>
  <c r="S31" i="33"/>
  <c r="W13" i="33"/>
  <c r="S11" i="33"/>
  <c r="U37" i="33"/>
  <c r="W9" i="33"/>
  <c r="W8" i="33"/>
  <c r="S44" i="21"/>
  <c r="U28" i="21"/>
  <c r="S45" i="21"/>
  <c r="I101" i="21"/>
  <c r="J101" i="21" s="1"/>
  <c r="K101" i="21"/>
  <c r="L101" i="21" s="1"/>
  <c r="M101" i="21" s="1"/>
  <c r="F33" i="21"/>
  <c r="AA33" i="21" s="1"/>
  <c r="J33" i="21"/>
  <c r="AC33" i="21" s="1"/>
  <c r="H33" i="21"/>
  <c r="AB33" i="21" s="1"/>
  <c r="AA26" i="21"/>
  <c r="AB14" i="21"/>
  <c r="AB46" i="21"/>
  <c r="U40" i="21"/>
  <c r="AB31" i="21"/>
  <c r="U31" i="21"/>
  <c r="AC15" i="21"/>
  <c r="U13" i="21"/>
  <c r="W8" i="21"/>
  <c r="S35" i="21"/>
  <c r="J37" i="21"/>
  <c r="W37" i="21" s="1"/>
  <c r="H15" i="21"/>
  <c r="U15"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AB25" i="21"/>
  <c r="AB44" i="21"/>
  <c r="AA30" i="21"/>
  <c r="AC45" i="21"/>
  <c r="F10" i="21"/>
  <c r="K145" i="21"/>
  <c r="W25" i="21"/>
  <c r="AA29" i="21"/>
  <c r="W31" i="21"/>
  <c r="S17" i="21"/>
  <c r="AA15" i="21"/>
  <c r="AC27" i="21"/>
  <c r="AC26" i="21"/>
  <c r="S28" i="21"/>
  <c r="AC34" i="21"/>
  <c r="W10" i="21"/>
  <c r="AB36" i="21"/>
  <c r="W30" i="40"/>
  <c r="C19" i="39"/>
  <c r="C15" i="40"/>
  <c r="C17" i="40"/>
  <c r="C23" i="40"/>
  <c r="C21" i="40"/>
  <c r="U30" i="40"/>
  <c r="B54" i="43"/>
  <c r="B65" i="43"/>
  <c r="B49" i="43"/>
  <c r="B52" i="43"/>
  <c r="B56" i="43"/>
  <c r="B60" i="43"/>
  <c r="B63" i="43"/>
  <c r="B67" i="43"/>
  <c r="D23" i="15"/>
  <c r="D22" i="15"/>
  <c r="AQ13" i="1"/>
  <c r="M6" i="1"/>
  <c r="O6" i="1"/>
  <c r="P6" i="1"/>
  <c r="F30" i="68"/>
  <c r="C30" i="68" s="1"/>
  <c r="F30" i="11"/>
  <c r="C48" i="11" s="1"/>
  <c r="F28" i="67"/>
  <c r="C28" i="67" s="1"/>
  <c r="F31" i="12"/>
  <c r="F52" i="9"/>
  <c r="C31" i="12"/>
  <c r="M18" i="67"/>
  <c r="F32" i="67"/>
  <c r="F60" i="67" s="1"/>
  <c r="F30" i="69"/>
  <c r="C48" i="69" s="1"/>
  <c r="F32" i="15"/>
  <c r="F60" i="15" s="1"/>
  <c r="M18" i="15"/>
  <c r="F28" i="15"/>
  <c r="T11" i="1"/>
  <c r="AR11" i="1"/>
  <c r="E59" i="40"/>
  <c r="D68" i="39"/>
  <c r="D70" i="39"/>
  <c r="C28" i="15"/>
  <c r="E30" i="6"/>
  <c r="K15" i="1"/>
  <c r="T13" i="1"/>
  <c r="C48" i="68"/>
  <c r="C77" i="9"/>
  <c r="C74" i="9"/>
  <c r="C30" i="69"/>
  <c r="C24" i="12"/>
  <c r="AA39" i="40"/>
  <c r="S39" i="40"/>
  <c r="S12" i="33"/>
  <c r="D68" i="9"/>
  <c r="F54" i="9"/>
  <c r="J32" i="39"/>
  <c r="W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G70" i="34"/>
  <c r="H70" i="34" s="1"/>
  <c r="H11" i="34"/>
  <c r="AB10" i="34"/>
  <c r="U10" i="34"/>
  <c r="J10" i="34"/>
  <c r="AC10" i="34" s="1"/>
  <c r="I67" i="34"/>
  <c r="AB41" i="33"/>
  <c r="U41" i="33"/>
  <c r="W35" i="33"/>
  <c r="H111" i="33"/>
  <c r="I111" i="33"/>
  <c r="J111" i="33" s="1"/>
  <c r="K111" i="33" s="1"/>
  <c r="L111" i="33" s="1"/>
  <c r="M111" i="33" s="1"/>
  <c r="J36" i="33"/>
  <c r="H36" i="33"/>
  <c r="AB36" i="33" s="1"/>
  <c r="S36" i="33"/>
  <c r="AA36" i="33"/>
  <c r="G91" i="33"/>
  <c r="H91" i="33" s="1"/>
  <c r="I91" i="33"/>
  <c r="J91" i="33" s="1"/>
  <c r="K91" i="33" s="1"/>
  <c r="L91" i="33" s="1"/>
  <c r="M91" i="33" s="1"/>
  <c r="AB25" i="33"/>
  <c r="S25" i="33"/>
  <c r="G87" i="33"/>
  <c r="H87" i="33"/>
  <c r="I87" i="33" s="1"/>
  <c r="J87" i="33" s="1"/>
  <c r="K87" i="33" s="1"/>
  <c r="L87" i="33" s="1"/>
  <c r="M87" i="33" s="1"/>
  <c r="J25" i="33"/>
  <c r="W25" i="33" s="1"/>
  <c r="G85" i="33"/>
  <c r="W23" i="33"/>
  <c r="G81" i="33"/>
  <c r="G79" i="33"/>
  <c r="W17" i="33"/>
  <c r="U10" i="33"/>
  <c r="W10" i="33"/>
  <c r="J23" i="21"/>
  <c r="AC23" i="21" s="1"/>
  <c r="H23" i="21"/>
  <c r="U23" i="21" s="1"/>
  <c r="S13" i="21"/>
  <c r="D6" i="52"/>
  <c r="D121" i="9"/>
  <c r="D7" i="52" s="1"/>
  <c r="K120" i="9"/>
  <c r="A18" i="62" s="1"/>
  <c r="S6" i="43"/>
  <c r="C23" i="43"/>
  <c r="C21" i="43" s="1"/>
  <c r="S4" i="43"/>
  <c r="S3" i="43"/>
  <c r="S7" i="43"/>
  <c r="J22" i="43"/>
  <c r="K14" i="1"/>
  <c r="M14" i="1" s="1"/>
  <c r="O14" i="1"/>
  <c r="P14" i="1"/>
  <c r="J59" i="9"/>
  <c r="J61" i="9"/>
  <c r="E104" i="43"/>
  <c r="E105" i="43"/>
  <c r="M107" i="43"/>
  <c r="I102" i="43"/>
  <c r="I106" i="43"/>
  <c r="I103" i="43"/>
  <c r="D103" i="43"/>
  <c r="D104" i="43"/>
  <c r="D107" i="43"/>
  <c r="R22" i="31"/>
  <c r="B21" i="31" s="1"/>
  <c r="O19" i="43"/>
  <c r="E52" i="37"/>
  <c r="F52" i="37" s="1"/>
  <c r="G52" i="37"/>
  <c r="H52" i="37" s="1"/>
  <c r="I52" i="37" s="1"/>
  <c r="J52" i="37" s="1"/>
  <c r="K52" i="37" s="1"/>
  <c r="L52" i="37" s="1"/>
  <c r="M52" i="37" s="1"/>
  <c r="N52" i="37" s="1"/>
  <c r="O52" i="37" s="1"/>
  <c r="G46" i="36"/>
  <c r="H46" i="36" s="1"/>
  <c r="I46" i="36"/>
  <c r="J46" i="36" s="1"/>
  <c r="K46" i="36" s="1"/>
  <c r="E58" i="21"/>
  <c r="F58" i="21"/>
  <c r="F48" i="35"/>
  <c r="G48" i="35" s="1"/>
  <c r="H48" i="35" s="1"/>
  <c r="E59" i="34"/>
  <c r="C65" i="40"/>
  <c r="L27" i="6"/>
  <c r="AP7" i="1"/>
  <c r="O7" i="1"/>
  <c r="AB45" i="21"/>
  <c r="S33" i="21"/>
  <c r="W32" i="21"/>
  <c r="AC32" i="21"/>
  <c r="AB9" i="21"/>
  <c r="U9" i="21"/>
  <c r="AA32" i="21"/>
  <c r="W9" i="21"/>
  <c r="AB32" i="21"/>
  <c r="AA10" i="21"/>
  <c r="S10" i="21"/>
  <c r="C36" i="69"/>
  <c r="C30" i="11"/>
  <c r="B64" i="72"/>
  <c r="D3" i="21"/>
  <c r="U32" i="39"/>
  <c r="AB32" i="39"/>
  <c r="AC32" i="39"/>
  <c r="W19" i="37"/>
  <c r="AC19" i="37"/>
  <c r="W23" i="37"/>
  <c r="AB11" i="37"/>
  <c r="U11" i="37"/>
  <c r="H63" i="37"/>
  <c r="I63" i="37" s="1"/>
  <c r="J63" i="37" s="1"/>
  <c r="K63" i="37" s="1"/>
  <c r="L63" i="37" s="1"/>
  <c r="M63" i="37" s="1"/>
  <c r="J11" i="37"/>
  <c r="W11" i="37" s="1"/>
  <c r="AC10" i="37"/>
  <c r="U11" i="34"/>
  <c r="AB11" i="34"/>
  <c r="W10" i="34"/>
  <c r="I70" i="34"/>
  <c r="J70" i="34" s="1"/>
  <c r="K70" i="34" s="1"/>
  <c r="L70" i="34" s="1"/>
  <c r="M70" i="34" s="1"/>
  <c r="J11" i="34"/>
  <c r="AC36" i="33"/>
  <c r="W36" i="33"/>
  <c r="U36" i="33"/>
  <c r="S23" i="33"/>
  <c r="S17" i="33"/>
  <c r="P7" i="1"/>
  <c r="G58" i="21"/>
  <c r="H58" i="21" s="1"/>
  <c r="I58" i="21" s="1"/>
  <c r="D65" i="40"/>
  <c r="E68" i="39"/>
  <c r="F1" i="67"/>
  <c r="Q52" i="67"/>
  <c r="AC11" i="37"/>
  <c r="W11" i="34"/>
  <c r="AC11" i="34"/>
  <c r="C13" i="12"/>
  <c r="F34" i="11"/>
  <c r="F11" i="12"/>
  <c r="C23" i="12" s="1"/>
  <c r="F34" i="68"/>
  <c r="E65" i="40"/>
  <c r="F65" i="40"/>
  <c r="G65" i="40"/>
  <c r="H65" i="40"/>
  <c r="I65" i="40"/>
  <c r="K63" i="40"/>
  <c r="L63" i="40" s="1"/>
  <c r="M63" i="40" s="1"/>
  <c r="M65" i="40" s="1"/>
  <c r="K65" i="40"/>
  <c r="AE8" i="1"/>
  <c r="AG6" i="1"/>
  <c r="H109" i="9"/>
  <c r="H110" i="9"/>
  <c r="D18" i="53" s="1"/>
  <c r="B35" i="72" s="1"/>
  <c r="D124" i="9"/>
  <c r="H14" i="74" s="1"/>
  <c r="B7" i="74" s="1"/>
  <c r="D16" i="53"/>
  <c r="B34" i="72"/>
  <c r="D10" i="52"/>
  <c r="D17" i="53"/>
  <c r="B36" i="72" s="1"/>
  <c r="D125" i="9"/>
  <c r="D11" i="52" s="1"/>
  <c r="H112" i="9"/>
  <c r="D21" i="53"/>
  <c r="B39" i="72" s="1"/>
  <c r="H111" i="9"/>
  <c r="D126" i="9" s="1"/>
  <c r="I14" i="74" s="1"/>
  <c r="B8" i="74" s="1"/>
  <c r="D59" i="9"/>
  <c r="M55" i="9"/>
  <c r="D127" i="9"/>
  <c r="D13" i="52" s="1"/>
  <c r="AD3" i="71"/>
  <c r="F31" i="15"/>
  <c r="F6" i="71"/>
  <c r="F5" i="71" s="1"/>
  <c r="Y5" i="71"/>
  <c r="Z5" i="71" s="1"/>
  <c r="AB3" i="71"/>
  <c r="X3" i="71"/>
  <c r="C6" i="71"/>
  <c r="D6" i="71" s="1"/>
  <c r="E6" i="71"/>
  <c r="E5" i="71" s="1"/>
  <c r="AF3" i="71"/>
  <c r="P24" i="43"/>
  <c r="B66" i="40" s="1"/>
  <c r="P23" i="43"/>
  <c r="B71" i="39" s="1"/>
  <c r="P21" i="43"/>
  <c r="P22" i="43"/>
  <c r="I54" i="15"/>
  <c r="K1" i="73"/>
  <c r="F31" i="67"/>
  <c r="M17" i="67"/>
  <c r="M17" i="15"/>
  <c r="F59" i="67"/>
  <c r="F59" i="15"/>
  <c r="C5" i="71"/>
  <c r="D5" i="71" s="1"/>
  <c r="P25" i="43"/>
  <c r="L46" i="15"/>
  <c r="D2" i="33"/>
  <c r="C76" i="67"/>
  <c r="F13" i="67"/>
  <c r="M28" i="67"/>
  <c r="M26" i="67"/>
  <c r="D2" i="37"/>
  <c r="F41" i="67"/>
  <c r="F42" i="67"/>
  <c r="E10" i="76"/>
  <c r="E2" i="68"/>
  <c r="B10" i="76"/>
  <c r="E8" i="76"/>
  <c r="D2" i="82"/>
  <c r="D7" i="73"/>
  <c r="AO12" i="1"/>
  <c r="F6" i="67"/>
  <c r="E13" i="76"/>
  <c r="M6" i="67"/>
  <c r="M23" i="67"/>
  <c r="F4" i="73"/>
  <c r="E9" i="76"/>
  <c r="B12" i="76"/>
  <c r="F37" i="67"/>
  <c r="F6" i="73"/>
  <c r="F9" i="67"/>
  <c r="D6" i="73"/>
  <c r="B7" i="76"/>
  <c r="E2" i="69"/>
  <c r="M9" i="67"/>
  <c r="B11" i="76"/>
  <c r="M24" i="67"/>
  <c r="M8" i="67"/>
  <c r="J15" i="67"/>
  <c r="D2" i="21"/>
  <c r="D2" i="36"/>
  <c r="M21" i="67"/>
  <c r="D5" i="73"/>
  <c r="F20" i="31"/>
  <c r="F26" i="67"/>
  <c r="E12" i="76"/>
  <c r="F43" i="67"/>
  <c r="AO11" i="1"/>
  <c r="E7" i="76"/>
  <c r="L47" i="67"/>
  <c r="AO13" i="1"/>
  <c r="M29" i="67"/>
  <c r="B9" i="76"/>
  <c r="M27" i="67"/>
  <c r="AO8" i="1"/>
  <c r="F36" i="67"/>
  <c r="E11" i="76"/>
  <c r="F7" i="73"/>
  <c r="D2" i="34"/>
  <c r="F5" i="73"/>
  <c r="M22" i="67"/>
  <c r="B13" i="76"/>
  <c r="D4" i="73"/>
  <c r="D2" i="35"/>
  <c r="AO10" i="1"/>
  <c r="F8" i="67"/>
  <c r="F40" i="67"/>
  <c r="F35" i="67"/>
  <c r="L48" i="67"/>
  <c r="D3" i="73"/>
  <c r="F38" i="67"/>
  <c r="F7" i="67"/>
  <c r="F3" i="73"/>
  <c r="F16" i="67"/>
  <c r="B8" i="76"/>
  <c r="E119" i="82" l="1"/>
  <c r="F119" i="82" s="1"/>
  <c r="G119" i="82" s="1"/>
  <c r="H119" i="82" s="1"/>
  <c r="I119" i="82" s="1"/>
  <c r="J119" i="82" s="1"/>
  <c r="K119" i="82" s="1"/>
  <c r="L119" i="82" s="1"/>
  <c r="M119" i="82" s="1"/>
  <c r="J40" i="82"/>
  <c r="F32" i="33"/>
  <c r="U40" i="82"/>
  <c r="F42" i="33"/>
  <c r="H42" i="33"/>
  <c r="F123" i="33"/>
  <c r="G123" i="33" s="1"/>
  <c r="H123" i="33" s="1"/>
  <c r="I123" i="33" s="1"/>
  <c r="J123" i="33" s="1"/>
  <c r="K123" i="33" s="1"/>
  <c r="L123" i="33" s="1"/>
  <c r="M123" i="33" s="1"/>
  <c r="J42" i="33"/>
  <c r="H42" i="82"/>
  <c r="U42" i="82" s="1"/>
  <c r="F123" i="82"/>
  <c r="G123" i="82" s="1"/>
  <c r="H123" i="82" s="1"/>
  <c r="I123" i="82" s="1"/>
  <c r="J123" i="82" s="1"/>
  <c r="K123" i="82" s="1"/>
  <c r="L123" i="82" s="1"/>
  <c r="M123" i="82" s="1"/>
  <c r="AB42" i="82"/>
  <c r="F42" i="82"/>
  <c r="AA42" i="82" s="1"/>
  <c r="J42" i="82"/>
  <c r="S42" i="82"/>
  <c r="A2" i="9"/>
  <c r="A4" i="52"/>
  <c r="B41" i="72" s="1"/>
  <c r="C18" i="83"/>
  <c r="D18" i="83" s="1"/>
  <c r="U35" i="21"/>
  <c r="E117" i="82"/>
  <c r="F117" i="82" s="1"/>
  <c r="G117" i="82" s="1"/>
  <c r="J39" i="82"/>
  <c r="H39" i="82"/>
  <c r="U36" i="82"/>
  <c r="U15" i="82"/>
  <c r="W15" i="82"/>
  <c r="AA32" i="82"/>
  <c r="S32" i="82"/>
  <c r="W32" i="82"/>
  <c r="F101" i="82"/>
  <c r="G101" i="82" s="1"/>
  <c r="H101" i="82" s="1"/>
  <c r="I101" i="82" s="1"/>
  <c r="J101" i="82" s="1"/>
  <c r="K101" i="82" s="1"/>
  <c r="L101" i="82" s="1"/>
  <c r="M101" i="82" s="1"/>
  <c r="H32" i="82"/>
  <c r="F39" i="33"/>
  <c r="J39" i="33"/>
  <c r="AC39" i="33" s="1"/>
  <c r="H39" i="33"/>
  <c r="W39" i="33"/>
  <c r="S41" i="82"/>
  <c r="AA39" i="82"/>
  <c r="S39" i="82"/>
  <c r="U17" i="82"/>
  <c r="U26" i="82"/>
  <c r="S23" i="82"/>
  <c r="U23" i="82"/>
  <c r="S19" i="82"/>
  <c r="U19" i="82"/>
  <c r="S15" i="82"/>
  <c r="U40" i="33"/>
  <c r="U32" i="33"/>
  <c r="AC32" i="33"/>
  <c r="AC25" i="33"/>
  <c r="W33" i="21"/>
  <c r="AB23" i="21"/>
  <c r="W23" i="21"/>
  <c r="AA23" i="21"/>
  <c r="S21" i="21"/>
  <c r="F79" i="21"/>
  <c r="G79" i="21" s="1"/>
  <c r="J17" i="21"/>
  <c r="AC17" i="21" s="1"/>
  <c r="E22" i="49"/>
  <c r="E10" i="49"/>
  <c r="W41" i="21"/>
  <c r="U43" i="21"/>
  <c r="F101" i="43"/>
  <c r="M105" i="43"/>
  <c r="M104" i="43"/>
  <c r="E107" i="43"/>
  <c r="K102" i="43"/>
  <c r="K109" i="43"/>
  <c r="K105" i="43"/>
  <c r="N101" i="43"/>
  <c r="E13" i="6"/>
  <c r="C36" i="11"/>
  <c r="C36" i="68"/>
  <c r="O16" i="1"/>
  <c r="E109" i="43"/>
  <c r="M103" i="43"/>
  <c r="M106" i="43"/>
  <c r="M102" i="43"/>
  <c r="E103" i="43"/>
  <c r="E106" i="43"/>
  <c r="E56" i="40"/>
  <c r="E12" i="6"/>
  <c r="P16" i="1"/>
  <c r="C11" i="12" s="1"/>
  <c r="C15" i="12" s="1"/>
  <c r="E9" i="49"/>
  <c r="B5" i="49"/>
  <c r="B14" i="49"/>
  <c r="E6" i="49"/>
  <c r="U33" i="21"/>
  <c r="E13" i="49"/>
  <c r="E4" i="49"/>
  <c r="E5" i="49"/>
  <c r="E11" i="49"/>
  <c r="B4" i="49"/>
  <c r="E14" i="49"/>
  <c r="E7" i="49"/>
  <c r="B22" i="49"/>
  <c r="E15" i="49"/>
  <c r="B16" i="49"/>
  <c r="B11" i="49"/>
  <c r="E21" i="49"/>
  <c r="B8" i="49"/>
  <c r="E8" i="49"/>
  <c r="B10" i="49"/>
  <c r="E16" i="49"/>
  <c r="B9" i="49"/>
  <c r="B6" i="49"/>
  <c r="B15" i="49"/>
  <c r="B7" i="49"/>
  <c r="C4" i="4" s="1"/>
  <c r="B4" i="62" s="1"/>
  <c r="B71" i="72" s="1"/>
  <c r="B13" i="49"/>
  <c r="E4" i="4" s="1"/>
  <c r="B5" i="62" s="1"/>
  <c r="B73" i="72" s="1"/>
  <c r="J20" i="67"/>
  <c r="E20" i="43"/>
  <c r="F64" i="67"/>
  <c r="B8" i="70"/>
  <c r="F50" i="67"/>
  <c r="M7" i="67"/>
  <c r="J6" i="67" s="1"/>
  <c r="F66" i="67"/>
  <c r="B13" i="70"/>
  <c r="C6" i="67"/>
  <c r="L59" i="67"/>
  <c r="N59" i="67"/>
  <c r="M59" i="67"/>
  <c r="L58" i="67"/>
  <c r="J57" i="67"/>
  <c r="J55" i="67" s="1"/>
  <c r="J58" i="67" s="1"/>
  <c r="Q50" i="67" s="1"/>
  <c r="L56" i="67"/>
  <c r="I54" i="67"/>
  <c r="F70" i="67"/>
  <c r="C34" i="67"/>
  <c r="F63" i="67"/>
  <c r="C62" i="67" s="1"/>
  <c r="F69" i="67"/>
  <c r="B11" i="70"/>
  <c r="B12" i="70"/>
  <c r="F71" i="67"/>
  <c r="F68" i="67"/>
  <c r="F65" i="67"/>
  <c r="F51" i="67"/>
  <c r="C27" i="67"/>
  <c r="B20" i="31"/>
  <c r="B10" i="70"/>
  <c r="Q71" i="67"/>
  <c r="I1" i="73"/>
  <c r="B39" i="1" s="1"/>
  <c r="L46" i="36"/>
  <c r="M46" i="36" s="1"/>
  <c r="N46" i="36" s="1"/>
  <c r="O46" i="36" s="1"/>
  <c r="F7" i="36"/>
  <c r="H7" i="36"/>
  <c r="I48" i="35"/>
  <c r="J48" i="35" s="1"/>
  <c r="K48" i="35" s="1"/>
  <c r="L48" i="35" s="1"/>
  <c r="M48" i="35" s="1"/>
  <c r="N48" i="35" s="1"/>
  <c r="O48" i="35" s="1"/>
  <c r="H7" i="35"/>
  <c r="J58" i="21"/>
  <c r="K58" i="21" s="1"/>
  <c r="L58" i="21" s="1"/>
  <c r="M58" i="21" s="1"/>
  <c r="N58" i="21" s="1"/>
  <c r="O58" i="21" s="1"/>
  <c r="H7" i="21"/>
  <c r="F68" i="39"/>
  <c r="E70" i="39"/>
  <c r="D12" i="52"/>
  <c r="D19" i="53"/>
  <c r="N63" i="40"/>
  <c r="L65" i="40"/>
  <c r="J7" i="21"/>
  <c r="J7" i="37"/>
  <c r="F7" i="35"/>
  <c r="H7" i="37"/>
  <c r="F59" i="34"/>
  <c r="F7" i="21"/>
  <c r="AB12" i="39"/>
  <c r="U12" i="39"/>
  <c r="N102" i="43"/>
  <c r="N103" i="43"/>
  <c r="N106" i="43"/>
  <c r="N107" i="43"/>
  <c r="K103" i="43"/>
  <c r="K107" i="43"/>
  <c r="K104" i="43"/>
  <c r="K106" i="43"/>
  <c r="AB44" i="34"/>
  <c r="U44" i="34"/>
  <c r="S40" i="34"/>
  <c r="AA40" i="34"/>
  <c r="S39" i="34"/>
  <c r="AA39" i="34"/>
  <c r="B113" i="43"/>
  <c r="G101" i="43"/>
  <c r="C101" i="43"/>
  <c r="J101" i="43"/>
  <c r="N104" i="46"/>
  <c r="L101" i="43"/>
  <c r="H101" i="43"/>
  <c r="G22" i="43"/>
  <c r="D22"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12" i="21"/>
  <c r="AA12" i="21"/>
  <c r="F42" i="21"/>
  <c r="J42" i="21"/>
  <c r="H42" i="21"/>
  <c r="F123" i="21"/>
  <c r="G123" i="21" s="1"/>
  <c r="H123" i="21" s="1"/>
  <c r="I123" i="21" s="1"/>
  <c r="J123" i="21" s="1"/>
  <c r="K123" i="21" s="1"/>
  <c r="L123" i="21" s="1"/>
  <c r="M123" i="21" s="1"/>
  <c r="AB40" i="37"/>
  <c r="U40" i="37"/>
  <c r="D58" i="33"/>
  <c r="J7" i="36"/>
  <c r="J7" i="35"/>
  <c r="F7" i="37"/>
  <c r="D102" i="43"/>
  <c r="D106" i="43"/>
  <c r="D105" i="43"/>
  <c r="I105" i="43"/>
  <c r="I107" i="43"/>
  <c r="I104" i="43"/>
  <c r="AB15" i="21"/>
  <c r="AC37" i="21"/>
  <c r="W17" i="21"/>
  <c r="F62" i="15"/>
  <c r="C77" i="80"/>
  <c r="C74" i="80"/>
  <c r="F104" i="43"/>
  <c r="F107" i="43"/>
  <c r="F106" i="43"/>
  <c r="F103" i="43"/>
  <c r="E60" i="40"/>
  <c r="E65" i="39"/>
  <c r="U33" i="34"/>
  <c r="AB33" i="34"/>
  <c r="U27" i="36"/>
  <c r="AB27" i="36"/>
  <c r="W39" i="34"/>
  <c r="AC39" i="34"/>
  <c r="S27" i="40"/>
  <c r="AA27" i="40"/>
  <c r="U27" i="40"/>
  <c r="AB27" i="40"/>
  <c r="U20" i="35"/>
  <c r="AB20" i="35"/>
  <c r="W20" i="36"/>
  <c r="AC20" i="36"/>
  <c r="E56" i="39"/>
  <c r="F27" i="6"/>
  <c r="F31" i="6" s="1"/>
  <c r="H37" i="21"/>
  <c r="F37" i="21"/>
  <c r="H113" i="21"/>
  <c r="W11" i="36"/>
  <c r="AC11" i="36"/>
  <c r="J28" i="33"/>
  <c r="F28" i="33"/>
  <c r="H28" i="33"/>
  <c r="F26" i="33"/>
  <c r="H26" i="33"/>
  <c r="J26" i="33"/>
  <c r="H23" i="35"/>
  <c r="J23" i="35"/>
  <c r="J39" i="40"/>
  <c r="H39" i="40"/>
  <c r="T25" i="71"/>
  <c r="D25" i="71"/>
  <c r="T21" i="71"/>
  <c r="D21" i="71"/>
  <c r="D40" i="71"/>
  <c r="C41" i="71"/>
  <c r="D47" i="71"/>
  <c r="C48" i="71"/>
  <c r="D68" i="83"/>
  <c r="F54" i="83"/>
  <c r="F53" i="83"/>
  <c r="F52" i="83"/>
  <c r="F28" i="81"/>
  <c r="C28" i="81" s="1"/>
  <c r="F32" i="81"/>
  <c r="F60" i="81" s="1"/>
  <c r="M18" i="81"/>
  <c r="F28" i="77"/>
  <c r="C28" i="77" s="1"/>
  <c r="F32" i="77"/>
  <c r="F60" i="77" s="1"/>
  <c r="F54" i="80"/>
  <c r="F52" i="80"/>
  <c r="D68" i="80"/>
  <c r="F53" i="80"/>
  <c r="M18" i="77"/>
  <c r="U36" i="40"/>
  <c r="W14" i="39"/>
  <c r="W27" i="39"/>
  <c r="U12" i="37"/>
  <c r="AB38" i="21"/>
  <c r="AC46" i="21"/>
  <c r="W44" i="21"/>
  <c r="AC36" i="34"/>
  <c r="W37" i="34"/>
  <c r="AA36" i="39"/>
  <c r="AB27" i="37"/>
  <c r="U36" i="39"/>
  <c r="W36" i="39"/>
  <c r="AC45" i="39"/>
  <c r="S44" i="34"/>
  <c r="AB30" i="21"/>
  <c r="J27" i="37"/>
  <c r="F27" i="37"/>
  <c r="F40" i="37"/>
  <c r="J40" i="37"/>
  <c r="F11" i="36"/>
  <c r="H11" i="36"/>
  <c r="H29" i="21"/>
  <c r="F27" i="21"/>
  <c r="H27" i="21"/>
  <c r="J13" i="21"/>
  <c r="U23" i="40"/>
  <c r="U34" i="37"/>
  <c r="U30" i="35"/>
  <c r="C15" i="39"/>
  <c r="C27" i="39"/>
  <c r="S34" i="21"/>
  <c r="S40" i="21"/>
  <c r="W31" i="40"/>
  <c r="W33" i="33"/>
  <c r="W34" i="35"/>
  <c r="AA31" i="36"/>
  <c r="H12" i="21"/>
  <c r="J12" i="21"/>
  <c r="J19" i="33"/>
  <c r="F19" i="33"/>
  <c r="H19" i="33"/>
  <c r="F27" i="33"/>
  <c r="J27" i="33"/>
  <c r="H27" i="33"/>
  <c r="J12" i="36"/>
  <c r="H12" i="36"/>
  <c r="J24" i="36"/>
  <c r="H24" i="36"/>
  <c r="F38" i="40"/>
  <c r="J38" i="40"/>
  <c r="H38" i="40"/>
  <c r="T29" i="71"/>
  <c r="D29" i="71"/>
  <c r="D36" i="71"/>
  <c r="C37" i="71"/>
  <c r="D44" i="71"/>
  <c r="C45" i="71"/>
  <c r="Q51" i="71"/>
  <c r="Q50" i="71"/>
  <c r="D93" i="83"/>
  <c r="D78" i="83"/>
  <c r="D78" i="80"/>
  <c r="D93" i="80"/>
  <c r="G1" i="81"/>
  <c r="G1" i="77"/>
  <c r="G1" i="15"/>
  <c r="D23" i="67"/>
  <c r="C40" i="68"/>
  <c r="S18" i="36"/>
  <c r="D12" i="71"/>
  <c r="M20" i="43" s="1"/>
  <c r="C19" i="43" s="1"/>
  <c r="S13" i="71"/>
  <c r="C68" i="71"/>
  <c r="C64" i="71"/>
  <c r="C56" i="71"/>
  <c r="Q52" i="71"/>
  <c r="N53" i="71"/>
  <c r="B52" i="71"/>
  <c r="M56" i="83"/>
  <c r="N56" i="83"/>
  <c r="J56" i="83"/>
  <c r="J57" i="83" s="1"/>
  <c r="J59" i="83" s="1"/>
  <c r="J61" i="83" s="1"/>
  <c r="K56" i="83"/>
  <c r="M56" i="80"/>
  <c r="N56" i="80"/>
  <c r="J56" i="80"/>
  <c r="J57" i="80" s="1"/>
  <c r="J59" i="80" s="1"/>
  <c r="J61" i="80" s="1"/>
  <c r="K56" i="80"/>
  <c r="M18" i="9"/>
  <c r="B118" i="9" s="1"/>
  <c r="B14" i="74" s="1"/>
  <c r="F34" i="81"/>
  <c r="M20" i="81"/>
  <c r="F34" i="77"/>
  <c r="M20" i="77"/>
  <c r="E5" i="6"/>
  <c r="K7" i="1"/>
  <c r="C7" i="82"/>
  <c r="C58" i="82" s="1"/>
  <c r="M47" i="83"/>
  <c r="M47" i="80"/>
  <c r="J51" i="15"/>
  <c r="A2" i="83"/>
  <c r="A118" i="83"/>
  <c r="A118" i="80"/>
  <c r="A2" i="80"/>
  <c r="P74" i="67"/>
  <c r="BL190" i="3"/>
  <c r="AZ190" i="3" s="1"/>
  <c r="BA189" i="3"/>
  <c r="AZ189" i="3" s="1"/>
  <c r="BL186" i="3"/>
  <c r="AZ186" i="3" s="1"/>
  <c r="BA185" i="3"/>
  <c r="AZ185" i="3" s="1"/>
  <c r="BL182" i="3"/>
  <c r="AZ182" i="3" s="1"/>
  <c r="BA181" i="3"/>
  <c r="AZ181" i="3" s="1"/>
  <c r="BL178" i="3"/>
  <c r="AZ178" i="3" s="1"/>
  <c r="BA177" i="3"/>
  <c r="AZ177" i="3" s="1"/>
  <c r="BL174" i="3"/>
  <c r="AZ174" i="3" s="1"/>
  <c r="BA173" i="3"/>
  <c r="AZ173" i="3" s="1"/>
  <c r="BL170" i="3"/>
  <c r="AZ170" i="3" s="1"/>
  <c r="BA169" i="3"/>
  <c r="AZ169" i="3" s="1"/>
  <c r="BL166" i="3"/>
  <c r="AZ166" i="3" s="1"/>
  <c r="BA165" i="3"/>
  <c r="AZ165" i="3" s="1"/>
  <c r="BL162" i="3"/>
  <c r="AZ162" i="3" s="1"/>
  <c r="BA161" i="3"/>
  <c r="AZ161" i="3" s="1"/>
  <c r="BL158" i="3"/>
  <c r="AZ158" i="3" s="1"/>
  <c r="BA157" i="3"/>
  <c r="AZ157" i="3" s="1"/>
  <c r="BL154" i="3"/>
  <c r="AZ154" i="3" s="1"/>
  <c r="BA153" i="3"/>
  <c r="AZ153" i="3" s="1"/>
  <c r="BL150" i="3"/>
  <c r="AZ150" i="3" s="1"/>
  <c r="BA149" i="3"/>
  <c r="AZ149" i="3" s="1"/>
  <c r="BL146" i="3"/>
  <c r="AZ146" i="3" s="1"/>
  <c r="BA145" i="3"/>
  <c r="AZ145" i="3" s="1"/>
  <c r="BL142" i="3"/>
  <c r="AZ142" i="3" s="1"/>
  <c r="BA141" i="3"/>
  <c r="AZ141" i="3" s="1"/>
  <c r="BL138" i="3"/>
  <c r="AZ138" i="3" s="1"/>
  <c r="BA137" i="3"/>
  <c r="AZ137" i="3" s="1"/>
  <c r="BL134" i="3"/>
  <c r="AZ134" i="3" s="1"/>
  <c r="BA133" i="3"/>
  <c r="AZ133" i="3" s="1"/>
  <c r="BL130" i="3"/>
  <c r="AZ130" i="3" s="1"/>
  <c r="BA129" i="3"/>
  <c r="AZ129" i="3" s="1"/>
  <c r="BL126" i="3"/>
  <c r="AZ126" i="3" s="1"/>
  <c r="BA125" i="3"/>
  <c r="AZ125" i="3" s="1"/>
  <c r="BL122" i="3"/>
  <c r="AZ122" i="3" s="1"/>
  <c r="BA121" i="3"/>
  <c r="AZ121" i="3" s="1"/>
  <c r="BL118" i="3"/>
  <c r="AZ118" i="3" s="1"/>
  <c r="BA117" i="3"/>
  <c r="AZ117" i="3" s="1"/>
  <c r="BL114" i="3"/>
  <c r="AZ114" i="3" s="1"/>
  <c r="BA113" i="3"/>
  <c r="AZ113" i="3" s="1"/>
  <c r="BL110" i="3"/>
  <c r="AZ110" i="3" s="1"/>
  <c r="BA109" i="3"/>
  <c r="AZ109" i="3" s="1"/>
  <c r="BL106" i="3"/>
  <c r="AZ106" i="3" s="1"/>
  <c r="BA105" i="3"/>
  <c r="AZ105" i="3" s="1"/>
  <c r="BL102" i="3"/>
  <c r="AZ102" i="3" s="1"/>
  <c r="BA101" i="3"/>
  <c r="AZ101" i="3" s="1"/>
  <c r="BL98" i="3"/>
  <c r="AZ98" i="3" s="1"/>
  <c r="BA97" i="3"/>
  <c r="AZ97" i="3" s="1"/>
  <c r="BL94" i="3"/>
  <c r="AZ94" i="3" s="1"/>
  <c r="BA93" i="3"/>
  <c r="AZ93" i="3" s="1"/>
  <c r="BL90" i="3"/>
  <c r="AZ90" i="3" s="1"/>
  <c r="BA89" i="3"/>
  <c r="AZ89" i="3" s="1"/>
  <c r="BL86" i="3"/>
  <c r="AZ86" i="3" s="1"/>
  <c r="BA85" i="3"/>
  <c r="AZ85" i="3" s="1"/>
  <c r="BL82" i="3"/>
  <c r="AZ82" i="3" s="1"/>
  <c r="BA81" i="3"/>
  <c r="AZ81" i="3" s="1"/>
  <c r="BL78" i="3"/>
  <c r="AZ78" i="3" s="1"/>
  <c r="BA77" i="3"/>
  <c r="AZ77" i="3" s="1"/>
  <c r="BL74" i="3"/>
  <c r="AZ74" i="3" s="1"/>
  <c r="BA73" i="3"/>
  <c r="AZ73" i="3" s="1"/>
  <c r="BL70" i="3"/>
  <c r="AZ70" i="3" s="1"/>
  <c r="BA69" i="3"/>
  <c r="AZ69" i="3" s="1"/>
  <c r="BL66" i="3"/>
  <c r="AZ66" i="3" s="1"/>
  <c r="BA65" i="3"/>
  <c r="AZ65" i="3" s="1"/>
  <c r="BL62" i="3"/>
  <c r="AZ62" i="3" s="1"/>
  <c r="BA61" i="3"/>
  <c r="AZ61" i="3" s="1"/>
  <c r="BL58" i="3"/>
  <c r="AZ58" i="3" s="1"/>
  <c r="BA57" i="3"/>
  <c r="AZ57" i="3" s="1"/>
  <c r="BL54" i="3"/>
  <c r="AZ54" i="3" s="1"/>
  <c r="BA53" i="3"/>
  <c r="AZ53" i="3" s="1"/>
  <c r="BL50" i="3"/>
  <c r="AZ50" i="3" s="1"/>
  <c r="BA49" i="3"/>
  <c r="AZ49" i="3" s="1"/>
  <c r="BL46" i="3"/>
  <c r="AZ46" i="3" s="1"/>
  <c r="BA45" i="3"/>
  <c r="AZ45" i="3" s="1"/>
  <c r="BL42" i="3"/>
  <c r="AZ42" i="3" s="1"/>
  <c r="BA41" i="3"/>
  <c r="AZ41" i="3" s="1"/>
  <c r="BL38" i="3"/>
  <c r="AZ38" i="3" s="1"/>
  <c r="BA37" i="3"/>
  <c r="AZ37" i="3" s="1"/>
  <c r="BL34" i="3"/>
  <c r="AZ34" i="3" s="1"/>
  <c r="BA33" i="3"/>
  <c r="AZ33" i="3" s="1"/>
  <c r="BL30" i="3"/>
  <c r="AZ30" i="3" s="1"/>
  <c r="BA29" i="3"/>
  <c r="AZ29" i="3" s="1"/>
  <c r="BL26" i="3"/>
  <c r="AZ26" i="3" s="1"/>
  <c r="BA25" i="3"/>
  <c r="AZ25" i="3" s="1"/>
  <c r="BL22" i="3"/>
  <c r="AZ22" i="3" s="1"/>
  <c r="BA21" i="3"/>
  <c r="AZ21" i="3" s="1"/>
  <c r="BL18" i="3"/>
  <c r="AZ18" i="3" s="1"/>
  <c r="BA17" i="3"/>
  <c r="AZ17" i="3" s="1"/>
  <c r="BL14" i="3"/>
  <c r="AZ14" i="3" s="1"/>
  <c r="Y7" i="71"/>
  <c r="Z7" i="71" s="1"/>
  <c r="AB6" i="71"/>
  <c r="AB7" i="71"/>
  <c r="BL192" i="3"/>
  <c r="AZ192" i="3" s="1"/>
  <c r="BA191" i="3"/>
  <c r="AZ191" i="3" s="1"/>
  <c r="BL188" i="3"/>
  <c r="AZ188" i="3" s="1"/>
  <c r="BA187" i="3"/>
  <c r="AZ187" i="3" s="1"/>
  <c r="BL184" i="3"/>
  <c r="AZ184" i="3" s="1"/>
  <c r="BA183" i="3"/>
  <c r="AZ183" i="3" s="1"/>
  <c r="BL180" i="3"/>
  <c r="AZ180" i="3" s="1"/>
  <c r="BA179" i="3"/>
  <c r="AZ179" i="3" s="1"/>
  <c r="BL176" i="3"/>
  <c r="AZ176" i="3" s="1"/>
  <c r="BA175" i="3"/>
  <c r="AZ175" i="3" s="1"/>
  <c r="BL172" i="3"/>
  <c r="AZ172" i="3" s="1"/>
  <c r="BA171" i="3"/>
  <c r="AZ171" i="3" s="1"/>
  <c r="BL168" i="3"/>
  <c r="AZ168" i="3" s="1"/>
  <c r="BA167" i="3"/>
  <c r="AZ167" i="3" s="1"/>
  <c r="BL164" i="3"/>
  <c r="AZ164" i="3" s="1"/>
  <c r="BA163" i="3"/>
  <c r="AZ163" i="3" s="1"/>
  <c r="BL160" i="3"/>
  <c r="AZ160" i="3" s="1"/>
  <c r="BA159" i="3"/>
  <c r="AZ159" i="3" s="1"/>
  <c r="BL156" i="3"/>
  <c r="AZ156" i="3" s="1"/>
  <c r="BA155" i="3"/>
  <c r="AZ155" i="3" s="1"/>
  <c r="BL152" i="3"/>
  <c r="AZ152" i="3" s="1"/>
  <c r="BA151" i="3"/>
  <c r="AZ151" i="3" s="1"/>
  <c r="BL148" i="3"/>
  <c r="AZ148" i="3" s="1"/>
  <c r="BA147" i="3"/>
  <c r="AZ147" i="3" s="1"/>
  <c r="BL144" i="3"/>
  <c r="AZ144" i="3" s="1"/>
  <c r="BA143" i="3"/>
  <c r="AZ143" i="3" s="1"/>
  <c r="BL140" i="3"/>
  <c r="AZ140" i="3" s="1"/>
  <c r="BA139" i="3"/>
  <c r="AZ139" i="3" s="1"/>
  <c r="BL136" i="3"/>
  <c r="AZ136" i="3" s="1"/>
  <c r="BA135" i="3"/>
  <c r="AZ135" i="3" s="1"/>
  <c r="BL132" i="3"/>
  <c r="AZ132" i="3" s="1"/>
  <c r="BA131" i="3"/>
  <c r="AZ131" i="3" s="1"/>
  <c r="BL128" i="3"/>
  <c r="AZ128" i="3" s="1"/>
  <c r="BA127" i="3"/>
  <c r="AZ127" i="3" s="1"/>
  <c r="BL124" i="3"/>
  <c r="AZ124" i="3" s="1"/>
  <c r="BA123" i="3"/>
  <c r="AZ123" i="3" s="1"/>
  <c r="BL120" i="3"/>
  <c r="AZ120" i="3" s="1"/>
  <c r="BA119" i="3"/>
  <c r="AZ119" i="3" s="1"/>
  <c r="BL116" i="3"/>
  <c r="AZ116" i="3" s="1"/>
  <c r="BA115" i="3"/>
  <c r="AZ115" i="3" s="1"/>
  <c r="BL112" i="3"/>
  <c r="AZ112" i="3" s="1"/>
  <c r="BA111" i="3"/>
  <c r="AZ111" i="3" s="1"/>
  <c r="BL108" i="3"/>
  <c r="AZ108" i="3" s="1"/>
  <c r="BA107" i="3"/>
  <c r="AZ107" i="3" s="1"/>
  <c r="BL104" i="3"/>
  <c r="AZ104" i="3" s="1"/>
  <c r="BA103" i="3"/>
  <c r="AZ103" i="3" s="1"/>
  <c r="BL100" i="3"/>
  <c r="AZ100" i="3" s="1"/>
  <c r="BA99" i="3"/>
  <c r="AZ99" i="3" s="1"/>
  <c r="BL96" i="3"/>
  <c r="AZ96" i="3" s="1"/>
  <c r="BA95" i="3"/>
  <c r="AZ95" i="3" s="1"/>
  <c r="BL92" i="3"/>
  <c r="AZ92" i="3" s="1"/>
  <c r="BA91" i="3"/>
  <c r="AZ91" i="3" s="1"/>
  <c r="BL88" i="3"/>
  <c r="AZ88" i="3" s="1"/>
  <c r="BA87" i="3"/>
  <c r="AZ87" i="3" s="1"/>
  <c r="BL84" i="3"/>
  <c r="AZ84" i="3" s="1"/>
  <c r="BA83" i="3"/>
  <c r="AZ83" i="3" s="1"/>
  <c r="BL80" i="3"/>
  <c r="AZ80" i="3" s="1"/>
  <c r="BA79" i="3"/>
  <c r="AZ79" i="3" s="1"/>
  <c r="BL76" i="3"/>
  <c r="AZ76" i="3" s="1"/>
  <c r="BA75" i="3"/>
  <c r="AZ75" i="3" s="1"/>
  <c r="BL72" i="3"/>
  <c r="AZ72" i="3" s="1"/>
  <c r="BA71" i="3"/>
  <c r="AZ71" i="3" s="1"/>
  <c r="BL68" i="3"/>
  <c r="AZ68" i="3" s="1"/>
  <c r="BA67" i="3"/>
  <c r="AZ67" i="3" s="1"/>
  <c r="BL64" i="3"/>
  <c r="AZ64" i="3" s="1"/>
  <c r="BA63" i="3"/>
  <c r="AZ63" i="3" s="1"/>
  <c r="BL60" i="3"/>
  <c r="AZ60" i="3" s="1"/>
  <c r="BA59" i="3"/>
  <c r="AZ59" i="3" s="1"/>
  <c r="BL56" i="3"/>
  <c r="AZ56" i="3" s="1"/>
  <c r="BA55" i="3"/>
  <c r="AZ55"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A19" i="3"/>
  <c r="AZ19" i="3" s="1"/>
  <c r="BL16" i="3"/>
  <c r="AZ16" i="3" s="1"/>
  <c r="BA15" i="3"/>
  <c r="AZ15" i="3" s="1"/>
  <c r="BL13" i="3"/>
  <c r="X7" i="71"/>
  <c r="X5" i="71"/>
  <c r="AA5" i="71"/>
  <c r="C6" i="43"/>
  <c r="H17" i="43"/>
  <c r="J17" i="43"/>
  <c r="P74" i="77"/>
  <c r="P61" i="77"/>
  <c r="J51" i="77"/>
  <c r="G13" i="3"/>
  <c r="D3" i="82"/>
  <c r="M18" i="83"/>
  <c r="B118" i="83" s="1"/>
  <c r="B16" i="74" s="1"/>
  <c r="D3" i="33"/>
  <c r="M18" i="80"/>
  <c r="B118" i="80" s="1"/>
  <c r="B15" i="74" s="1"/>
  <c r="D121" i="80"/>
  <c r="K120" i="80"/>
  <c r="F15" i="33"/>
  <c r="H15" i="33"/>
  <c r="J15" i="33"/>
  <c r="J51" i="81"/>
  <c r="BA13" i="3"/>
  <c r="C17" i="43"/>
  <c r="G17" i="43"/>
  <c r="C92" i="80"/>
  <c r="C94" i="80"/>
  <c r="D124" i="80"/>
  <c r="D125" i="80" s="1"/>
  <c r="H110" i="80"/>
  <c r="H23" i="33"/>
  <c r="H17" i="33"/>
  <c r="H13" i="33"/>
  <c r="H9" i="33"/>
  <c r="D22" i="81"/>
  <c r="P61" i="81"/>
  <c r="U25" i="82"/>
  <c r="U33" i="82"/>
  <c r="U41" i="82"/>
  <c r="U45" i="82"/>
  <c r="C77" i="83"/>
  <c r="C74" i="83" s="1"/>
  <c r="C94" i="83"/>
  <c r="C92" i="83"/>
  <c r="D121" i="83"/>
  <c r="K120" i="83"/>
  <c r="D124" i="83"/>
  <c r="D125" i="83" s="1"/>
  <c r="H110" i="83"/>
  <c r="F28" i="82"/>
  <c r="H28" i="82"/>
  <c r="J28" i="82"/>
  <c r="F30" i="82"/>
  <c r="H30" i="82"/>
  <c r="J30" i="82"/>
  <c r="F35" i="82"/>
  <c r="H35" i="82"/>
  <c r="J35" i="82"/>
  <c r="K141" i="82"/>
  <c r="K143" i="82"/>
  <c r="F27" i="82"/>
  <c r="H27" i="82"/>
  <c r="J27" i="82"/>
  <c r="F29" i="82"/>
  <c r="H29" i="82"/>
  <c r="J29" i="82"/>
  <c r="F31" i="82"/>
  <c r="H31" i="82"/>
  <c r="J31" i="82"/>
  <c r="G1" i="73"/>
  <c r="C17" i="67"/>
  <c r="C16" i="67"/>
  <c r="C14" i="67"/>
  <c r="W40" i="82" l="1"/>
  <c r="AC40" i="82"/>
  <c r="C49" i="67"/>
  <c r="B40" i="1"/>
  <c r="F24" i="81" s="1"/>
  <c r="C24" i="81" s="1"/>
  <c r="AA32" i="33"/>
  <c r="S32" i="33"/>
  <c r="AA42" i="33"/>
  <c r="S42" i="33"/>
  <c r="AC42" i="33"/>
  <c r="W42" i="33"/>
  <c r="AB42" i="33"/>
  <c r="U42" i="33"/>
  <c r="AC42" i="82"/>
  <c r="W42" i="82"/>
  <c r="AB39" i="82"/>
  <c r="U39" i="82"/>
  <c r="AC39" i="82"/>
  <c r="W39" i="82"/>
  <c r="AB32" i="82"/>
  <c r="U32" i="82"/>
  <c r="AB39" i="33"/>
  <c r="U39" i="33"/>
  <c r="AA39" i="33"/>
  <c r="S39" i="33"/>
  <c r="F102" i="43"/>
  <c r="F105" i="43"/>
  <c r="F109" i="43"/>
  <c r="E58" i="40"/>
  <c r="E63" i="39"/>
  <c r="C12" i="12"/>
  <c r="N105" i="43"/>
  <c r="N104" i="43"/>
  <c r="N109" i="43"/>
  <c r="E62" i="39"/>
  <c r="E66" i="39" s="1"/>
  <c r="E57" i="40"/>
  <c r="E16" i="6"/>
  <c r="K4" i="4"/>
  <c r="B46" i="48" s="1"/>
  <c r="B4" i="72" s="1"/>
  <c r="C15" i="67"/>
  <c r="C18" i="67"/>
  <c r="AC31" i="82"/>
  <c r="W31" i="82"/>
  <c r="AA31" i="82"/>
  <c r="S31" i="82"/>
  <c r="AB29" i="82"/>
  <c r="U29" i="82"/>
  <c r="AC27" i="82"/>
  <c r="W27" i="82"/>
  <c r="AA27" i="82"/>
  <c r="S27" i="82"/>
  <c r="AC35" i="82"/>
  <c r="W35" i="82"/>
  <c r="AA35" i="82"/>
  <c r="S35" i="82"/>
  <c r="AB30" i="82"/>
  <c r="U30" i="82"/>
  <c r="AC28" i="82"/>
  <c r="W28" i="82"/>
  <c r="AA28" i="82"/>
  <c r="S28" i="82"/>
  <c r="AB9" i="33"/>
  <c r="U9" i="33"/>
  <c r="AB17" i="33"/>
  <c r="U17" i="33"/>
  <c r="AB15" i="33"/>
  <c r="U15" i="33"/>
  <c r="M7" i="1"/>
  <c r="M16" i="1" s="1"/>
  <c r="Q16" i="1"/>
  <c r="H16" i="1"/>
  <c r="C34" i="69"/>
  <c r="G16" i="1"/>
  <c r="K16" i="1"/>
  <c r="D9" i="68"/>
  <c r="D9" i="69"/>
  <c r="D19" i="12"/>
  <c r="C19" i="12" s="1"/>
  <c r="D9" i="11"/>
  <c r="C9" i="11" s="1"/>
  <c r="F62" i="77"/>
  <c r="F62" i="81"/>
  <c r="B51" i="71"/>
  <c r="N52" i="71"/>
  <c r="C63" i="71"/>
  <c r="D63" i="71" s="1"/>
  <c r="D64" i="71"/>
  <c r="T45" i="71"/>
  <c r="D45" i="71"/>
  <c r="T37" i="71"/>
  <c r="D37" i="71"/>
  <c r="W38" i="40"/>
  <c r="AC38" i="40"/>
  <c r="AB24" i="36"/>
  <c r="U24" i="36"/>
  <c r="U12" i="36"/>
  <c r="AB12" i="36"/>
  <c r="AB27" i="33"/>
  <c r="U27" i="33"/>
  <c r="AA27" i="33"/>
  <c r="S27" i="33"/>
  <c r="AA19" i="33"/>
  <c r="S19" i="33"/>
  <c r="AC12" i="21"/>
  <c r="W12" i="21"/>
  <c r="AB27" i="21"/>
  <c r="U27" i="21"/>
  <c r="U29" i="21"/>
  <c r="AB29" i="21"/>
  <c r="AA11" i="36"/>
  <c r="S11" i="36"/>
  <c r="S40" i="37"/>
  <c r="AA40" i="37"/>
  <c r="W27" i="37"/>
  <c r="AC27" i="37"/>
  <c r="W39" i="40"/>
  <c r="AC39" i="40"/>
  <c r="U23" i="35"/>
  <c r="AB23" i="35"/>
  <c r="AB26" i="33"/>
  <c r="U26" i="33"/>
  <c r="AB28" i="33"/>
  <c r="U28" i="33"/>
  <c r="AC28" i="33"/>
  <c r="W28" i="33"/>
  <c r="S37" i="21"/>
  <c r="AA37" i="21"/>
  <c r="AA7" i="37"/>
  <c r="R42" i="37" s="1"/>
  <c r="S7" i="37"/>
  <c r="AC7" i="36"/>
  <c r="V36" i="36" s="1"/>
  <c r="I36" i="36" s="1"/>
  <c r="W7" i="36"/>
  <c r="E58" i="33"/>
  <c r="F58" i="33" s="1"/>
  <c r="G58" i="33" s="1"/>
  <c r="H58" i="33" s="1"/>
  <c r="I58" i="33" s="1"/>
  <c r="J58" i="33" s="1"/>
  <c r="K58" i="33" s="1"/>
  <c r="L58" i="33" s="1"/>
  <c r="M58" i="33" s="1"/>
  <c r="N58" i="33" s="1"/>
  <c r="O58" i="33" s="1"/>
  <c r="J7" i="33"/>
  <c r="AC42" i="21"/>
  <c r="W42" i="21"/>
  <c r="H107" i="43"/>
  <c r="H106" i="43"/>
  <c r="H105" i="43"/>
  <c r="H109" i="43"/>
  <c r="H103" i="43"/>
  <c r="H102" i="43"/>
  <c r="H104" i="43"/>
  <c r="AB31" i="82"/>
  <c r="U31" i="82"/>
  <c r="AC29" i="82"/>
  <c r="W29" i="82"/>
  <c r="AA29" i="82"/>
  <c r="S29" i="82"/>
  <c r="AB27" i="82"/>
  <c r="U27" i="82"/>
  <c r="AB35" i="82"/>
  <c r="U35" i="82"/>
  <c r="AC30" i="82"/>
  <c r="W30" i="82"/>
  <c r="AA30" i="82"/>
  <c r="S30" i="82"/>
  <c r="AB28" i="82"/>
  <c r="U28" i="82"/>
  <c r="AB13" i="33"/>
  <c r="U13" i="33"/>
  <c r="AB23" i="33"/>
  <c r="U23" i="33"/>
  <c r="C16" i="43"/>
  <c r="D5" i="43" s="1"/>
  <c r="BA5" i="3"/>
  <c r="E27" i="6" s="1"/>
  <c r="AZ13" i="3"/>
  <c r="AZ5" i="3" s="1"/>
  <c r="AC15" i="33"/>
  <c r="W15" i="33"/>
  <c r="AA15" i="33"/>
  <c r="S15" i="33"/>
  <c r="G5" i="3"/>
  <c r="B3" i="3" s="1"/>
  <c r="E13" i="3" s="1"/>
  <c r="C5" i="43"/>
  <c r="BL5" i="3"/>
  <c r="D58" i="82"/>
  <c r="B1" i="74"/>
  <c r="D56" i="71"/>
  <c r="C55" i="71"/>
  <c r="D55" i="71" s="1"/>
  <c r="D68" i="71"/>
  <c r="C67" i="71"/>
  <c r="D67" i="71" s="1"/>
  <c r="AB38" i="40"/>
  <c r="U38" i="40"/>
  <c r="S38" i="40"/>
  <c r="AA38" i="40"/>
  <c r="AC24" i="36"/>
  <c r="W24" i="36"/>
  <c r="AC12" i="36"/>
  <c r="W12" i="36"/>
  <c r="AC27" i="33"/>
  <c r="W27" i="33"/>
  <c r="AB19" i="33"/>
  <c r="U19" i="33"/>
  <c r="AC19" i="33"/>
  <c r="W19" i="33"/>
  <c r="AB12" i="21"/>
  <c r="U12" i="21"/>
  <c r="AC13" i="21"/>
  <c r="W13" i="21"/>
  <c r="AA27" i="21"/>
  <c r="S27" i="21"/>
  <c r="AB11" i="36"/>
  <c r="U11" i="36"/>
  <c r="W40" i="37"/>
  <c r="AC40" i="37"/>
  <c r="S27" i="37"/>
  <c r="AA27" i="37"/>
  <c r="C49" i="71"/>
  <c r="D48" i="71"/>
  <c r="T41" i="71"/>
  <c r="D41" i="71"/>
  <c r="U39" i="40"/>
  <c r="AB39" i="40"/>
  <c r="W23" i="35"/>
  <c r="AC23" i="35"/>
  <c r="AC26" i="33"/>
  <c r="W26" i="33"/>
  <c r="AA26" i="33"/>
  <c r="S26" i="33"/>
  <c r="AA28" i="33"/>
  <c r="S28" i="33"/>
  <c r="U37" i="21"/>
  <c r="AB37" i="21"/>
  <c r="W7" i="35"/>
  <c r="AC7" i="35"/>
  <c r="V38" i="35" s="1"/>
  <c r="I38" i="35" s="1"/>
  <c r="H7" i="33"/>
  <c r="F7" i="33"/>
  <c r="U42" i="21"/>
  <c r="AB42" i="21"/>
  <c r="S42" i="21"/>
  <c r="AA42" i="21"/>
  <c r="L109" i="43"/>
  <c r="L106" i="43"/>
  <c r="L107" i="43"/>
  <c r="L103" i="43"/>
  <c r="L102" i="43"/>
  <c r="L104" i="43"/>
  <c r="L105" i="43"/>
  <c r="J103" i="43"/>
  <c r="J106" i="43"/>
  <c r="J105" i="43"/>
  <c r="J107" i="43"/>
  <c r="J102" i="43"/>
  <c r="J109" i="43"/>
  <c r="J104" i="43"/>
  <c r="G103" i="43"/>
  <c r="G109" i="43"/>
  <c r="G107" i="43"/>
  <c r="G104" i="43"/>
  <c r="G106" i="43"/>
  <c r="G105" i="43"/>
  <c r="G102" i="43"/>
  <c r="AA7" i="21"/>
  <c r="S7" i="21"/>
  <c r="U7" i="37"/>
  <c r="AB7" i="37"/>
  <c r="T42" i="37" s="1"/>
  <c r="G42" i="37" s="1"/>
  <c r="W7" i="37"/>
  <c r="AC7" i="37"/>
  <c r="V42" i="37" s="1"/>
  <c r="I42" i="37" s="1"/>
  <c r="AC7" i="21"/>
  <c r="W7" i="21"/>
  <c r="O63" i="40"/>
  <c r="O65" i="40" s="1"/>
  <c r="N65" i="40"/>
  <c r="J7" i="40" s="1"/>
  <c r="B38" i="72"/>
  <c r="D20" i="53"/>
  <c r="B40" i="72" s="1"/>
  <c r="G68" i="39"/>
  <c r="F70" i="39"/>
  <c r="S7" i="36"/>
  <c r="AA7" i="36"/>
  <c r="R36" i="36" s="1"/>
  <c r="F11" i="81"/>
  <c r="M11" i="81"/>
  <c r="F11" i="77"/>
  <c r="M11" i="77"/>
  <c r="F11" i="15"/>
  <c r="M11" i="15"/>
  <c r="M11" i="67"/>
  <c r="J10" i="67" s="1"/>
  <c r="J5" i="67" s="1"/>
  <c r="F11" i="67"/>
  <c r="Q61" i="67"/>
  <c r="Q74" i="67"/>
  <c r="P17" i="43"/>
  <c r="N17" i="43"/>
  <c r="M17" i="43"/>
  <c r="O17" i="43"/>
  <c r="C106" i="43"/>
  <c r="C105" i="43"/>
  <c r="C102" i="43"/>
  <c r="C109" i="43"/>
  <c r="C104" i="43"/>
  <c r="C103" i="43"/>
  <c r="C107" i="43"/>
  <c r="I115" i="43"/>
  <c r="J115" i="43" s="1"/>
  <c r="K115" i="43" s="1"/>
  <c r="L115" i="43" s="1"/>
  <c r="M115" i="43" s="1"/>
  <c r="I118" i="43"/>
  <c r="J118" i="43" s="1"/>
  <c r="K118" i="43" s="1"/>
  <c r="L118" i="43" s="1"/>
  <c r="M118" i="43" s="1"/>
  <c r="D118" i="43"/>
  <c r="E118" i="43" s="1"/>
  <c r="F118" i="43" s="1"/>
  <c r="D115" i="43"/>
  <c r="E115" i="43" s="1"/>
  <c r="F115" i="43" s="1"/>
  <c r="G115" i="43" s="1"/>
  <c r="H115" i="43" s="1"/>
  <c r="B115" i="43"/>
  <c r="D116" i="43"/>
  <c r="E116" i="43" s="1"/>
  <c r="F116" i="43" s="1"/>
  <c r="G116" i="43" s="1"/>
  <c r="H116" i="43" s="1"/>
  <c r="G118" i="43"/>
  <c r="H118" i="43" s="1"/>
  <c r="B118" i="43"/>
  <c r="C118" i="43" s="1"/>
  <c r="I116" i="43"/>
  <c r="J116" i="43" s="1"/>
  <c r="K116" i="43" s="1"/>
  <c r="L116" i="43" s="1"/>
  <c r="M116" i="43" s="1"/>
  <c r="B116" i="43"/>
  <c r="C116" i="43" s="1"/>
  <c r="I117" i="43"/>
  <c r="J117" i="43" s="1"/>
  <c r="K117" i="43" s="1"/>
  <c r="L117" i="43" s="1"/>
  <c r="M117" i="43" s="1"/>
  <c r="B117" i="43"/>
  <c r="C117" i="43" s="1"/>
  <c r="D117" i="43"/>
  <c r="E117" i="43" s="1"/>
  <c r="F117" i="43" s="1"/>
  <c r="G117" i="43" s="1"/>
  <c r="H117" i="43" s="1"/>
  <c r="G59" i="34"/>
  <c r="AA7" i="35"/>
  <c r="R38" i="35" s="1"/>
  <c r="S7" i="35"/>
  <c r="AB7" i="21"/>
  <c r="U7" i="21"/>
  <c r="U7" i="35"/>
  <c r="AB7" i="35"/>
  <c r="T38" i="35" s="1"/>
  <c r="G38" i="35" s="1"/>
  <c r="U7" i="36"/>
  <c r="AB7" i="36"/>
  <c r="T36" i="36" s="1"/>
  <c r="G36" i="36" s="1"/>
  <c r="Q73" i="67"/>
  <c r="Q60" i="67"/>
  <c r="F22" i="69"/>
  <c r="F13" i="77"/>
  <c r="F40" i="77"/>
  <c r="F13" i="81"/>
  <c r="F26" i="81"/>
  <c r="M23" i="81"/>
  <c r="J15" i="15"/>
  <c r="M6" i="77"/>
  <c r="F6" i="81"/>
  <c r="M28" i="81"/>
  <c r="F36" i="15"/>
  <c r="M28" i="15"/>
  <c r="F38" i="77"/>
  <c r="M9" i="77"/>
  <c r="M24" i="77"/>
  <c r="F38" i="81"/>
  <c r="F16" i="81"/>
  <c r="M27" i="81"/>
  <c r="F8" i="15"/>
  <c r="F43" i="15"/>
  <c r="M6" i="15"/>
  <c r="M29" i="15"/>
  <c r="F37" i="77"/>
  <c r="F26" i="77"/>
  <c r="M22" i="77"/>
  <c r="F36" i="81"/>
  <c r="F43" i="81"/>
  <c r="L47" i="81"/>
  <c r="F9" i="15"/>
  <c r="F16" i="15"/>
  <c r="M24" i="15"/>
  <c r="M22" i="15"/>
  <c r="M29" i="77"/>
  <c r="M26" i="81"/>
  <c r="F6" i="15"/>
  <c r="M23" i="15"/>
  <c r="F8" i="77"/>
  <c r="M23" i="77"/>
  <c r="F40" i="81"/>
  <c r="M24" i="81"/>
  <c r="F42" i="15"/>
  <c r="F6" i="77"/>
  <c r="F9" i="77"/>
  <c r="J15" i="77"/>
  <c r="L48" i="81"/>
  <c r="C76" i="81"/>
  <c r="F13" i="15"/>
  <c r="F36" i="77"/>
  <c r="M26" i="77"/>
  <c r="F8" i="81"/>
  <c r="F40" i="15"/>
  <c r="C76" i="15"/>
  <c r="F43" i="77"/>
  <c r="F42" i="77"/>
  <c r="M28" i="77"/>
  <c r="F7" i="81"/>
  <c r="M6" i="81"/>
  <c r="M8" i="81"/>
  <c r="M22" i="81"/>
  <c r="M8" i="15"/>
  <c r="F38" i="15"/>
  <c r="M26" i="15"/>
  <c r="F16" i="77"/>
  <c r="L48" i="77"/>
  <c r="C76" i="77"/>
  <c r="M27" i="77"/>
  <c r="F42" i="81"/>
  <c r="M9" i="81"/>
  <c r="J15" i="81"/>
  <c r="M9" i="15"/>
  <c r="F37" i="15"/>
  <c r="M27" i="15"/>
  <c r="L47" i="77"/>
  <c r="F9" i="81"/>
  <c r="F26" i="15"/>
  <c r="L48" i="15"/>
  <c r="F7" i="77"/>
  <c r="M8" i="77"/>
  <c r="F37" i="81"/>
  <c r="M29" i="81"/>
  <c r="F7" i="15"/>
  <c r="L47" i="15"/>
  <c r="F22" i="11" l="1"/>
  <c r="F22" i="68"/>
  <c r="C26" i="68" s="1"/>
  <c r="D22" i="68" s="1"/>
  <c r="F24" i="77"/>
  <c r="C24" i="77" s="1"/>
  <c r="F24" i="67"/>
  <c r="C24" i="67" s="1"/>
  <c r="F25" i="12"/>
  <c r="C26" i="12" s="1"/>
  <c r="D25" i="12" s="1"/>
  <c r="F24" i="15"/>
  <c r="C24" i="15" s="1"/>
  <c r="C19" i="67"/>
  <c r="C20" i="67" s="1"/>
  <c r="C26" i="67" s="1"/>
  <c r="L59" i="15"/>
  <c r="L58" i="15"/>
  <c r="N59" i="15"/>
  <c r="M59" i="15"/>
  <c r="Q71" i="15"/>
  <c r="F65" i="15"/>
  <c r="F64" i="15"/>
  <c r="M7" i="15"/>
  <c r="F50" i="15"/>
  <c r="F68" i="15"/>
  <c r="L59" i="81"/>
  <c r="L58" i="81"/>
  <c r="N59" i="81"/>
  <c r="M59" i="81"/>
  <c r="F68" i="81"/>
  <c r="F71" i="81"/>
  <c r="F51" i="81"/>
  <c r="F65" i="81"/>
  <c r="F64" i="81"/>
  <c r="C6" i="81"/>
  <c r="Q71" i="77"/>
  <c r="C27" i="77"/>
  <c r="L56" i="77"/>
  <c r="L60" i="77"/>
  <c r="L57" i="77"/>
  <c r="J57" i="77"/>
  <c r="J55" i="77" s="1"/>
  <c r="J58" i="77" s="1"/>
  <c r="Q50" i="77" s="1"/>
  <c r="J53" i="77"/>
  <c r="I54" i="77"/>
  <c r="F51" i="77"/>
  <c r="F65" i="77"/>
  <c r="F64" i="77"/>
  <c r="M7" i="77"/>
  <c r="J6" i="77" s="1"/>
  <c r="F50" i="77"/>
  <c r="J6" i="15"/>
  <c r="L60" i="15"/>
  <c r="J53" i="15"/>
  <c r="J57" i="15"/>
  <c r="J55" i="15" s="1"/>
  <c r="J58" i="15" s="1"/>
  <c r="Q50" i="15" s="1"/>
  <c r="J60" i="15"/>
  <c r="Q48" i="15" s="1"/>
  <c r="J59" i="15"/>
  <c r="F66" i="15"/>
  <c r="F71" i="15"/>
  <c r="C6" i="15"/>
  <c r="C27" i="15"/>
  <c r="F51" i="15"/>
  <c r="Q71" i="81"/>
  <c r="C27" i="81"/>
  <c r="L60" i="81"/>
  <c r="L57" i="81"/>
  <c r="L56" i="81"/>
  <c r="I54" i="81"/>
  <c r="J57" i="81"/>
  <c r="J55" i="81" s="1"/>
  <c r="J58" i="81" s="1"/>
  <c r="Q50" i="81" s="1"/>
  <c r="J53" i="81"/>
  <c r="F66" i="81"/>
  <c r="M7" i="81"/>
  <c r="J6" i="81" s="1"/>
  <c r="F50" i="81"/>
  <c r="M59" i="77"/>
  <c r="L59" i="77"/>
  <c r="L58" i="77"/>
  <c r="N59" i="77"/>
  <c r="F68" i="77"/>
  <c r="F66" i="77"/>
  <c r="F71" i="77"/>
  <c r="C6" i="77"/>
  <c r="J26" i="67"/>
  <c r="J29" i="67" s="1"/>
  <c r="J18" i="67"/>
  <c r="J24" i="67"/>
  <c r="C35" i="43"/>
  <c r="C36" i="43"/>
  <c r="C38" i="43"/>
  <c r="C39" i="43"/>
  <c r="C37" i="43"/>
  <c r="C34" i="43"/>
  <c r="C33" i="43"/>
  <c r="C44" i="69"/>
  <c r="D41" i="69" s="1"/>
  <c r="C26" i="69"/>
  <c r="D22" i="69" s="1"/>
  <c r="C23" i="11"/>
  <c r="C44" i="11"/>
  <c r="D41" i="11" s="1"/>
  <c r="C26" i="11"/>
  <c r="D22" i="11" s="1"/>
  <c r="G40" i="36"/>
  <c r="H40" i="36" s="1"/>
  <c r="G41" i="36"/>
  <c r="H41" i="36" s="1"/>
  <c r="G42" i="35"/>
  <c r="H42" i="35" s="1"/>
  <c r="G43" i="35"/>
  <c r="H43" i="35" s="1"/>
  <c r="R39" i="35"/>
  <c r="E38" i="35"/>
  <c r="H59" i="34"/>
  <c r="I59" i="34" s="1"/>
  <c r="J59" i="34" s="1"/>
  <c r="K59" i="34" s="1"/>
  <c r="L59" i="34" s="1"/>
  <c r="M59" i="34" s="1"/>
  <c r="N59" i="34" s="1"/>
  <c r="O59" i="34" s="1"/>
  <c r="H7" i="34" s="1"/>
  <c r="J7" i="34"/>
  <c r="C10" i="15"/>
  <c r="C53" i="15"/>
  <c r="C10" i="77"/>
  <c r="C53" i="77"/>
  <c r="C10" i="81"/>
  <c r="C53" i="81"/>
  <c r="H68" i="39"/>
  <c r="G70" i="39"/>
  <c r="AC7" i="40"/>
  <c r="V42" i="40" s="1"/>
  <c r="I42" i="40" s="1"/>
  <c r="W7" i="40"/>
  <c r="I46" i="37"/>
  <c r="J46" i="37" s="1"/>
  <c r="G46" i="37"/>
  <c r="H46" i="37" s="1"/>
  <c r="G47" i="37"/>
  <c r="H47" i="37" s="1"/>
  <c r="AB7" i="33"/>
  <c r="T48" i="33" s="1"/>
  <c r="G48" i="33" s="1"/>
  <c r="U7" i="33"/>
  <c r="T49" i="71"/>
  <c r="D49" i="71"/>
  <c r="C44" i="68"/>
  <c r="D41" i="68" s="1"/>
  <c r="C8" i="74"/>
  <c r="C7" i="74"/>
  <c r="E58" i="82"/>
  <c r="F58" i="82" s="1"/>
  <c r="G58" i="82" s="1"/>
  <c r="H58" i="82" s="1"/>
  <c r="I58" i="82" s="1"/>
  <c r="J58" i="82" s="1"/>
  <c r="K58" i="82" s="1"/>
  <c r="L58" i="82" s="1"/>
  <c r="M58" i="82" s="1"/>
  <c r="N58" i="82" s="1"/>
  <c r="O58" i="82" s="1"/>
  <c r="J7" i="82"/>
  <c r="T14" i="43"/>
  <c r="V14" i="43" s="1"/>
  <c r="T13" i="43"/>
  <c r="V13" i="43" s="1"/>
  <c r="T4" i="43"/>
  <c r="V4" i="43" s="1"/>
  <c r="T8" i="43"/>
  <c r="V8" i="43" s="1"/>
  <c r="T11" i="43"/>
  <c r="V11" i="43" s="1"/>
  <c r="T7" i="43"/>
  <c r="V7" i="43" s="1"/>
  <c r="T5" i="43"/>
  <c r="V5" i="43" s="1"/>
  <c r="T9" i="43"/>
  <c r="V9" i="43" s="1"/>
  <c r="T6" i="43"/>
  <c r="V6" i="43" s="1"/>
  <c r="T15" i="43"/>
  <c r="V15" i="43" s="1"/>
  <c r="T3" i="43"/>
  <c r="V3" i="43" s="1"/>
  <c r="T16" i="43"/>
  <c r="V16" i="43" s="1"/>
  <c r="T2" i="43"/>
  <c r="V2" i="43" s="1"/>
  <c r="C29" i="43"/>
  <c r="T10" i="43"/>
  <c r="V10" i="43" s="1"/>
  <c r="T12" i="43"/>
  <c r="V12" i="43" s="1"/>
  <c r="E3" i="6"/>
  <c r="AY6" i="3"/>
  <c r="W7" i="33"/>
  <c r="AC7" i="33"/>
  <c r="V48" i="33" s="1"/>
  <c r="I48" i="33" s="1"/>
  <c r="C9" i="69"/>
  <c r="C35" i="69"/>
  <c r="C38" i="69"/>
  <c r="F27" i="68"/>
  <c r="F27" i="69"/>
  <c r="F27" i="11"/>
  <c r="F28" i="12"/>
  <c r="C29" i="12" s="1"/>
  <c r="D28" i="12" s="1"/>
  <c r="N16" i="1"/>
  <c r="L16" i="1"/>
  <c r="C34" i="68"/>
  <c r="C34" i="11"/>
  <c r="H7" i="40"/>
  <c r="F7" i="34"/>
  <c r="C115" i="43"/>
  <c r="D113" i="43" s="1"/>
  <c r="C10" i="67"/>
  <c r="C5" i="67" s="1"/>
  <c r="C53" i="67"/>
  <c r="C48" i="67" s="1"/>
  <c r="E36" i="36"/>
  <c r="R37" i="36"/>
  <c r="F7" i="40"/>
  <c r="AA7" i="33"/>
  <c r="R48" i="33" s="1"/>
  <c r="S7" i="33"/>
  <c r="I42" i="35"/>
  <c r="J42" i="35" s="1"/>
  <c r="I43" i="35"/>
  <c r="J43" i="35" s="1"/>
  <c r="F7" i="82"/>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AJ6" i="3"/>
  <c r="E347" i="3"/>
  <c r="E583" i="3"/>
  <c r="AA6" i="3"/>
  <c r="X6" i="3"/>
  <c r="E399" i="3"/>
  <c r="E336" i="3"/>
  <c r="E280" i="3"/>
  <c r="E246" i="3"/>
  <c r="E124" i="3"/>
  <c r="E293"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08" i="3"/>
  <c r="E328" i="3"/>
  <c r="E329" i="3"/>
  <c r="E539" i="3"/>
  <c r="E545" i="3"/>
  <c r="E567" i="3"/>
  <c r="E510" i="3"/>
  <c r="E461" i="3"/>
  <c r="E352" i="3"/>
  <c r="E227" i="3"/>
  <c r="E205" i="3"/>
  <c r="E165" i="3"/>
  <c r="E128"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1" i="6"/>
  <c r="K26" i="6"/>
  <c r="M26" i="6" s="1"/>
  <c r="I26" i="6" s="1"/>
  <c r="S26" i="6" s="1"/>
  <c r="K24" i="6"/>
  <c r="M24" i="6" s="1"/>
  <c r="I24" i="6" s="1"/>
  <c r="S24" i="6" s="1"/>
  <c r="K25" i="6"/>
  <c r="M25" i="6" s="1"/>
  <c r="I25" i="6" s="1"/>
  <c r="S25" i="6" s="1"/>
  <c r="K23" i="6"/>
  <c r="M23" i="6" s="1"/>
  <c r="I23" i="6" s="1"/>
  <c r="S23" i="6" s="1"/>
  <c r="K19" i="6"/>
  <c r="K22" i="6"/>
  <c r="K20" i="6"/>
  <c r="K21" i="6"/>
  <c r="I40" i="36"/>
  <c r="J40" i="36" s="1"/>
  <c r="I41" i="36"/>
  <c r="J41" i="36" s="1"/>
  <c r="R43" i="37"/>
  <c r="E42" i="37"/>
  <c r="N50" i="71"/>
  <c r="N51" i="71"/>
  <c r="C9" i="68"/>
  <c r="H10" i="40"/>
  <c r="F10" i="39"/>
  <c r="J10" i="40"/>
  <c r="J10" i="39"/>
  <c r="F10" i="40"/>
  <c r="H10" i="39"/>
  <c r="C16" i="77"/>
  <c r="C16" i="81"/>
  <c r="C16" i="15"/>
  <c r="C49" i="15" l="1"/>
  <c r="C48" i="15" s="1"/>
  <c r="C23" i="67"/>
  <c r="C29" i="67" s="1"/>
  <c r="J10" i="81"/>
  <c r="J5" i="81" s="1"/>
  <c r="J10" i="77"/>
  <c r="J5" i="77" s="1"/>
  <c r="AB7" i="34"/>
  <c r="T49" i="34" s="1"/>
  <c r="G49" i="34" s="1"/>
  <c r="U7" i="34"/>
  <c r="U10" i="39"/>
  <c r="AB10" i="39"/>
  <c r="AA10" i="39"/>
  <c r="S10" i="39"/>
  <c r="C43" i="37"/>
  <c r="C42" i="37"/>
  <c r="M20" i="6"/>
  <c r="I20" i="6" s="1"/>
  <c r="S7" i="1"/>
  <c r="M19" i="6"/>
  <c r="S6" i="1"/>
  <c r="K27" i="6"/>
  <c r="AA10" i="40"/>
  <c r="S10" i="40"/>
  <c r="AC10" i="40"/>
  <c r="W10" i="40"/>
  <c r="AB10" i="40"/>
  <c r="U10" i="40"/>
  <c r="E47" i="37"/>
  <c r="F47" i="37" s="1"/>
  <c r="E46" i="37"/>
  <c r="F46" i="37" s="1"/>
  <c r="M21" i="6"/>
  <c r="I21" i="6" s="1"/>
  <c r="S21" i="6" s="1"/>
  <c r="S8" i="1"/>
  <c r="M22" i="6"/>
  <c r="I22" i="6" s="1"/>
  <c r="S9" i="1"/>
  <c r="H6" i="3"/>
  <c r="AA7" i="82"/>
  <c r="R48" i="82" s="1"/>
  <c r="S7" i="82"/>
  <c r="R49" i="33"/>
  <c r="E48" i="33"/>
  <c r="E40" i="36"/>
  <c r="F40" i="36" s="1"/>
  <c r="E41" i="36"/>
  <c r="F41" i="36" s="1"/>
  <c r="C38" i="67"/>
  <c r="C32" i="67"/>
  <c r="C38" i="11"/>
  <c r="C35" i="11"/>
  <c r="C47" i="69"/>
  <c r="D45" i="69" s="1"/>
  <c r="C29" i="69"/>
  <c r="D27" i="69" s="1"/>
  <c r="E6" i="6"/>
  <c r="C17" i="4"/>
  <c r="B4" i="52" s="1"/>
  <c r="B43" i="72" s="1"/>
  <c r="D3" i="37"/>
  <c r="D19" i="11"/>
  <c r="C19" i="11" s="1"/>
  <c r="D14" i="12"/>
  <c r="D3" i="34"/>
  <c r="D37" i="11"/>
  <c r="C37" i="11" s="1"/>
  <c r="H7" i="82"/>
  <c r="G52" i="33"/>
  <c r="H52" i="33" s="1"/>
  <c r="G53" i="33"/>
  <c r="H53" i="33" s="1"/>
  <c r="I47" i="37"/>
  <c r="J47" i="37" s="1"/>
  <c r="I46" i="40"/>
  <c r="J46" i="40" s="1"/>
  <c r="H70" i="39"/>
  <c r="I68" i="39"/>
  <c r="E43" i="35"/>
  <c r="F43" i="35" s="1"/>
  <c r="E42" i="35"/>
  <c r="F42" i="35" s="1"/>
  <c r="G34" i="43"/>
  <c r="I34" i="43" s="1"/>
  <c r="E34" i="43"/>
  <c r="E39" i="43"/>
  <c r="G39" i="43"/>
  <c r="I39" i="43" s="1"/>
  <c r="G36" i="43"/>
  <c r="I36" i="43" s="1"/>
  <c r="E36" i="43"/>
  <c r="C5" i="77"/>
  <c r="Q73" i="77"/>
  <c r="Q60" i="77"/>
  <c r="F1" i="81"/>
  <c r="Q52" i="81"/>
  <c r="C5" i="15"/>
  <c r="F1" i="15"/>
  <c r="Q52" i="15"/>
  <c r="L56" i="15"/>
  <c r="J10" i="15"/>
  <c r="J5" i="15" s="1"/>
  <c r="C49" i="77"/>
  <c r="C48" i="77" s="1"/>
  <c r="F1" i="77"/>
  <c r="Q52" i="77"/>
  <c r="C5" i="81"/>
  <c r="Q61" i="81"/>
  <c r="Q74" i="81"/>
  <c r="Q60" i="15"/>
  <c r="Q73" i="15"/>
  <c r="W10" i="39"/>
  <c r="AC10" i="39"/>
  <c r="AC6" i="3"/>
  <c r="AA7" i="40"/>
  <c r="R42" i="40" s="1"/>
  <c r="S7" i="40"/>
  <c r="C36" i="36"/>
  <c r="C37" i="36"/>
  <c r="B2" i="36" s="1"/>
  <c r="B3" i="36" s="1"/>
  <c r="C66" i="67"/>
  <c r="C60" i="67"/>
  <c r="S7" i="34"/>
  <c r="AA7" i="34"/>
  <c r="R49" i="34" s="1"/>
  <c r="AB7" i="40"/>
  <c r="T42" i="40" s="1"/>
  <c r="G42" i="40" s="1"/>
  <c r="U7" i="40"/>
  <c r="C35" i="68"/>
  <c r="C38" i="68"/>
  <c r="F50" i="11"/>
  <c r="F50" i="68"/>
  <c r="F50" i="69"/>
  <c r="C29" i="11"/>
  <c r="D27" i="11" s="1"/>
  <c r="C47" i="11"/>
  <c r="D45" i="11" s="1"/>
  <c r="C29" i="68"/>
  <c r="D27" i="68" s="1"/>
  <c r="C47" i="68"/>
  <c r="D45" i="68" s="1"/>
  <c r="I52" i="33"/>
  <c r="J52" i="33" s="1"/>
  <c r="I53" i="33"/>
  <c r="J53" i="33"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C30" i="43"/>
  <c r="E30" i="43" s="1"/>
  <c r="E29" i="43"/>
  <c r="AC7" i="82"/>
  <c r="V48" i="82" s="1"/>
  <c r="I48" i="82" s="1"/>
  <c r="W7" i="82"/>
  <c r="W7" i="34"/>
  <c r="AC7" i="34"/>
  <c r="V49" i="34" s="1"/>
  <c r="I49" i="34" s="1"/>
  <c r="C39" i="35"/>
  <c r="B2" i="35" s="1"/>
  <c r="B3" i="35" s="1"/>
  <c r="C38" i="35"/>
  <c r="G33" i="43"/>
  <c r="I33" i="43" s="1"/>
  <c r="E33" i="43"/>
  <c r="G37" i="43"/>
  <c r="I37" i="43" s="1"/>
  <c r="E37" i="43"/>
  <c r="E38" i="43"/>
  <c r="G38" i="43"/>
  <c r="I38" i="43" s="1"/>
  <c r="E35" i="43"/>
  <c r="G35" i="43"/>
  <c r="I35" i="43" s="1"/>
  <c r="Q74" i="77"/>
  <c r="Q61" i="77"/>
  <c r="Q57" i="81"/>
  <c r="Q66" i="81"/>
  <c r="Q57" i="15"/>
  <c r="Q66" i="15"/>
  <c r="Q66" i="77"/>
  <c r="Q57" i="77"/>
  <c r="C49" i="81"/>
  <c r="C48" i="81" s="1"/>
  <c r="Q60" i="81"/>
  <c r="Q73" i="81"/>
  <c r="Q74" i="15"/>
  <c r="Q61" i="15"/>
  <c r="AE9" i="1"/>
  <c r="C17" i="81"/>
  <c r="C17" i="15"/>
  <c r="C17" i="77"/>
  <c r="AE6" i="1"/>
  <c r="AE7" i="1"/>
  <c r="C33" i="11" l="1"/>
  <c r="C42" i="11" s="1"/>
  <c r="I53" i="34"/>
  <c r="J53" i="34" s="1"/>
  <c r="C26" i="43"/>
  <c r="E49" i="34"/>
  <c r="R50" i="34"/>
  <c r="E42" i="40"/>
  <c r="R43" i="40"/>
  <c r="C33" i="81"/>
  <c r="C32" i="81"/>
  <c r="C38" i="81"/>
  <c r="C60" i="15"/>
  <c r="C66" i="15"/>
  <c r="J68" i="39"/>
  <c r="I70" i="39"/>
  <c r="D17" i="12"/>
  <c r="C17" i="12" s="1"/>
  <c r="C14" i="12"/>
  <c r="C16" i="12" s="1"/>
  <c r="C49" i="33"/>
  <c r="C48" i="33"/>
  <c r="E48" i="82"/>
  <c r="S22" i="6"/>
  <c r="L18" i="83"/>
  <c r="I19" i="6"/>
  <c r="M27" i="6"/>
  <c r="S20" i="6"/>
  <c r="L18" i="80"/>
  <c r="B2" i="37"/>
  <c r="B3" i="37" s="1"/>
  <c r="G53" i="34"/>
  <c r="H53" i="34" s="1"/>
  <c r="G54" i="34"/>
  <c r="H54" i="34" s="1"/>
  <c r="C60" i="81"/>
  <c r="C66" i="81"/>
  <c r="I53" i="82"/>
  <c r="J53" i="82" s="1"/>
  <c r="I52" i="82"/>
  <c r="J52" i="82" s="1"/>
  <c r="C27" i="43"/>
  <c r="D19" i="6"/>
  <c r="D20" i="6"/>
  <c r="H19" i="6"/>
  <c r="H20" i="6"/>
  <c r="D22" i="6"/>
  <c r="D26" i="6"/>
  <c r="C18" i="4"/>
  <c r="D21" i="6"/>
  <c r="D24" i="6"/>
  <c r="D5" i="6"/>
  <c r="D12" i="6"/>
  <c r="D11" i="6"/>
  <c r="D13" i="6"/>
  <c r="D28" i="6"/>
  <c r="E61" i="40"/>
  <c r="H21" i="6"/>
  <c r="H24" i="6"/>
  <c r="H22" i="6"/>
  <c r="D15" i="6"/>
  <c r="D23" i="6"/>
  <c r="D6" i="6"/>
  <c r="D10" i="6"/>
  <c r="D29" i="6"/>
  <c r="H23" i="6"/>
  <c r="D25" i="6"/>
  <c r="D8" i="6"/>
  <c r="D14" i="6"/>
  <c r="D9" i="6"/>
  <c r="H25" i="6"/>
  <c r="H26" i="6"/>
  <c r="G46" i="40"/>
  <c r="H46" i="40" s="1"/>
  <c r="G47" i="40"/>
  <c r="H47" i="40" s="1"/>
  <c r="C60" i="77"/>
  <c r="C66" i="77"/>
  <c r="J26" i="15"/>
  <c r="J18" i="15"/>
  <c r="J24" i="15"/>
  <c r="C33" i="15"/>
  <c r="C38" i="15"/>
  <c r="C32" i="15"/>
  <c r="C32" i="77"/>
  <c r="C33" i="77"/>
  <c r="C38" i="77"/>
  <c r="AB7" i="82"/>
  <c r="T48" i="82" s="1"/>
  <c r="G48" i="82" s="1"/>
  <c r="U7" i="82"/>
  <c r="C24" i="11"/>
  <c r="C20" i="11"/>
  <c r="C25" i="11" s="1"/>
  <c r="D10" i="68"/>
  <c r="D20" i="12"/>
  <c r="C20" i="12" s="1"/>
  <c r="D10" i="11"/>
  <c r="C10" i="11" s="1"/>
  <c r="D10" i="69"/>
  <c r="E53" i="33"/>
  <c r="F53" i="33" s="1"/>
  <c r="E52" i="33"/>
  <c r="F52" i="33" s="1"/>
  <c r="E6" i="3"/>
  <c r="AR9" i="1"/>
  <c r="AQ9" i="1"/>
  <c r="T9" i="1"/>
  <c r="E9" i="70"/>
  <c r="AQ8" i="1"/>
  <c r="AR8" i="1"/>
  <c r="T8" i="1"/>
  <c r="AQ6" i="1"/>
  <c r="AR6" i="1"/>
  <c r="E6" i="70"/>
  <c r="T6" i="1"/>
  <c r="S16" i="1"/>
  <c r="T7" i="1"/>
  <c r="AQ7" i="1"/>
  <c r="AR7" i="1"/>
  <c r="E7" i="70"/>
  <c r="J26" i="77"/>
  <c r="J18" i="77"/>
  <c r="J24" i="77"/>
  <c r="J26" i="81"/>
  <c r="J24" i="81"/>
  <c r="J18" i="81"/>
  <c r="C33" i="67"/>
  <c r="C31" i="67" s="1"/>
  <c r="J14" i="67"/>
  <c r="C13" i="67"/>
  <c r="C36" i="67"/>
  <c r="C57" i="67"/>
  <c r="Q49" i="67"/>
  <c r="J19" i="67"/>
  <c r="J17" i="67" s="1"/>
  <c r="J59" i="67"/>
  <c r="J60" i="67" s="1"/>
  <c r="F41" i="81"/>
  <c r="E6" i="76"/>
  <c r="C14" i="77"/>
  <c r="F41" i="77"/>
  <c r="C14" i="15"/>
  <c r="C14" i="81"/>
  <c r="F41" i="15"/>
  <c r="F69" i="15" l="1"/>
  <c r="F69" i="81"/>
  <c r="F69" i="77"/>
  <c r="J29" i="77"/>
  <c r="J29" i="15"/>
  <c r="J29" i="81"/>
  <c r="C39" i="11"/>
  <c r="C43" i="11" s="1"/>
  <c r="C41" i="11" s="1"/>
  <c r="C28" i="11"/>
  <c r="C27" i="11" s="1"/>
  <c r="C22" i="11"/>
  <c r="C31" i="11" s="1"/>
  <c r="E2" i="76"/>
  <c r="C18" i="77"/>
  <c r="C15" i="77"/>
  <c r="C15" i="15"/>
  <c r="C18" i="15"/>
  <c r="C15" i="81"/>
  <c r="C18" i="81"/>
  <c r="Q48" i="67"/>
  <c r="L46" i="67"/>
  <c r="J13" i="67"/>
  <c r="J23" i="67" s="1"/>
  <c r="J22" i="67"/>
  <c r="E2" i="70"/>
  <c r="C10" i="68"/>
  <c r="B29" i="1" s="1"/>
  <c r="C8" i="68" s="1"/>
  <c r="C5" i="68" s="1"/>
  <c r="D19" i="68"/>
  <c r="G53" i="82"/>
  <c r="H53" i="82" s="1"/>
  <c r="G52" i="82"/>
  <c r="H52" i="82" s="1"/>
  <c r="R25" i="6"/>
  <c r="R23" i="6"/>
  <c r="D30" i="6"/>
  <c r="R21" i="6"/>
  <c r="R8" i="1" s="1"/>
  <c r="R26" i="6"/>
  <c r="M19" i="80"/>
  <c r="C118" i="80" s="1"/>
  <c r="C15" i="74" s="1"/>
  <c r="L19" i="80"/>
  <c r="R20" i="6"/>
  <c r="R7" i="1" s="1"/>
  <c r="L18" i="9"/>
  <c r="S19" i="6"/>
  <c r="S27" i="6" s="1"/>
  <c r="I27" i="6"/>
  <c r="R49" i="82"/>
  <c r="B2" i="33"/>
  <c r="B3" i="33"/>
  <c r="E46" i="40"/>
  <c r="F46" i="40" s="1"/>
  <c r="E47" i="40"/>
  <c r="F47" i="40" s="1"/>
  <c r="I47" i="40"/>
  <c r="J47" i="40" s="1"/>
  <c r="C49" i="34"/>
  <c r="C50" i="34"/>
  <c r="B2" i="34" s="1"/>
  <c r="B3" i="34" s="1"/>
  <c r="B2" i="43"/>
  <c r="C61" i="67"/>
  <c r="C59" i="67" s="1"/>
  <c r="C64" i="67"/>
  <c r="C37" i="67"/>
  <c r="C30" i="67" s="1"/>
  <c r="C39" i="67" s="1"/>
  <c r="C56" i="67"/>
  <c r="C65" i="67" s="1"/>
  <c r="C75" i="67"/>
  <c r="Q70" i="67"/>
  <c r="T16" i="1"/>
  <c r="C10" i="69"/>
  <c r="C8" i="69" s="1"/>
  <c r="C5" i="69" s="1"/>
  <c r="D19" i="69"/>
  <c r="D16" i="6"/>
  <c r="R24" i="6"/>
  <c r="A7" i="51"/>
  <c r="B7" i="72" s="1"/>
  <c r="C4" i="52"/>
  <c r="B45" i="72" s="1"/>
  <c r="A10" i="51"/>
  <c r="B9" i="72" s="1"/>
  <c r="L19" i="83"/>
  <c r="M19" i="83"/>
  <c r="C118" i="83" s="1"/>
  <c r="C16" i="74" s="1"/>
  <c r="R22" i="6"/>
  <c r="R9" i="1" s="1"/>
  <c r="H27" i="6"/>
  <c r="R19" i="6"/>
  <c r="M19" i="9"/>
  <c r="C118" i="9" s="1"/>
  <c r="C14" i="74" s="1"/>
  <c r="B2" i="74" s="1"/>
  <c r="D27" i="6"/>
  <c r="L19" i="9"/>
  <c r="E53" i="82"/>
  <c r="F53" i="82" s="1"/>
  <c r="E52" i="82"/>
  <c r="F52" i="82" s="1"/>
  <c r="J70" i="39"/>
  <c r="K68" i="39"/>
  <c r="C43" i="40"/>
  <c r="C42" i="40"/>
  <c r="E54" i="34"/>
  <c r="F54" i="34" s="1"/>
  <c r="E53" i="34"/>
  <c r="F53" i="34" s="1"/>
  <c r="I54" i="34"/>
  <c r="J54" i="34" s="1"/>
  <c r="B6" i="76"/>
  <c r="M21" i="81"/>
  <c r="M21" i="77"/>
  <c r="F35" i="81"/>
  <c r="F35" i="77"/>
  <c r="C19" i="80"/>
  <c r="C20" i="80"/>
  <c r="C46" i="11" l="1"/>
  <c r="C45" i="11" s="1"/>
  <c r="C49" i="11" s="1"/>
  <c r="C51" i="11" s="1"/>
  <c r="C52" i="11" s="1"/>
  <c r="B2" i="11" s="1"/>
  <c r="B3" i="11" s="1"/>
  <c r="C19" i="81"/>
  <c r="C20" i="81" s="1"/>
  <c r="C26" i="81" s="1"/>
  <c r="J16" i="67"/>
  <c r="J25" i="67" s="1"/>
  <c r="C18" i="12"/>
  <c r="C21" i="12" s="1"/>
  <c r="C19" i="77"/>
  <c r="C20" i="77" s="1"/>
  <c r="C19" i="15"/>
  <c r="C20" i="15" s="1"/>
  <c r="C23" i="15" s="1"/>
  <c r="C80" i="67"/>
  <c r="C79" i="67" s="1"/>
  <c r="C102" i="80"/>
  <c r="C21" i="80"/>
  <c r="F63" i="81"/>
  <c r="C62" i="81" s="1"/>
  <c r="C34" i="81"/>
  <c r="C31" i="81" s="1"/>
  <c r="J20" i="81"/>
  <c r="B2" i="76"/>
  <c r="B3" i="76" s="1"/>
  <c r="C103" i="80"/>
  <c r="J20" i="77"/>
  <c r="F63" i="77"/>
  <c r="C62" i="77" s="1"/>
  <c r="C34" i="77"/>
  <c r="C31" i="77" s="1"/>
  <c r="C22" i="12"/>
  <c r="C27" i="12" s="1"/>
  <c r="C25" i="12" s="1"/>
  <c r="D7" i="74"/>
  <c r="D8" i="74"/>
  <c r="C23" i="69"/>
  <c r="C23" i="68"/>
  <c r="Q69" i="67"/>
  <c r="Q68" i="67" s="1"/>
  <c r="C40" i="67"/>
  <c r="B57" i="40"/>
  <c r="F57" i="40" s="1"/>
  <c r="B58" i="40"/>
  <c r="F58" i="40" s="1"/>
  <c r="B59" i="40"/>
  <c r="F59" i="40" s="1"/>
  <c r="B52" i="40"/>
  <c r="F52" i="40" s="1"/>
  <c r="B56" i="40"/>
  <c r="F56" i="40" s="1"/>
  <c r="B51" i="40"/>
  <c r="F51" i="40" s="1"/>
  <c r="B54" i="40"/>
  <c r="F54" i="40" s="1"/>
  <c r="B55" i="40"/>
  <c r="F55" i="40" s="1"/>
  <c r="B60" i="40"/>
  <c r="F60" i="40" s="1"/>
  <c r="B53" i="40"/>
  <c r="F53" i="40" s="1"/>
  <c r="F61" i="40"/>
  <c r="B2" i="40" s="1"/>
  <c r="B3" i="40" s="1"/>
  <c r="L68" i="39"/>
  <c r="K70" i="39"/>
  <c r="D31" i="6"/>
  <c r="R6" i="1"/>
  <c r="R27" i="6"/>
  <c r="C19" i="69"/>
  <c r="C24" i="69" s="1"/>
  <c r="D37" i="69"/>
  <c r="C37" i="69" s="1"/>
  <c r="C33" i="69" s="1"/>
  <c r="C58" i="67"/>
  <c r="C67" i="67" s="1"/>
  <c r="C68" i="67" s="1"/>
  <c r="B3" i="43"/>
  <c r="C49" i="82"/>
  <c r="C48" i="82"/>
  <c r="C19" i="68"/>
  <c r="C24" i="68" s="1"/>
  <c r="D37" i="68"/>
  <c r="C37" i="68" s="1"/>
  <c r="C33" i="68" s="1"/>
  <c r="M21" i="15"/>
  <c r="L51" i="67"/>
  <c r="F35" i="15"/>
  <c r="C56" i="11" l="1"/>
  <c r="C57" i="11" s="1"/>
  <c r="C23" i="81"/>
  <c r="C26" i="77"/>
  <c r="C29" i="81"/>
  <c r="C36" i="81" s="1"/>
  <c r="C23" i="77"/>
  <c r="C29" i="77" s="1"/>
  <c r="C30" i="12"/>
  <c r="C28" i="12" s="1"/>
  <c r="C32" i="12" s="1"/>
  <c r="B2" i="12" s="1"/>
  <c r="B3" i="12" s="1"/>
  <c r="C20" i="68"/>
  <c r="C25" i="68" s="1"/>
  <c r="C22" i="68" s="1"/>
  <c r="F63" i="15"/>
  <c r="C62" i="15" s="1"/>
  <c r="C34" i="15"/>
  <c r="C31" i="15" s="1"/>
  <c r="J20" i="15"/>
  <c r="Q67" i="67"/>
  <c r="L57" i="67"/>
  <c r="L60" i="67" s="1"/>
  <c r="C39" i="68"/>
  <c r="C43" i="68" s="1"/>
  <c r="C42" i="68"/>
  <c r="R16" i="1"/>
  <c r="C26" i="15"/>
  <c r="C29" i="15" s="1"/>
  <c r="Q56" i="67"/>
  <c r="C43" i="67"/>
  <c r="Q47" i="67"/>
  <c r="Q53" i="67" s="1"/>
  <c r="D2" i="67"/>
  <c r="Q65" i="67"/>
  <c r="C83" i="67"/>
  <c r="C82" i="67" s="1"/>
  <c r="B2" i="82"/>
  <c r="B3" i="82"/>
  <c r="C45" i="67"/>
  <c r="C46" i="67" s="1"/>
  <c r="C71" i="67"/>
  <c r="C42" i="69"/>
  <c r="C39" i="69"/>
  <c r="C43" i="69" s="1"/>
  <c r="I6" i="6"/>
  <c r="C11" i="21" s="1"/>
  <c r="I5" i="6"/>
  <c r="L70" i="39"/>
  <c r="M68" i="39"/>
  <c r="C28" i="68"/>
  <c r="C27" i="68" s="1"/>
  <c r="C20" i="69"/>
  <c r="C25" i="69" s="1"/>
  <c r="C22" i="69" s="1"/>
  <c r="C20" i="83"/>
  <c r="C19" i="83"/>
  <c r="H11" i="21" l="1"/>
  <c r="F11" i="21"/>
  <c r="J11" i="21"/>
  <c r="J14" i="81"/>
  <c r="J13" i="81" s="1"/>
  <c r="J23" i="81" s="1"/>
  <c r="J19" i="81"/>
  <c r="J17" i="81" s="1"/>
  <c r="C13" i="81"/>
  <c r="C75" i="81" s="1"/>
  <c r="J59" i="81"/>
  <c r="J60" i="81" s="1"/>
  <c r="L46" i="81" s="1"/>
  <c r="Q49" i="81"/>
  <c r="C57" i="81"/>
  <c r="C64" i="81" s="1"/>
  <c r="C13" i="77"/>
  <c r="C75" i="77" s="1"/>
  <c r="C36" i="77"/>
  <c r="C57" i="77"/>
  <c r="C64" i="77" s="1"/>
  <c r="J59" i="77"/>
  <c r="J60" i="77" s="1"/>
  <c r="Q48" i="77" s="1"/>
  <c r="Q49" i="77"/>
  <c r="J14" i="77"/>
  <c r="J13" i="77" s="1"/>
  <c r="J23" i="77" s="1"/>
  <c r="J19" i="77"/>
  <c r="J17" i="77" s="1"/>
  <c r="C46" i="69"/>
  <c r="C45" i="69" s="1"/>
  <c r="C31" i="68"/>
  <c r="C41" i="68"/>
  <c r="C102" i="83"/>
  <c r="C21" i="83"/>
  <c r="C103" i="83"/>
  <c r="C36" i="15"/>
  <c r="C13" i="15"/>
  <c r="C57" i="15"/>
  <c r="J19" i="15"/>
  <c r="J17" i="15" s="1"/>
  <c r="J14" i="15"/>
  <c r="Q49" i="15"/>
  <c r="B2" i="67"/>
  <c r="B3" i="67"/>
  <c r="Q48" i="81"/>
  <c r="Q57" i="67"/>
  <c r="Q66" i="67"/>
  <c r="Q75" i="67" s="1"/>
  <c r="N68" i="39"/>
  <c r="M70" i="39"/>
  <c r="C41" i="69"/>
  <c r="C28" i="69"/>
  <c r="C27" i="69" s="1"/>
  <c r="C31" i="69" s="1"/>
  <c r="Q62" i="67"/>
  <c r="C46" i="68"/>
  <c r="C45" i="68" s="1"/>
  <c r="W11" i="21" l="1"/>
  <c r="AC11" i="21"/>
  <c r="V48" i="21" s="1"/>
  <c r="I48" i="21" s="1"/>
  <c r="I52" i="21" s="1"/>
  <c r="J52" i="21" s="1"/>
  <c r="U11" i="21"/>
  <c r="AB11" i="21"/>
  <c r="T48" i="21" s="1"/>
  <c r="G48" i="21" s="1"/>
  <c r="S11" i="21"/>
  <c r="AA11" i="21"/>
  <c r="R48" i="21" s="1"/>
  <c r="C37" i="81"/>
  <c r="C30" i="81" s="1"/>
  <c r="C39" i="81" s="1"/>
  <c r="Q69" i="81" s="1"/>
  <c r="J22" i="77"/>
  <c r="J16" i="77" s="1"/>
  <c r="J25" i="77" s="1"/>
  <c r="Q70" i="81"/>
  <c r="J22" i="81"/>
  <c r="J16" i="81" s="1"/>
  <c r="J25" i="81" s="1"/>
  <c r="C56" i="77"/>
  <c r="C65" i="77" s="1"/>
  <c r="C61" i="77"/>
  <c r="C59" i="77" s="1"/>
  <c r="C56" i="81"/>
  <c r="C65" i="81" s="1"/>
  <c r="C37" i="77"/>
  <c r="C30" i="77" s="1"/>
  <c r="C39" i="77" s="1"/>
  <c r="C61" i="81"/>
  <c r="C59" i="81" s="1"/>
  <c r="C58" i="81" s="1"/>
  <c r="C67" i="81" s="1"/>
  <c r="C68" i="81" s="1"/>
  <c r="L46" i="77"/>
  <c r="Q70" i="77"/>
  <c r="C49" i="69"/>
  <c r="C51" i="69" s="1"/>
  <c r="C52" i="69" s="1"/>
  <c r="C49" i="68"/>
  <c r="C51" i="68" s="1"/>
  <c r="C52" i="68" s="1"/>
  <c r="B2" i="68" s="1"/>
  <c r="B3" i="68" s="1"/>
  <c r="J13" i="15"/>
  <c r="J23" i="15" s="1"/>
  <c r="J22" i="15"/>
  <c r="C61" i="15"/>
  <c r="C59" i="15" s="1"/>
  <c r="C64" i="15"/>
  <c r="N70" i="39"/>
  <c r="O68" i="39"/>
  <c r="O70" i="39" s="1"/>
  <c r="C37" i="15"/>
  <c r="C30" i="15" s="1"/>
  <c r="C39" i="15" s="1"/>
  <c r="Q70" i="15"/>
  <c r="C75" i="15"/>
  <c r="C56" i="15"/>
  <c r="C65" i="15" s="1"/>
  <c r="L51" i="77"/>
  <c r="L51" i="81"/>
  <c r="B2" i="69" l="1"/>
  <c r="B3" i="69" s="1"/>
  <c r="C57" i="69"/>
  <c r="C56" i="69" s="1"/>
  <c r="R49" i="21"/>
  <c r="E48" i="21"/>
  <c r="G53" i="21"/>
  <c r="H53" i="21" s="1"/>
  <c r="G52" i="21"/>
  <c r="H52" i="21" s="1"/>
  <c r="C40" i="81"/>
  <c r="C46" i="81" s="1"/>
  <c r="C58" i="77"/>
  <c r="C67" i="77" s="1"/>
  <c r="C68" i="77" s="1"/>
  <c r="C71" i="77" s="1"/>
  <c r="C80" i="81"/>
  <c r="C79" i="81" s="1"/>
  <c r="Q68" i="81"/>
  <c r="C40" i="77"/>
  <c r="B2" i="77" s="1"/>
  <c r="Q69" i="77"/>
  <c r="C80" i="77"/>
  <c r="C79" i="77" s="1"/>
  <c r="Q68" i="77"/>
  <c r="J16" i="15"/>
  <c r="J25" i="15" s="1"/>
  <c r="C57" i="68"/>
  <c r="C56" i="68" s="1"/>
  <c r="Q67" i="77"/>
  <c r="Q67" i="81"/>
  <c r="C40" i="15"/>
  <c r="Q69" i="15"/>
  <c r="Q68" i="15" s="1"/>
  <c r="C71" i="81"/>
  <c r="J7" i="39"/>
  <c r="F7" i="39"/>
  <c r="H7" i="39"/>
  <c r="C43" i="81"/>
  <c r="C80" i="15"/>
  <c r="C79" i="15" s="1"/>
  <c r="C58" i="15"/>
  <c r="C67" i="15" s="1"/>
  <c r="C68" i="15" s="1"/>
  <c r="AO7" i="1"/>
  <c r="D19" i="80"/>
  <c r="L51" i="15"/>
  <c r="C49" i="21" l="1"/>
  <c r="C48" i="21"/>
  <c r="I53" i="21"/>
  <c r="J53" i="21" s="1"/>
  <c r="E52" i="21"/>
  <c r="F52" i="21" s="1"/>
  <c r="E53" i="21"/>
  <c r="F53" i="21" s="1"/>
  <c r="C83" i="81"/>
  <c r="C82" i="81" s="1"/>
  <c r="Q56" i="81"/>
  <c r="Q62" i="81" s="1"/>
  <c r="Q47" i="81"/>
  <c r="Q53" i="81" s="1"/>
  <c r="Q65" i="81"/>
  <c r="Q75" i="81" s="1"/>
  <c r="B2" i="81"/>
  <c r="Q65" i="77"/>
  <c r="Q75" i="77" s="1"/>
  <c r="C83" i="77"/>
  <c r="C82" i="77" s="1"/>
  <c r="Q56" i="77"/>
  <c r="Q62" i="77" s="1"/>
  <c r="C46" i="77"/>
  <c r="C43" i="77"/>
  <c r="Q47" i="77"/>
  <c r="Q53" i="77" s="1"/>
  <c r="D102" i="80"/>
  <c r="D21" i="80"/>
  <c r="G19" i="80"/>
  <c r="D22" i="80"/>
  <c r="B7" i="70"/>
  <c r="Q67" i="15"/>
  <c r="L57" i="15"/>
  <c r="U7" i="39"/>
  <c r="AB7" i="39"/>
  <c r="T47" i="39" s="1"/>
  <c r="G47" i="39" s="1"/>
  <c r="AC7" i="39"/>
  <c r="V47" i="39" s="1"/>
  <c r="I47" i="39" s="1"/>
  <c r="W7" i="39"/>
  <c r="C46" i="15"/>
  <c r="C71" i="15"/>
  <c r="B3" i="77"/>
  <c r="AA7" i="39"/>
  <c r="R47" i="39" s="1"/>
  <c r="S7" i="39"/>
  <c r="B2" i="15"/>
  <c r="Q65" i="15"/>
  <c r="Q75" i="15" s="1"/>
  <c r="Q47" i="15"/>
  <c r="Q53" i="15" s="1"/>
  <c r="Q56" i="15"/>
  <c r="Q62" i="15" s="1"/>
  <c r="C43" i="15"/>
  <c r="C83" i="15"/>
  <c r="C82" i="15" s="1"/>
  <c r="D34" i="80"/>
  <c r="D35" i="80"/>
  <c r="AO6" i="1"/>
  <c r="D19" i="9"/>
  <c r="D19" i="83"/>
  <c r="AO9" i="1"/>
  <c r="D20" i="80"/>
  <c r="B2" i="21" l="1"/>
  <c r="B3" i="21"/>
  <c r="B9" i="70"/>
  <c r="D21" i="83"/>
  <c r="G19" i="83"/>
  <c r="C32" i="83" s="1"/>
  <c r="D102" i="83"/>
  <c r="D22" i="83"/>
  <c r="B3" i="81"/>
  <c r="D103" i="80"/>
  <c r="G20" i="80"/>
  <c r="B6" i="70"/>
  <c r="B2" i="70" s="1"/>
  <c r="B3" i="70" s="1"/>
  <c r="D102" i="9"/>
  <c r="D21" i="9"/>
  <c r="G52" i="39"/>
  <c r="H52" i="39" s="1"/>
  <c r="G51" i="39"/>
  <c r="H51" i="39" s="1"/>
  <c r="C32" i="80"/>
  <c r="G21" i="80"/>
  <c r="B3" i="15"/>
  <c r="E47" i="39"/>
  <c r="I52" i="39" s="1"/>
  <c r="J52" i="39" s="1"/>
  <c r="R48" i="39"/>
  <c r="I51" i="39"/>
  <c r="J51" i="39" s="1"/>
  <c r="D35" i="9"/>
  <c r="C19" i="9"/>
  <c r="C20" i="9"/>
  <c r="D35" i="83"/>
  <c r="D34" i="83"/>
  <c r="D34" i="9"/>
  <c r="D20" i="83"/>
  <c r="D20" i="9"/>
  <c r="C21" i="9" l="1"/>
  <c r="C102" i="9"/>
  <c r="D22" i="9"/>
  <c r="G19" i="9"/>
  <c r="C32" i="9" s="1"/>
  <c r="C103" i="9"/>
  <c r="G21" i="83"/>
  <c r="D103" i="83"/>
  <c r="G20" i="83"/>
  <c r="D103" i="9"/>
  <c r="G20" i="9"/>
  <c r="C47" i="39"/>
  <c r="C48" i="39"/>
  <c r="H118" i="80"/>
  <c r="C35" i="80"/>
  <c r="F118" i="80" s="1"/>
  <c r="H118" i="83"/>
  <c r="C35" i="83"/>
  <c r="F118" i="83" s="1"/>
  <c r="E51" i="39"/>
  <c r="F51" i="39" s="1"/>
  <c r="E52" i="39"/>
  <c r="F52" i="39" s="1"/>
  <c r="G21" i="9" l="1"/>
  <c r="H118" i="9"/>
  <c r="C35" i="9"/>
  <c r="F118" i="9" s="1"/>
  <c r="C34" i="83"/>
  <c r="D118" i="83" s="1"/>
  <c r="D119" i="83" s="1"/>
  <c r="D16" i="74"/>
  <c r="H101" i="83"/>
  <c r="H119" i="83"/>
  <c r="I118" i="83"/>
  <c r="C104" i="83"/>
  <c r="C34" i="80"/>
  <c r="D118" i="80" s="1"/>
  <c r="D119" i="80" s="1"/>
  <c r="B61" i="39"/>
  <c r="F61" i="39" s="1"/>
  <c r="B60" i="39"/>
  <c r="F60" i="39" s="1"/>
  <c r="B56" i="39"/>
  <c r="F56" i="39" s="1"/>
  <c r="F66" i="39" s="1"/>
  <c r="B2" i="39" s="1"/>
  <c r="B3" i="39" s="1"/>
  <c r="B58" i="39"/>
  <c r="F58" i="39" s="1"/>
  <c r="B64" i="39"/>
  <c r="F64" i="39" s="1"/>
  <c r="B57" i="39"/>
  <c r="F57" i="39" s="1"/>
  <c r="B62" i="39"/>
  <c r="F62" i="39" s="1"/>
  <c r="B59" i="39"/>
  <c r="F59" i="39" s="1"/>
  <c r="B65" i="39"/>
  <c r="F65" i="39" s="1"/>
  <c r="B63" i="39"/>
  <c r="F63" i="39" s="1"/>
  <c r="F119" i="83"/>
  <c r="G118" i="83"/>
  <c r="G118" i="80"/>
  <c r="F119" i="80"/>
  <c r="D15" i="74"/>
  <c r="H101" i="80"/>
  <c r="H119" i="80"/>
  <c r="C104" i="80"/>
  <c r="I118" i="80"/>
  <c r="C34" i="9" l="1"/>
  <c r="D118" i="9" s="1"/>
  <c r="D119" i="9" s="1"/>
  <c r="D5" i="52" s="1"/>
  <c r="B49" i="72" s="1"/>
  <c r="H107" i="80"/>
  <c r="D45" i="80"/>
  <c r="M48" i="80"/>
  <c r="E118" i="83"/>
  <c r="H102" i="83"/>
  <c r="C105" i="83"/>
  <c r="H107" i="83"/>
  <c r="M48" i="83"/>
  <c r="D45" i="83"/>
  <c r="F4" i="52"/>
  <c r="B51" i="72" s="1"/>
  <c r="F119" i="9"/>
  <c r="F5" i="52" s="1"/>
  <c r="B53" i="72" s="1"/>
  <c r="G118" i="9"/>
  <c r="G4" i="52" s="1"/>
  <c r="B52" i="72" s="1"/>
  <c r="C105" i="80"/>
  <c r="E118" i="80"/>
  <c r="H102" i="80"/>
  <c r="G15" i="74"/>
  <c r="E15" i="74"/>
  <c r="F15" i="74"/>
  <c r="G16" i="74"/>
  <c r="E16" i="74"/>
  <c r="F16" i="74"/>
  <c r="D4" i="52"/>
  <c r="B47" i="72" s="1"/>
  <c r="D14" i="74"/>
  <c r="C104" i="9"/>
  <c r="H101" i="9"/>
  <c r="I118" i="9"/>
  <c r="H4" i="52"/>
  <c r="H119" i="9"/>
  <c r="H5" i="52" s="1"/>
  <c r="H107" i="9" l="1"/>
  <c r="D45" i="9"/>
  <c r="D5" i="53"/>
  <c r="M48" i="9"/>
  <c r="B5" i="74"/>
  <c r="F14" i="74"/>
  <c r="E14" i="74"/>
  <c r="C93" i="80"/>
  <c r="C86" i="80" s="1"/>
  <c r="C85" i="80"/>
  <c r="C72" i="80"/>
  <c r="C78" i="80"/>
  <c r="C73" i="80" s="1"/>
  <c r="C64" i="80"/>
  <c r="C63" i="80" s="1"/>
  <c r="C67" i="80" s="1"/>
  <c r="C68" i="80" s="1"/>
  <c r="D54" i="80" s="1"/>
  <c r="D53" i="80"/>
  <c r="D52" i="80"/>
  <c r="D55" i="80"/>
  <c r="M53" i="80" s="1"/>
  <c r="C105" i="9"/>
  <c r="H102" i="9"/>
  <c r="D7" i="53" s="1"/>
  <c r="B21" i="72" s="1"/>
  <c r="E118" i="9"/>
  <c r="E4" i="52" s="1"/>
  <c r="B48" i="72" s="1"/>
  <c r="I4" i="52"/>
  <c r="C85" i="83"/>
  <c r="C72" i="83"/>
  <c r="C78" i="83"/>
  <c r="C73" i="83" s="1"/>
  <c r="C64" i="83"/>
  <c r="C63" i="83" s="1"/>
  <c r="C67" i="83" s="1"/>
  <c r="C68" i="83" s="1"/>
  <c r="D54" i="83" s="1"/>
  <c r="D53" i="83"/>
  <c r="D52" i="83"/>
  <c r="C93" i="83"/>
  <c r="C86" i="83" s="1"/>
  <c r="D55" i="83"/>
  <c r="M53" i="83" s="1"/>
  <c r="H108" i="83"/>
  <c r="M49" i="83"/>
  <c r="D122" i="83"/>
  <c r="D123" i="83" s="1"/>
  <c r="D122" i="80"/>
  <c r="D123" i="80" s="1"/>
  <c r="H108" i="80"/>
  <c r="M49" i="80"/>
  <c r="C79" i="83" l="1"/>
  <c r="C95" i="80"/>
  <c r="L63" i="80"/>
  <c r="M63" i="80" s="1"/>
  <c r="L64" i="80"/>
  <c r="M64" i="80" s="1"/>
  <c r="L65" i="80"/>
  <c r="M65" i="80" s="1"/>
  <c r="L66" i="80"/>
  <c r="M66" i="80" s="1"/>
  <c r="L67" i="80"/>
  <c r="M67" i="80" s="1"/>
  <c r="L68" i="80"/>
  <c r="M68" i="80" s="1"/>
  <c r="L63" i="83"/>
  <c r="M63" i="83" s="1"/>
  <c r="L64" i="83"/>
  <c r="M64" i="83" s="1"/>
  <c r="L65" i="83"/>
  <c r="M65" i="83" s="1"/>
  <c r="L66" i="83"/>
  <c r="M66" i="83" s="1"/>
  <c r="L67" i="83"/>
  <c r="M67" i="83" s="1"/>
  <c r="L68" i="83"/>
  <c r="M68" i="83" s="1"/>
  <c r="C95" i="83"/>
  <c r="C79" i="80"/>
  <c r="C93" i="9"/>
  <c r="C86" i="9" s="1"/>
  <c r="D52" i="9"/>
  <c r="D53" i="9"/>
  <c r="C64" i="9"/>
  <c r="C63" i="9" s="1"/>
  <c r="C67" i="9" s="1"/>
  <c r="C68" i="9" s="1"/>
  <c r="D54" i="9" s="1"/>
  <c r="C78" i="9"/>
  <c r="C73" i="9" s="1"/>
  <c r="C72" i="9"/>
  <c r="D55" i="9"/>
  <c r="M53" i="9" s="1"/>
  <c r="C85" i="9"/>
  <c r="C80" i="83"/>
  <c r="E80" i="83" s="1"/>
  <c r="E81" i="83" s="1"/>
  <c r="C96" i="80"/>
  <c r="E96" i="80" s="1"/>
  <c r="E97" i="80" s="1"/>
  <c r="C5" i="74"/>
  <c r="D5" i="74"/>
  <c r="D6" i="53"/>
  <c r="B22" i="72" s="1"/>
  <c r="B20" i="72"/>
  <c r="H108" i="9"/>
  <c r="D15" i="53" s="1"/>
  <c r="B31" i="72" s="1"/>
  <c r="D122" i="9"/>
  <c r="M49" i="9"/>
  <c r="D13" i="53"/>
  <c r="C95" i="9" l="1"/>
  <c r="L68" i="9"/>
  <c r="M68" i="9" s="1"/>
  <c r="L65" i="9"/>
  <c r="M65" i="9" s="1"/>
  <c r="L66" i="9"/>
  <c r="M66" i="9" s="1"/>
  <c r="L64" i="9"/>
  <c r="M64" i="9" s="1"/>
  <c r="L63" i="9"/>
  <c r="M63" i="9" s="1"/>
  <c r="L67" i="9"/>
  <c r="M67" i="9" s="1"/>
  <c r="D14" i="53"/>
  <c r="B32" i="72" s="1"/>
  <c r="B30" i="72"/>
  <c r="G14" i="74"/>
  <c r="B6" i="74" s="1"/>
  <c r="D8" i="52"/>
  <c r="D123" i="9"/>
  <c r="D9" i="52" s="1"/>
  <c r="C97" i="80"/>
  <c r="D58" i="80" s="1"/>
  <c r="D56" i="80" s="1"/>
  <c r="M54" i="80" s="1"/>
  <c r="N57" i="80" s="1"/>
  <c r="C81" i="83"/>
  <c r="C96" i="9"/>
  <c r="E96" i="9" s="1"/>
  <c r="E97" i="9" s="1"/>
  <c r="C79" i="9"/>
  <c r="C80" i="80"/>
  <c r="E80" i="80" s="1"/>
  <c r="E81" i="80" s="1"/>
  <c r="C96" i="83"/>
  <c r="E96" i="83" s="1"/>
  <c r="E97" i="83" s="1"/>
  <c r="M69" i="83"/>
  <c r="N69" i="83" s="1"/>
  <c r="M69" i="80"/>
  <c r="N69" i="80" s="1"/>
  <c r="M69" i="9" l="1"/>
  <c r="N69" i="9" s="1"/>
  <c r="D6" i="74"/>
  <c r="C6" i="74"/>
  <c r="C97" i="83"/>
  <c r="D58" i="83" s="1"/>
  <c r="D56" i="83" s="1"/>
  <c r="M54" i="83" s="1"/>
  <c r="N57" i="83" s="1"/>
  <c r="C81" i="80"/>
  <c r="C80" i="9"/>
  <c r="E80" i="9" s="1"/>
  <c r="E81" i="9" s="1"/>
  <c r="C97" i="9"/>
  <c r="D58" i="9" s="1"/>
  <c r="D56" i="9" s="1"/>
  <c r="M54" i="9" s="1"/>
  <c r="N57" i="9" s="1"/>
  <c r="N58" i="80"/>
  <c r="P57" i="80"/>
  <c r="N59" i="80"/>
  <c r="N61" i="80" l="1"/>
  <c r="N60" i="80"/>
  <c r="C81" i="9"/>
  <c r="N58" i="9"/>
  <c r="P57" i="9"/>
  <c r="N59" i="9"/>
  <c r="N58" i="83"/>
  <c r="P57" i="83"/>
  <c r="N59" i="83"/>
  <c r="N60" i="9" l="1"/>
  <c r="N61" i="9"/>
  <c r="N61" i="83"/>
  <c r="N60" i="8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<sst xmlns="http://schemas.openxmlformats.org/spreadsheetml/2006/main" count="9558" uniqueCount="3412">
  <si>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</si>
  <si>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</si>
  <si>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</si>
  <si>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</si>
  <si>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</si>
  <si>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</si>
  <si>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</si>
  <si>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</si>
  <si>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</si>
  <si>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</si>
  <si>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</si>
  <si>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</si>
  <si>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</si>
  <si>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</si>
  <si>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</si>
  <si>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</si>
  <si>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</si>
  <si>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</si>
  <si>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</si>
  <si>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</si>
  <si>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</si>
  <si>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</si>
  <si>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</si>
  <si>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</si>
  <si>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</si>
  <si>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</si>
  <si>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</si>
  <si>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</si>
  <si>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</si>
  <si>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</si>
  <si>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</si>
  <si>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</si>
  <si>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</si>
  <si>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</si>
  <si>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</si>
  <si>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</si>
  <si>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</si>
  <si>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</si>
  <si>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</si>
  <si>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</si>
  <si>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</si>
  <si>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</si>
  <si>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</si>
  <si>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</si>
  <si>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</si>
  <si>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</si>
  <si>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</si>
  <si>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</si>
  <si>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</si>
  <si>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</si>
  <si>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</si>
  <si>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</si>
  <si>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</si>
  <si>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</si>
  <si>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</si>
  <si>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</si>
  <si>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</si>
  <si>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</si>
  <si>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</si>
  <si>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</si>
  <si>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</si>
  <si>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</si>
  <si>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</si>
  <si>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</si>
  <si>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</si>
  <si>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</si>
  <si>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</si>
  <si>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</si>
  <si>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</si>
  <si>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</si>
  <si>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</si>
  <si>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</si>
  <si>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</si>
  <si>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</si>
  <si>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</si>
  <si>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</si>
  <si>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</si>
  <si>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</si>
  <si>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</si>
  <si>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</si>
  <si>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</si>
  <si>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</si>
  <si>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</si>
  <si>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</si>
  <si>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</si>
  <si>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</si>
  <si>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</si>
  <si>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</si>
  <si>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</si>
  <si>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</si>
  <si>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</si>
  <si>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</si>
  <si>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</si>
  <si>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</si>
  <si>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</si>
  <si>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</si>
  <si>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</si>
  <si>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</si>
  <si>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</si>
  <si>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</si>
  <si>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</si>
  <si>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</si>
  <si>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</si>
  <si>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</si>
  <si>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</si>
  <si>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</si>
  <si>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</si>
  <si>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</si>
  <si>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</si>
  <si>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</si>
  <si>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</si>
  <si>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</si>
  <si>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</si>
  <si>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</si>
  <si>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</si>
  <si>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</si>
  <si>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</si>
  <si>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</si>
  <si>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</si>
  <si>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</si>
  <si>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</si>
  <si>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</si>
  <si>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</si>
  <si>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</si>
  <si>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</si>
  <si>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</si>
  <si>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</si>
  <si>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</si>
  <si>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</si>
  <si>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</si>
  <si>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</si>
  <si>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</si>
  <si>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</si>
  <si>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</si>
  <si>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</si>
  <si>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</si>
  <si>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</si>
  <si>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</si>
  <si>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</si>
  <si>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</si>
  <si>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</si>
  <si>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</si>
  <si>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</si>
  <si>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</si>
  <si>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</si>
  <si>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</si>
  <si>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</si>
  <si>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</si>
  <si>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</si>
  <si>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</si>
  <si>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</si>
  <si>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</si>
  <si>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</si>
  <si>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</si>
  <si>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</si>
  <si>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</si>
  <si>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</si>
  <si>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</si>
  <si>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</si>
  <si>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</si>
  <si>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</si>
  <si>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</si>
  <si>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</si>
  <si>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</si>
  <si>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</si>
  <si>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</si>
  <si>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</si>
  <si>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</si>
  <si>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</si>
  <si>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</si>
  <si>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</si>
  <si>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</si>
  <si>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</si>
  <si>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</si>
  <si>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</si>
  <si>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</si>
  <si>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</si>
  <si>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</si>
  <si>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</si>
  <si>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</si>
  <si>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</si>
  <si>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</si>
  <si>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</si>
  <si>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</si>
  <si>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</si>
  <si>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</si>
  <si>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</si>
  <si>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</si>
  <si>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</si>
  <si>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</si>
  <si>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</si>
  <si>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</si>
  <si>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</si>
  <si>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</si>
  <si>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</si>
  <si>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</si>
  <si>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</si>
  <si>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</si>
  <si>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</si>
  <si>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</si>
  <si>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</si>
  <si>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</si>
  <si>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</si>
  <si>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</si>
  <si>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</si>
  <si>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</si>
  <si>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</si>
  <si>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</si>
  <si>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</si>
  <si>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</si>
  <si>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</si>
  <si>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</si>
  <si>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</si>
  <si>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</si>
  <si>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</si>
  <si>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</si>
  <si>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</si>
  <si>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</si>
  <si>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</si>
  <si>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</si>
  <si>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</si>
  <si>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</si>
  <si>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</si>
  <si>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</si>
  <si>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</si>
  <si>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</si>
  <si>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</si>
  <si>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</si>
  <si>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</si>
  <si>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</si>
  <si>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</si>
  <si>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</si>
  <si>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</si>
  <si>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</si>
  <si>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</si>
  <si>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</si>
  <si>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</si>
  <si>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</si>
  <si>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</si>
  <si>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</si>
  <si>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</si>
  <si>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</si>
  <si>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</si>
  <si>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</si>
  <si>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</si>
  <si>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</si>
  <si>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</si>
  <si>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</si>
  <si>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</si>
  <si>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</si>
  <si>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</si>
  <si>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</si>
  <si>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</si>
  <si>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</si>
  <si>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</si>
  <si>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</si>
  <si>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</si>
  <si>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</si>
  <si>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</si>
  <si>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</si>
  <si>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</si>
  <si>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</si>
  <si>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</si>
  <si>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</si>
  <si>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</si>
  <si>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</si>
  <si>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</si>
  <si>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</si>
  <si>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</si>
  <si>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</si>
  <si>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</si>
  <si>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</si>
  <si>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</si>
  <si>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</si>
  <si>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</si>
  <si>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</si>
  <si>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</si>
  <si>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</si>
  <si>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</si>
  <si>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</si>
  <si>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</si>
  <si>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</si>
  <si>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</si>
  <si>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</si>
  <si>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</si>
  <si>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</si>
  <si>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</si>
  <si>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</si>
  <si>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</si>
  <si>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</si>
  <si>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</si>
  <si>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</si>
  <si>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</si>
  <si>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</si>
  <si>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</si>
  <si>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</si>
  <si>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</si>
  <si>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</si>
  <si>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</si>
  <si>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</si>
  <si>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</si>
  <si>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</si>
  <si>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</si>
  <si>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</si>
  <si>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</si>
  <si>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</si>
  <si>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</si>
  <si>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</si>
  <si>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</si>
  <si>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</si>
  <si>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</si>
  <si>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</si>
  <si>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</si>
  <si>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</si>
  <si>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</si>
  <si>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</si>
  <si>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</si>
  <si>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</si>
  <si>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</si>
  <si>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</si>
  <si>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</si>
  <si>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</si>
  <si>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</si>
  <si>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</si>
  <si>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</si>
  <si>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</si>
  <si>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</si>
  <si>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</si>
  <si>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</si>
  <si>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</si>
  <si>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</si>
  <si>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</si>
  <si>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</si>
  <si>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</si>
  <si>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</si>
  <si>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</si>
  <si>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</si>
  <si>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</si>
  <si>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</si>
  <si>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</si>
  <si>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</si>
  <si>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</si>
  <si>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</si>
  <si>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</si>
  <si>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</si>
  <si>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</si>
  <si>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</si>
  <si>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</si>
  <si>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</si>
  <si>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</si>
  <si>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</si>
  <si>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</si>
  <si>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</si>
  <si>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</si>
  <si>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</si>
  <si>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</si>
  <si>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</si>
  <si>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</si>
  <si>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</si>
  <si>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</si>
  <si>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</si>
  <si>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</si>
  <si>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</si>
  <si>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</si>
  <si>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</si>
  <si>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</si>
  <si>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</si>
  <si>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</si>
  <si>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</si>
  <si>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</si>
  <si>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</si>
  <si>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</si>
  <si>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</si>
  <si>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</si>
  <si>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</si>
  <si>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</si>
  <si>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</si>
  <si>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</si>
  <si>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</si>
  <si>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</si>
  <si>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</si>
  <si>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</si>
  <si>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</si>
  <si>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</si>
  <si>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</si>
  <si>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</si>
  <si>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</si>
  <si>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</si>
  <si>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</si>
  <si>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</si>
  <si>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</si>
  <si>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</si>
  <si>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</si>
  <si>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</si>
  <si>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</si>
  <si>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</si>
  <si>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</si>
  <si>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</si>
  <si>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</si>
  <si>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</si>
  <si>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</si>
  <si>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</si>
  <si>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</si>
  <si>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</si>
  <si>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</si>
  <si>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</si>
  <si>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</si>
  <si>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</si>
  <si>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</si>
  <si>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</si>
  <si>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</si>
  <si>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</si>
  <si>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</si>
  <si>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</si>
  <si>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</si>
  <si>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</si>
  <si>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</si>
  <si>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</si>
  <si>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</si>
  <si>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</si>
  <si>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</si>
  <si>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</si>
  <si>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</si>
  <si>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</si>
  <si>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</si>
  <si>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</si>
  <si>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</si>
  <si>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</si>
  <si>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</si>
  <si>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</si>
  <si>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</si>
  <si>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</si>
  <si>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</si>
  <si>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</si>
  <si>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</si>
  <si>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</si>
  <si>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</si>
  <si>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</si>
  <si>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</si>
  <si>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</si>
  <si>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</si>
  <si>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</si>
  <si>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</si>
  <si>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</si>
  <si>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</si>
  <si>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</si>
  <si>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</si>
  <si>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</si>
  <si>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</si>
  <si>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</si>
  <si>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</si>
  <si>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</si>
  <si>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</si>
  <si>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</si>
  <si>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</si>
  <si>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</si>
  <si>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</si>
  <si>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</si>
  <si>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</si>
  <si>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</si>
  <si>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</si>
  <si>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</si>
  <si>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</si>
  <si>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</si>
  <si>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</si>
  <si>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</si>
  <si>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</si>
  <si>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</si>
  <si>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</si>
  <si>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</si>
  <si>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</si>
  <si>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</si>
  <si>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</si>
  <si>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</si>
  <si>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</si>
  <si>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</si>
  <si>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</si>
  <si>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</si>
  <si>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</si>
  <si>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</si>
  <si>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</si>
  <si>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</si>
  <si>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</si>
  <si>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</si>
  <si>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</si>
  <si>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</si>
  <si>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</si>
  <si>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</si>
  <si>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</si>
  <si>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</si>
  <si>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</si>
  <si>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</si>
  <si>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</si>
  <si>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</si>
  <si>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</si>
  <si>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</si>
  <si>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</si>
  <si>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</si>
  <si>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</si>
  <si>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</si>
  <si>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</si>
  <si>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</si>
  <si>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</si>
  <si>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</si>
  <si>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</si>
  <si>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</si>
  <si>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</si>
  <si>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</si>
  <si>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</si>
  <si>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</si>
  <si>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</si>
  <si>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</si>
  <si>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</si>
  <si>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</si>
  <si>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</si>
  <si>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</si>
  <si>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</si>
  <si>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</si>
  <si>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</si>
  <si>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</si>
  <si>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</si>
  <si>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</si>
  <si>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</si>
  <si>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</si>
  <si>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</si>
  <si>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</si>
  <si>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</si>
  <si>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</si>
  <si>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</si>
  <si>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</si>
  <si>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</si>
  <si>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</si>
  <si>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</si>
  <si>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</si>
  <si>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</si>
  <si>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</si>
  <si>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</si>
  <si>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</si>
  <si>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</si>
  <si>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</si>
  <si>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</si>
  <si>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</si>
  <si>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</si>
  <si>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</si>
  <si>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</si>
  <si>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</si>
  <si>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</si>
  <si>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</si>
  <si>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</si>
  <si>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</si>
  <si>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</si>
  <si>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</si>
  <si>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</si>
  <si>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</si>
  <si>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</si>
  <si>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</si>
  <si>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</si>
  <si>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</si>
  <si>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</si>
  <si>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</si>
  <si>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</si>
  <si>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</si>
  <si>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</si>
  <si>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</si>
  <si>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</si>
  <si>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</si>
  <si>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</si>
  <si>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</si>
  <si>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</si>
  <si>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</si>
  <si>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</si>
  <si>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</si>
  <si>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</si>
  <si>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</si>
  <si>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</si>
  <si>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</si>
  <si>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</si>
  <si>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</si>
  <si>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</si>
  <si>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</si>
  <si>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</si>
  <si>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</si>
  <si>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</si>
  <si>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</si>
  <si>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</si>
  <si>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</si>
  <si>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</si>
  <si>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</si>
  <si>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</si>
  <si>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</si>
  <si>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</si>
  <si>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</si>
  <si>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</si>
  <si>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</si>
  <si>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</si>
  <si>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</si>
  <si>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</si>
  <si>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</si>
  <si>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</si>
  <si>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</si>
  <si>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</si>
  <si>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</si>
  <si>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</si>
  <si>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</si>
  <si>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</si>
  <si>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</si>
  <si>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</si>
  <si>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</si>
  <si>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</si>
  <si>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</si>
  <si>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</si>
  <si>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</si>
  <si>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</si>
  <si>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</si>
  <si>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</si>
  <si>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</si>
  <si>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</si>
  <si>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</si>
  <si>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</si>
  <si>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</si>
  <si>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</si>
  <si>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</si>
  <si>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</si>
  <si>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</si>
  <si>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</si>
  <si>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</si>
  <si>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</si>
  <si>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</si>
  <si>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</si>
  <si>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</si>
  <si>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</si>
  <si>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</si>
  <si>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</si>
  <si>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</si>
  <si>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</si>
  <si>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</si>
  <si>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</si>
  <si>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</si>
  <si>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</si>
  <si>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</si>
  <si>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</si>
  <si>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</si>
  <si>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</si>
  <si>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</si>
  <si>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</si>
  <si>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</si>
  <si>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</si>
  <si>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</si>
  <si>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</si>
  <si>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</si>
  <si>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</si>
  <si>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</si>
  <si>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</si>
  <si>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</si>
  <si>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</si>
  <si>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</si>
  <si>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</si>
  <si>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</si>
  <si>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</si>
  <si>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</si>
  <si>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</si>
  <si>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</si>
  <si>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</si>
  <si>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</si>
  <si>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</si>
  <si>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</si>
  <si>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</si>
  <si>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</si>
  <si>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</si>
  <si>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</si>
  <si>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</si>
  <si>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</si>
  <si>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</si>
  <si>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</si>
  <si>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</si>
  <si>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</si>
  <si>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</si>
  <si>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</si>
  <si>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</si>
  <si>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</si>
  <si>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</si>
  <si>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</si>
  <si>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</si>
  <si>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</si>
  <si>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</si>
  <si>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</si>
  <si>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</si>
  <si>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</si>
  <si>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</si>
  <si>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</si>
  <si>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</si>
  <si>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</si>
  <si>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</si>
  <si>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</si>
  <si>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</si>
  <si>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</si>
  <si>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</si>
  <si>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</si>
  <si>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</si>
  <si>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</si>
  <si>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</si>
  <si>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</si>
  <si>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</si>
  <si>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</si>
  <si>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</si>
  <si>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</si>
  <si>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</si>
  <si>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</si>
  <si>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</si>
  <si>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</si>
  <si>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</si>
  <si>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</si>
  <si>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</si>
  <si>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</si>
  <si>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</si>
  <si>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</si>
  <si>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</si>
  <si>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</si>
  <si>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</si>
  <si>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</si>
  <si>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</si>
  <si>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</si>
  <si>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</si>
  <si>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</si>
  <si>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</si>
  <si>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</si>
  <si>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</si>
  <si>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</si>
  <si>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</si>
  <si>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</si>
  <si>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</si>
  <si>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</si>
  <si>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</si>
  <si>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</si>
  <si>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</si>
  <si>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</si>
  <si>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</si>
  <si>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</si>
  <si>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</si>
  <si>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</si>
  <si>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</si>
  <si>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</si>
  <si>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</si>
  <si>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</si>
  <si>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</si>
  <si>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</si>
  <si>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</si>
  <si>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</si>
  <si>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</si>
  <si>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</si>
  <si>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</si>
  <si>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</si>
  <si>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</si>
  <si>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</si>
  <si>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</si>
  <si>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</si>
  <si>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</si>
  <si>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</si>
  <si>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</si>
  <si>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</si>
  <si>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</si>
  <si>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</si>
  <si>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</si>
  <si>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</si>
  <si>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</si>
  <si>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</si>
  <si>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</si>
  <si>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</si>
  <si>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</si>
  <si>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</si>
  <si>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</si>
  <si>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</si>
  <si>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</si>
  <si>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</si>
  <si>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</si>
  <si>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</si>
  <si>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</si>
  <si>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</si>
  <si>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</si>
  <si>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</si>
  <si>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</si>
  <si>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</si>
  <si>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</si>
  <si>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</si>
  <si>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</si>
  <si>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</si>
  <si>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</si>
  <si>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</si>
  <si>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</si>
  <si>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</si>
  <si>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</si>
  <si>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</si>
  <si>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</si>
  <si>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</si>
  <si>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</si>
  <si>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</si>
  <si>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</si>
  <si>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</si>
  <si>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</si>
  <si>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</si>
  <si>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</si>
  <si>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</si>
  <si>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</si>
  <si>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</si>
  <si>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</si>
  <si>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</si>
  <si>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</si>
  <si>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</si>
  <si>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</si>
  <si>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</si>
  <si>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</si>
  <si>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</si>
  <si>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</si>
  <si>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</si>
  <si>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</si>
  <si>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</si>
  <si>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</si>
  <si>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</si>
  <si>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</si>
  <si>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</si>
  <si>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</si>
  <si>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</si>
  <si>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</si>
  <si>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</si>
  <si>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</si>
  <si>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</si>
  <si>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</si>
  <si>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</si>
  <si>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</si>
  <si>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</si>
  <si>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</si>
  <si>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</si>
  <si>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</si>
  <si>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</si>
  <si>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</si>
  <si>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</si>
  <si>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</si>
  <si>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</si>
  <si>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</si>
  <si>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</si>
  <si>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</si>
  <si>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</si>
  <si>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</si>
  <si>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</si>
  <si>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</si>
  <si>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</si>
  <si>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</si>
  <si>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</si>
  <si>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</si>
  <si>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</si>
  <si>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</si>
  <si>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</si>
  <si>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</si>
  <si>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</si>
  <si>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</si>
  <si>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</si>
  <si>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</si>
  <si>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</si>
  <si>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</si>
  <si>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</si>
  <si>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</si>
  <si>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</si>
  <si>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</si>
  <si>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</si>
  <si>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</si>
  <si>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</si>
  <si>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</si>
  <si>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</si>
  <si>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</si>
  <si>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</si>
  <si>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</si>
  <si>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</si>
  <si>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</si>
  <si>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</si>
  <si>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</si>
  <si>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</si>
  <si>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</si>
  <si>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</si>
  <si>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</si>
  <si>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</si>
  <si>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</si>
  <si>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</si>
  <si>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</si>
  <si>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</si>
  <si>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</si>
  <si>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</si>
  <si>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</si>
  <si>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</si>
  <si>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</si>
  <si>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</si>
  <si>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</si>
  <si>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</si>
  <si>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</si>
  <si>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</si>
  <si>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</si>
  <si>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</si>
  <si>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</si>
  <si>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</si>
  <si>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</si>
  <si>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</si>
  <si>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</si>
  <si>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</si>
  <si>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</si>
  <si>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</si>
  <si>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</si>
  <si>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</si>
  <si>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</si>
  <si>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</si>
  <si>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</si>
  <si>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</si>
  <si>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</si>
  <si>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</si>
  <si>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</si>
  <si>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</si>
  <si>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</si>
  <si>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</si>
  <si>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</si>
  <si>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</si>
  <si>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</si>
  <si>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</si>
  <si>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</si>
  <si>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</si>
  <si>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</si>
  <si>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</si>
  <si>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</si>
  <si>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</si>
  <si>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</si>
  <si>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</si>
  <si>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</si>
  <si>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</si>
  <si>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</si>
  <si>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</si>
  <si>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</si>
  <si>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</si>
  <si>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</si>
  <si>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</si>
  <si>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</si>
  <si>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</si>
  <si>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</si>
  <si>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</si>
  <si>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</si>
  <si>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</si>
  <si>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</si>
  <si>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</si>
  <si>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</si>
  <si>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</si>
  <si>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</si>
  <si>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</si>
  <si>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</si>
  <si>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</si>
  <si>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</si>
  <si>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</si>
  <si>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</si>
  <si>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</si>
  <si>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</si>
  <si>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</si>
  <si>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</si>
  <si>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</si>
  <si>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</si>
  <si>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</si>
  <si>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</si>
  <si>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</si>
  <si>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</si>
  <si>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</si>
  <si>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</si>
  <si>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</si>
  <si>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</si>
  <si>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</si>
  <si>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</si>
  <si>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</si>
  <si>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</si>
  <si>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</si>
  <si>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</si>
  <si>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</si>
  <si>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</si>
  <si>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</si>
  <si>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</si>
  <si>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</si>
  <si>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</si>
  <si>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</si>
  <si>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</si>
  <si>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</si>
  <si>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</si>
  <si>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</si>
  <si>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</si>
  <si>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</si>
  <si>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</si>
  <si>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</si>
  <si>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</si>
  <si>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</si>
  <si>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</si>
  <si>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</si>
  <si>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</si>
  <si>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</si>
  <si>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</si>
  <si>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</si>
  <si>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</si>
  <si>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</si>
  <si>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</si>
  <si>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</si>
  <si>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</si>
  <si>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</si>
  <si>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</si>
  <si>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</si>
  <si>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</si>
  <si>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</si>
  <si>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</si>
  <si>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</si>
  <si>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</si>
  <si>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</si>
  <si>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</si>
  <si>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</si>
  <si>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</si>
  <si>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</si>
  <si>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</si>
  <si>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</si>
  <si>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</si>
  <si>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</si>
  <si>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</si>
  <si>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</si>
  <si>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</si>
  <si>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</si>
  <si>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</si>
  <si>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</si>
  <si>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</si>
  <si>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</si>
  <si>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</si>
  <si>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</si>
  <si>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</si>
  <si>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</si>
  <si>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</si>
  <si>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</si>
  <si>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</si>
  <si>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</si>
  <si>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</si>
  <si>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</si>
  <si>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</si>
  <si>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</si>
  <si>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</si>
  <si>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</si>
  <si>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</si>
  <si>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</si>
  <si>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</si>
  <si>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</si>
  <si>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</si>
  <si>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</si>
  <si>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</si>
  <si>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</si>
  <si>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</si>
  <si>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</si>
  <si>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</si>
  <si>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</si>
  <si>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</si>
  <si>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</si>
  <si>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</si>
  <si>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</si>
  <si>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</si>
  <si>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</si>
  <si>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</si>
  <si>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</si>
  <si>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</si>
  <si>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</si>
  <si>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</si>
  <si>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</si>
  <si>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</si>
  <si>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</si>
  <si>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</si>
  <si>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</si>
  <si>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</si>
  <si>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</si>
  <si>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</si>
  <si>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</si>
  <si>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</si>
  <si>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</si>
  <si>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</si>
  <si>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</si>
  <si>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</si>
  <si>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</si>
  <si>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</si>
  <si>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</si>
  <si>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</si>
  <si>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</si>
  <si>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</si>
  <si>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</si>
  <si>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</si>
  <si>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</si>
  <si>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</si>
  <si>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</si>
  <si>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</si>
  <si>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</si>
  <si>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</si>
  <si>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</si>
  <si>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</si>
  <si>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</si>
  <si>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</si>
  <si>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</si>
  <si>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</si>
  <si>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</si>
  <si>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</si>
  <si>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</si>
  <si>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</si>
  <si>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</si>
  <si>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</si>
  <si>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</si>
  <si>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</si>
  <si>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</si>
  <si>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</si>
  <si>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</si>
  <si>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</si>
  <si>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</si>
  <si>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</si>
  <si>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</si>
  <si>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</si>
  <si>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</si>
  <si>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</si>
  <si>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</si>
  <si>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</si>
  <si>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</si>
  <si>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</si>
  <si>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</si>
  <si>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</si>
  <si>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</si>
  <si>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</si>
  <si>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</si>
  <si>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</si>
  <si>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</si>
  <si>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</si>
  <si>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</si>
  <si>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</si>
  <si>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</si>
  <si>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</si>
  <si>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</si>
  <si>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</si>
  <si>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</si>
  <si>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</si>
  <si>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</si>
  <si>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</si>
  <si>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</si>
  <si>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</si>
  <si>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</si>
  <si>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</si>
  <si>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</si>
  <si>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</si>
  <si>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</si>
  <si>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</si>
  <si>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</si>
  <si>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</si>
  <si>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</si>
  <si>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</si>
  <si>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</si>
  <si>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</si>
  <si>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</si>
  <si>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</si>
  <si>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</si>
  <si>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</si>
  <si>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</si>
  <si>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</si>
  <si>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</si>
  <si>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</si>
  <si>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</si>
  <si>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</si>
  <si>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</si>
  <si>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</si>
  <si>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</si>
  <si>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</si>
  <si>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</si>
  <si>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</si>
  <si>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</si>
  <si>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</si>
  <si>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</si>
  <si>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</si>
  <si>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</si>
  <si>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</si>
  <si>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</si>
  <si>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</si>
  <si>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</si>
  <si>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</si>
  <si>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</si>
  <si>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</si>
  <si>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</si>
  <si>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</si>
  <si>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</si>
  <si>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</si>
  <si>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</si>
  <si>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</si>
  <si>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</si>
  <si>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</si>
  <si>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</si>
  <si>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</si>
  <si>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</si>
  <si>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</si>
  <si>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</si>
  <si>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</si>
  <si>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</si>
  <si>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</si>
  <si>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</si>
  <si>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</si>
  <si>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</si>
  <si>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</si>
  <si>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</si>
  <si>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</si>
  <si>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</si>
  <si>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</si>
  <si>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</si>
  <si>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</si>
  <si>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</si>
  <si>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</si>
  <si>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</si>
  <si>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</si>
  <si>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</si>
  <si>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</si>
  <si>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</si>
  <si>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</si>
  <si>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</si>
  <si>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</si>
  <si>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</si>
  <si>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</si>
  <si>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</si>
  <si>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</si>
  <si>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</si>
  <si>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</si>
  <si>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</si>
  <si>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</si>
  <si>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</si>
  <si>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</si>
  <si>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</si>
  <si>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</si>
  <si>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</si>
  <si>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</si>
  <si>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</si>
  <si>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</si>
  <si>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</si>
  <si>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</si>
  <si>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</si>
  <si>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</si>
  <si>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</si>
  <si>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</si>
  <si>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</si>
  <si>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</si>
  <si>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</si>
  <si>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</si>
  <si>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</si>
  <si>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</si>
  <si>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</si>
  <si>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</si>
  <si>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</si>
  <si>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</si>
  <si>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</si>
  <si>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</si>
  <si>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</si>
  <si>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</si>
  <si>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</si>
  <si>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</si>
  <si>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</si>
  <si>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</si>
  <si>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</si>
  <si>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</si>
  <si>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</si>
  <si>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</si>
  <si>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</si>
  <si>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</si>
  <si>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</si>
  <si>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</si>
  <si>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</si>
  <si>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</si>
  <si>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</si>
  <si>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</si>
  <si>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</si>
  <si>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</si>
  <si>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</si>
  <si>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</si>
  <si>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</si>
  <si>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</si>
  <si>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</si>
  <si>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</si>
  <si>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</si>
  <si>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</si>
  <si>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</si>
  <si>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</si>
  <si>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</si>
  <si>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</si>
  <si>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</si>
  <si>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</si>
  <si>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</si>
  <si>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</si>
  <si>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</si>
  <si>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</si>
  <si>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</si>
  <si>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</si>
  <si>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</si>
  <si>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</si>
  <si>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</si>
  <si>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</si>
  <si>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</si>
  <si>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</si>
  <si>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</si>
  <si>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</si>
  <si>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</si>
  <si>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</si>
  <si>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</si>
  <si>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</si>
  <si>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</si>
  <si>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</si>
  <si>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</si>
  <si>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</si>
  <si>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</si>
  <si>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</si>
  <si>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</si>
  <si>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</si>
  <si>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</si>
  <si>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</si>
  <si>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</si>
  <si>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</si>
  <si>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</si>
  <si>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</si>
  <si>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</si>
  <si>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</si>
  <si>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</si>
  <si>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</si>
  <si>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</si>
  <si>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</si>
  <si>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</si>
  <si>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</si>
  <si>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</si>
  <si>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</si>
  <si>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</si>
  <si>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</si>
  <si>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</si>
  <si>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</si>
  <si>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</si>
  <si>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</si>
  <si>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</si>
  <si>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</si>
  <si>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</si>
  <si>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</si>
  <si>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</si>
  <si>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</si>
  <si>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</si>
  <si>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</si>
  <si>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</si>
  <si>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</si>
  <si>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</si>
  <si>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</si>
  <si>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</si>
  <si>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</si>
  <si>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</si>
  <si>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</si>
  <si>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</si>
  <si>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</si>
  <si>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</si>
  <si>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</si>
  <si>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</si>
  <si>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</si>
  <si>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</si>
  <si>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</si>
  <si>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</si>
  <si>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</si>
  <si>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</si>
  <si>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</si>
  <si>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</si>
  <si>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</si>
  <si>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</si>
  <si>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</si>
  <si>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</si>
  <si>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</si>
  <si>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</si>
  <si>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</si>
  <si>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</si>
  <si>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</si>
  <si>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</si>
  <si>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</si>
  <si>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</si>
  <si>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</si>
  <si>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</si>
  <si>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</si>
  <si>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</si>
  <si>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</si>
  <si>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</si>
  <si>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</si>
  <si>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</si>
  <si>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</si>
  <si>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</si>
  <si>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</si>
  <si>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</si>
  <si>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</si>
  <si>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</si>
  <si>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</si>
  <si>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</si>
  <si>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</si>
  <si>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</si>
  <si>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</si>
  <si>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</si>
  <si>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</si>
  <si>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</si>
  <si>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</si>
  <si>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</si>
  <si>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</si>
  <si>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</si>
  <si>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</si>
  <si>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</si>
  <si>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</si>
  <si>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</si>
  <si>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</si>
  <si>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</si>
  <si>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</si>
  <si>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</si>
  <si>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</si>
  <si>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</si>
  <si>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</si>
  <si>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</si>
  <si>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</si>
  <si>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</si>
  <si>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</si>
  <si>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</si>
  <si>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</si>
  <si>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</si>
  <si>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</si>
  <si>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</si>
  <si>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</si>
  <si>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</si>
  <si>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</si>
  <si>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</si>
  <si>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</si>
  <si>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</si>
  <si>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</si>
  <si>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</si>
  <si>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</si>
  <si>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</si>
  <si>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</si>
  <si>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</si>
  <si>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</si>
  <si>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</si>
  <si>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</si>
  <si>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</si>
  <si>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</si>
  <si>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</si>
  <si>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</si>
  <si>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</si>
  <si>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</si>
  <si>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</si>
  <si>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</si>
  <si>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</si>
  <si>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</si>
  <si>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</si>
  <si>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</si>
  <si>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</si>
  <si>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</si>
  <si>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</si>
  <si>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</si>
  <si>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</si>
  <si>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</si>
  <si>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</si>
  <si>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</si>
  <si>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</si>
  <si>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</si>
  <si>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</si>
  <si>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</si>
  <si>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</si>
  <si>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</si>
  <si>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</si>
  <si>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</si>
  <si>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</si>
  <si>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</si>
  <si>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</si>
  <si>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</si>
  <si>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</si>
  <si>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</si>
  <si>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</si>
  <si>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</si>
  <si>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</si>
  <si>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</si>
  <si>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</si>
  <si>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</si>
  <si>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</si>
  <si>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</si>
  <si>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</si>
  <si>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</si>
  <si>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</si>
  <si>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</si>
  <si>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</si>
  <si>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</si>
  <si>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</si>
  <si>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</si>
  <si>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</si>
  <si>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</si>
  <si>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</si>
  <si>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</si>
  <si>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</si>
  <si>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</si>
  <si>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</si>
  <si>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</si>
  <si>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</si>
  <si>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</si>
  <si>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</si>
  <si>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</si>
  <si>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</si>
  <si>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</si>
  <si>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</si>
  <si>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</si>
  <si>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</si>
  <si>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</si>
  <si>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</si>
  <si>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</si>
  <si>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</si>
  <si>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</si>
  <si>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</si>
  <si>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</si>
  <si>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</si>
  <si>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</si>
  <si>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</si>
  <si>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</si>
  <si>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</si>
  <si>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</si>
  <si>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</si>
  <si>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</si>
  <si>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</si>
  <si>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</si>
  <si>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</si>
  <si>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</si>
  <si>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</si>
  <si>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</si>
  <si>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</si>
  <si>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</si>
  <si>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</si>
  <si>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</si>
  <si>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</si>
  <si>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</si>
  <si>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</si>
  <si>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</si>
  <si>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</si>
  <si>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</si>
  <si>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</si>
  <si>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</si>
  <si>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</si>
  <si>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</si>
  <si>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</si>
  <si>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</si>
  <si>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</si>
  <si>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</si>
  <si>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</si>
  <si>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</si>
  <si>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</si>
  <si>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</si>
  <si>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</si>
  <si>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</si>
  <si>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</si>
  <si>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</si>
  <si>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</si>
  <si>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</si>
  <si>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</si>
  <si>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</si>
  <si>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</si>
  <si>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</si>
  <si>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</si>
  <si>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</si>
  <si>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</si>
  <si>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</si>
  <si>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</si>
  <si>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</si>
  <si>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</si>
  <si>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</si>
  <si>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</si>
  <si>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</si>
  <si>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</si>
  <si>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</si>
  <si>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</si>
  <si>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</si>
  <si>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</si>
  <si>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</si>
  <si>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</si>
  <si>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</si>
  <si>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</si>
  <si>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</si>
  <si>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</si>
  <si>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</si>
  <si>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</si>
  <si>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</si>
  <si>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</si>
  <si>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</si>
  <si>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</si>
  <si>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</si>
  <si>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</si>
  <si>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</si>
  <si>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</si>
  <si>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</si>
  <si>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</si>
  <si>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</si>
  <si>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</si>
  <si>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</si>
  <si>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</si>
  <si>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</si>
  <si>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</si>
  <si>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</si>
  <si>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</si>
  <si>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</si>
  <si>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</si>
  <si>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</si>
  <si>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</si>
  <si>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</si>
  <si>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</si>
  <si>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</si>
  <si>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</si>
  <si>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</si>
  <si>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</si>
  <si>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</si>
  <si>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</si>
  <si>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</si>
  <si>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</si>
  <si>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</si>
  <si>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</si>
  <si>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</si>
  <si>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</si>
  <si>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</si>
  <si>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</si>
  <si>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</si>
  <si>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</si>
  <si>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</si>
  <si>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</si>
  <si>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</si>
  <si>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</si>
  <si>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</si>
  <si>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</si>
  <si>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</si>
  <si>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</si>
  <si>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</si>
  <si>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</si>
  <si>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</si>
  <si>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</si>
  <si>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</si>
  <si>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</si>
  <si>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</si>
  <si>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</si>
  <si>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</si>
  <si>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</si>
  <si>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</si>
  <si>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</si>
  <si>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</si>
  <si>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</si>
  <si>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</si>
  <si>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</si>
  <si>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</si>
  <si>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</si>
  <si>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</si>
  <si>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</si>
  <si>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</si>
  <si>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</si>
  <si>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</si>
  <si>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</si>
  <si>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</si>
  <si>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</si>
  <si>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</si>
  <si>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</si>
  <si>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</si>
  <si>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</si>
  <si>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</si>
  <si>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</si>
  <si>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</si>
  <si>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</si>
  <si>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</si>
  <si>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</si>
  <si>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</si>
  <si>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</si>
  <si>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</si>
  <si>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</si>
  <si>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</si>
  <si>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</si>
  <si>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</si>
  <si>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</si>
  <si>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</si>
  <si>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</si>
  <si>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</si>
  <si>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</si>
  <si>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</si>
  <si>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</si>
  <si>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</si>
  <si>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</si>
  <si>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</si>
  <si>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</si>
  <si>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</si>
  <si>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</si>
  <si>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</si>
  <si>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</si>
  <si>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</si>
  <si>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</si>
  <si>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</si>
  <si>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</si>
  <si>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</si>
  <si>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</si>
  <si>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</si>
  <si>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</si>
  <si>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</si>
  <si>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</si>
  <si>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</si>
  <si>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</si>
  <si>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</si>
  <si>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</si>
  <si>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</si>
  <si>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</si>
  <si>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</si>
  <si>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</si>
  <si>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</si>
  <si>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</si>
  <si>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</si>
  <si>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</si>
  <si>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</si>
  <si>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</si>
  <si>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</si>
  <si>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</si>
  <si>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</si>
  <si>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</si>
  <si>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</si>
  <si>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</si>
  <si>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</si>
  <si>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</si>
  <si>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</si>
  <si>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</si>
  <si>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</si>
  <si>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</si>
  <si>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</si>
  <si>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</si>
  <si>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</si>
  <si>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</si>
  <si>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</si>
  <si>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</si>
  <si>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</si>
  <si>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</si>
  <si>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</si>
  <si>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</si>
  <si>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</si>
  <si>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</si>
  <si>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</si>
  <si>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</si>
  <si>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</si>
  <si>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</si>
  <si>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</si>
  <si>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</si>
  <si>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</si>
  <si>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</si>
  <si>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</si>
  <si>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</si>
  <si>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</si>
  <si>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</si>
  <si>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</si>
  <si>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</si>
  <si>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</si>
  <si>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</si>
  <si>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</si>
  <si>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</si>
  <si>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</si>
  <si>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</si>
  <si>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</si>
  <si>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</si>
  <si>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</si>
  <si>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</si>
  <si>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</si>
  <si>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</si>
  <si>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</si>
  <si>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</si>
  <si>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</si>
  <si>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</si>
  <si>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</si>
  <si>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</si>
  <si>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</si>
  <si>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</si>
  <si>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</si>
  <si>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</si>
  <si>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</si>
  <si>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</si>
  <si>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</si>
  <si>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</si>
  <si>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</si>
  <si>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</si>
  <si>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</si>
  <si>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</si>
  <si>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</si>
  <si>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</si>
  <si>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</si>
  <si>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</si>
  <si>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</si>
  <si>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</si>
  <si>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</si>
  <si>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</si>
  <si>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</si>
  <si>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</si>
  <si>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</si>
  <si>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</si>
  <si>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</si>
  <si>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</si>
  <si>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</si>
  <si>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</si>
  <si>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</si>
  <si>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</si>
  <si>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</si>
  <si>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</si>
  <si>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</si>
  <si>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</si>
  <si>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</si>
  <si>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</si>
  <si>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</si>
  <si>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</si>
  <si>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</si>
  <si>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</si>
  <si>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</si>
  <si>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</si>
  <si>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</si>
  <si>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</si>
  <si>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</si>
  <si>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</si>
  <si>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</si>
  <si>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</si>
  <si>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</si>
  <si>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</si>
  <si>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</si>
  <si>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</si>
  <si>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</si>
  <si>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</si>
  <si>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</si>
  <si>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</si>
  <si>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</si>
  <si>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</si>
  <si>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</si>
  <si>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</si>
  <si>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</si>
  <si>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</si>
  <si>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</si>
  <si>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</si>
  <si>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</si>
  <si>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</si>
  <si>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</si>
  <si>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</si>
  <si>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</si>
  <si>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</si>
  <si>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</si>
  <si>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</si>
  <si>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</si>
  <si>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</si>
  <si>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</si>
  <si>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</si>
  <si>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</si>
  <si>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</si>
  <si>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</si>
  <si>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</si>
  <si>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</si>
  <si>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</si>
  <si>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</si>
  <si>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</si>
  <si>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</si>
  <si>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</si>
  <si>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</si>
  <si>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</si>
  <si>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</si>
  <si>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</si>
  <si>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</si>
  <si>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</si>
  <si>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</si>
  <si>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</si>
  <si>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</si>
  <si>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</si>
  <si>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</si>
  <si>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</si>
  <si>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</si>
  <si>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</si>
  <si>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</si>
  <si>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</si>
  <si>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</si>
  <si>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</si>
  <si>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</si>
  <si>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</si>
  <si>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</si>
  <si>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</si>
  <si>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</si>
  <si>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</si>
  <si>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</si>
  <si>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</si>
  <si>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</si>
  <si>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</si>
  <si>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</si>
  <si>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</si>
  <si>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</si>
  <si>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</si>
  <si>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</si>
  <si>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</si>
  <si>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</si>
  <si>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</si>
  <si>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</si>
  <si>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</si>
  <si>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</si>
  <si>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</si>
  <si>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</si>
  <si>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</si>
  <si>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</si>
  <si>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</si>
  <si>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</si>
  <si>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</si>
  <si>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</si>
  <si>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</si>
  <si>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</si>
  <si>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</si>
  <si>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</si>
  <si>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</si>
  <si>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</si>
  <si>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</si>
  <si>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</si>
  <si>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</si>
  <si>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</si>
  <si>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</si>
  <si>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</si>
  <si>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</si>
  <si>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</si>
  <si>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</si>
  <si>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</si>
  <si>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</si>
  <si>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</si>
  <si>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</si>
  <si>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</si>
  <si>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</si>
  <si>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</si>
  <si>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</si>
  <si>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</si>
  <si>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</si>
  <si>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</si>
  <si>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</si>
  <si>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</si>
  <si>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</si>
  <si>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</si>
  <si>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</si>
  <si>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</si>
  <si>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</si>
  <si>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</si>
  <si>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</si>
  <si>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</si>
  <si>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</si>
  <si>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</si>
  <si>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</si>
  <si>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</si>
  <si>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</si>
  <si>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</si>
  <si>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</si>
  <si>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</si>
  <si>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</si>
  <si>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</si>
  <si>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</si>
  <si>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</si>
  <si>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</si>
  <si>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</si>
  <si>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</si>
  <si>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</si>
  <si>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</si>
  <si>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</si>
  <si>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</si>
  <si>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</si>
  <si>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</si>
  <si>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</si>
  <si>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</si>
  <si>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</si>
  <si>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</si>
  <si>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</si>
  <si>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</si>
  <si>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</si>
  <si>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</si>
  <si>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</si>
  <si>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</si>
  <si>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</si>
  <si>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</si>
  <si>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</si>
  <si>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</si>
  <si>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</si>
  <si>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</si>
  <si>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</si>
  <si>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</si>
  <si>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</si>
  <si>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</si>
  <si>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</si>
  <si>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</si>
  <si>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</si>
  <si>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</si>
  <si>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</si>
  <si>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</si>
  <si>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</si>
  <si>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</si>
  <si>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</si>
  <si>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</si>
  <si>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</si>
  <si>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</si>
  <si>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</si>
  <si>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</si>
  <si>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</si>
  <si>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</si>
  <si>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</si>
  <si>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</si>
  <si>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</si>
  <si>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</si>
  <si>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</si>
  <si>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</si>
  <si>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</si>
  <si>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</si>
  <si>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</si>
  <si>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</si>
  <si>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</si>
  <si>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</si>
  <si>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</si>
  <si>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</si>
  <si>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</si>
  <si>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</si>
  <si>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</si>
  <si>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</si>
  <si>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</si>
  <si>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</si>
  <si>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</si>
  <si>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</si>
  <si>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</si>
  <si>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</si>
  <si>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</si>
  <si>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</si>
  <si>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</si>
  <si>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</si>
  <si>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</si>
  <si>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</si>
  <si>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</si>
  <si>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</si>
  <si>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</si>
  <si>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</si>
  <si>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</si>
  <si>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</si>
  <si>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</si>
  <si>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</si>
  <si>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</si>
  <si>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</si>
  <si>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</si>
  <si>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</si>
  <si>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</si>
  <si>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</si>
  <si>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</si>
  <si>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</si>
  <si>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</si>
  <si>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</si>
  <si>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</si>
  <si>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</si>
  <si>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</si>
  <si>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</si>
  <si>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</si>
  <si>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</si>
  <si>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</si>
  <si>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</si>
  <si>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</si>
  <si>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</si>
  <si>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</si>
  <si>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</si>
  <si>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</si>
  <si>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</si>
  <si>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</si>
  <si>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</si>
  <si>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</si>
  <si>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</si>
  <si>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</si>
  <si>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</si>
  <si>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</si>
  <si>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</si>
  <si>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</si>
  <si>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</si>
  <si>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</si>
  <si>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</si>
  <si>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</si>
  <si>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</si>
  <si>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</si>
  <si>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</si>
  <si>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</si>
  <si>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</si>
  <si>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</si>
  <si>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</si>
  <si>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</si>
  <si>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</si>
  <si>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</si>
  <si>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</si>
  <si>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</si>
  <si>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</si>
  <si>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</si>
  <si>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</si>
  <si>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</si>
  <si>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</si>
  <si>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</si>
  <si>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</si>
  <si>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</si>
  <si>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</si>
  <si>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</si>
  <si>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</si>
  <si>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</si>
  <si>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</si>
  <si>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</si>
  <si>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</si>
  <si>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</si>
  <si>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</si>
  <si>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</si>
  <si>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</si>
  <si>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</si>
  <si>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</si>
  <si>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</si>
  <si>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</si>
  <si>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</si>
  <si>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</si>
  <si>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</si>
  <si>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</si>
  <si>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</si>
  <si>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</si>
  <si>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</si>
  <si>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</si>
  <si>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</si>
  <si>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</si>
  <si>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</si>
  <si>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</si>
  <si>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</si>
  <si>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</si>
  <si>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</si>
  <si>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</si>
  <si>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</si>
  <si>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</si>
  <si>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</si>
  <si>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</si>
  <si>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</si>
  <si>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</si>
  <si>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</si>
  <si>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</si>
  <si>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</si>
  <si>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</si>
  <si>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</si>
  <si>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</si>
  <si>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</si>
  <si>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</si>
  <si>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</si>
  <si>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</si>
  <si>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</si>
  <si>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</si>
  <si>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</si>
  <si>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</si>
  <si>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</si>
  <si>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</si>
  <si>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</si>
  <si>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</si>
  <si>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</si>
  <si>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</si>
  <si>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</si>
  <si>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</si>
  <si>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</si>
  <si>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</si>
  <si>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</si>
  <si>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</si>
  <si>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</si>
  <si>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</si>
  <si>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</si>
  <si>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</si>
  <si>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</si>
  <si>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</si>
  <si>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</si>
  <si>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</si>
  <si>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</si>
  <si>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</si>
  <si>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</si>
  <si>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</si>
  <si>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</si>
  <si>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</si>
  <si>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</si>
  <si>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</si>
  <si>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</si>
  <si>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</si>
  <si>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</si>
  <si>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</si>
  <si>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</si>
  <si>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</si>
  <si>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</si>
  <si>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</si>
  <si>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</si>
  <si>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</si>
  <si>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</si>
  <si>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</si>
  <si>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</si>
  <si>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</si>
  <si>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</si>
  <si>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</si>
  <si>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</si>
  <si>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</si>
  <si>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</si>
  <si>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</si>
  <si>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</si>
  <si>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</si>
  <si>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</si>
  <si>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</si>
  <si>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</si>
  <si>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</si>
  <si>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</si>
  <si>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</si>
  <si>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</si>
  <si>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</si>
  <si>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</si>
  <si>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</si>
  <si>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</si>
  <si>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</si>
  <si>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</si>
  <si>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</si>
  <si>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</si>
  <si>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</si>
  <si>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</si>
  <si>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</si>
  <si>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</si>
  <si>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</si>
  <si>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</si>
  <si>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</si>
  <si>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</si>
  <si>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</si>
  <si>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</si>
  <si>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</si>
  <si>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</si>
  <si>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</si>
  <si>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</si>
  <si>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</si>
  <si>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</si>
  <si>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</si>
  <si>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</si>
  <si>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</si>
  <si>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</si>
  <si>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</si>
  <si>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</si>
  <si>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</si>
  <si>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</si>
  <si>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</si>
  <si>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</si>
  <si>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</si>
  <si>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</si>
  <si>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</si>
  <si>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</si>
  <si>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</si>
  <si>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</si>
  <si>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</si>
  <si>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</si>
  <si>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</si>
  <si>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</si>
  <si>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</si>
  <si>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</si>
  <si>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</si>
  <si>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</si>
  <si>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</si>
  <si>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</si>
  <si>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</si>
  <si>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</si>
  <si>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</si>
  <si>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</si>
  <si>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</si>
  <si>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</si>
  <si>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</si>
  <si>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</si>
  <si>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</si>
  <si>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</si>
  <si>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</si>
  <si>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</si>
  <si>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</si>
  <si>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</si>
  <si>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</si>
  <si>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</si>
  <si>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</si>
  <si>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</si>
  <si>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</si>
  <si>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</si>
  <si>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</si>
  <si>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</si>
  <si>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</si>
  <si>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</si>
  <si>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</si>
  <si>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</si>
  <si>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</si>
  <si>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</si>
  <si>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</si>
  <si>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</si>
  <si>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</si>
  <si>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</si>
  <si>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</si>
  <si>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</si>
  <si>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</si>
  <si>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</si>
  <si>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</si>
  <si>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</si>
  <si>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</si>
  <si>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</si>
  <si>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</si>
  <si>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</si>
  <si>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</si>
  <si>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</si>
  <si>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</si>
  <si>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</si>
  <si>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</si>
  <si>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</si>
  <si>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</si>
  <si>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</si>
  <si>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</si>
  <si>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</si>
  <si>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</si>
  <si>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</si>
  <si>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</si>
  <si>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</si>
  <si>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</si>
  <si>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</si>
  <si>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</si>
  <si>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</si>
  <si>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</si>
  <si>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</si>
  <si>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</si>
  <si>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</si>
  <si>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</si>
  <si>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</si>
  <si>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</si>
  <si>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</si>
  <si>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</si>
  <si>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</si>
  <si>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</si>
  <si>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</si>
  <si>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</si>
  <si>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</si>
  <si>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</si>
  <si>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</si>
  <si>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</si>
  <si>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</si>
  <si>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</si>
  <si>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</si>
  <si>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</si>
  <si>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</si>
  <si>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</si>
  <si>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</si>
  <si>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</si>
  <si>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</si>
  <si>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</si>
  <si>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</si>
  <si>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</si>
  <si>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</si>
  <si>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</si>
  <si>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</si>
  <si>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</si>
  <si>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</si>
  <si>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</si>
  <si>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</si>
  <si>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</si>
  <si>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</si>
  <si>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</si>
  <si>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</si>
  <si>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</si>
  <si>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</si>
  <si>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</si>
  <si>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</si>
  <si>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</si>
  <si>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</si>
  <si>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</si>
  <si>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</si>
  <si>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</si>
  <si>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</si>
  <si>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</si>
  <si>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</si>
  <si>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</si>
  <si>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</si>
  <si>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</si>
  <si>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</si>
  <si>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</si>
  <si>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</si>
  <si>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</si>
  <si>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</si>
  <si>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</si>
  <si>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</si>
  <si>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</si>
  <si>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</si>
  <si>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</si>
  <si>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</si>
  <si>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</si>
  <si>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</si>
  <si>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</si>
  <si>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</si>
  <si>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</si>
  <si>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</si>
  <si>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</si>
  <si>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</si>
  <si>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</si>
  <si>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</si>
  <si>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</si>
  <si>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</si>
  <si>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</si>
  <si>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</si>
  <si>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</si>
  <si>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</si>
  <si>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</si>
  <si>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</si>
  <si>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</si>
  <si>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</si>
  <si>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</si>
  <si>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</si>
  <si>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</si>
  <si>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</si>
  <si>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</si>
  <si>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</si>
  <si>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</si>
  <si>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</si>
  <si>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</si>
  <si>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</si>
  <si>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</si>
  <si>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</si>
  <si>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</si>
  <si>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</si>
  <si>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</si>
  <si>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</si>
  <si>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</si>
  <si>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</si>
  <si>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</si>
  <si>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</si>
  <si>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</si>
  <si>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</si>
  <si>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</si>
  <si>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</si>
  <si>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</si>
  <si>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</si>
  <si>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</si>
  <si>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</si>
  <si>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</si>
  <si>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</si>
  <si>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</si>
  <si>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</si>
  <si>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</si>
  <si>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</si>
  <si>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</si>
  <si>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</si>
  <si>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</si>
  <si>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</si>
  <si>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</si>
  <si>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</si>
  <si>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</si>
  <si>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</si>
  <si>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</si>
  <si>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</si>
  <si>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</si>
  <si>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</si>
  <si>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</si>
  <si>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</si>
  <si>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</si>
  <si>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</si>
  <si>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</si>
  <si>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</si>
  <si>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</si>
  <si>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</si>
  <si>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</si>
  <si>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</si>
  <si>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</si>
  <si>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</si>
  <si>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</si>
  <si>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</si>
  <si>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</si>
  <si>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</si>
  <si>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</si>
  <si>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</si>
  <si>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</si>
  <si>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</si>
  <si>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</si>
  <si>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</si>
  <si>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</si>
  <si>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</si>
  <si>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</si>
  <si>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</si>
  <si>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</si>
  <si>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</si>
  <si>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</si>
  <si>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</si>
  <si>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</si>
  <si>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</si>
  <si>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</si>
  <si>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</si>
  <si>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</si>
  <si>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</si>
  <si>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</si>
  <si>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</si>
  <si>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</si>
  <si>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</si>
  <si>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</si>
  <si>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</si>
  <si>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</si>
  <si>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</si>
  <si>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</si>
  <si>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</si>
  <si>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</si>
  <si>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</si>
  <si>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</si>
  <si>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</si>
  <si>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</si>
  <si>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</si>
  <si>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</si>
  <si>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</si>
  <si>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</si>
  <si>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</si>
  <si>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</si>
  <si>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</si>
  <si>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</si>
  <si>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</si>
  <si>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</si>
  <si>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</si>
  <si>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</si>
  <si>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</si>
  <si>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</si>
  <si>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</si>
  <si>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</si>
  <si>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</si>
  <si>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</si>
  <si>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</si>
  <si>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</si>
  <si>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</si>
  <si>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</si>
  <si>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</si>
  <si>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</si>
  <si>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</si>
  <si>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</si>
  <si>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</si>
  <si>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</si>
  <si>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</si>
  <si>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</si>
  <si>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</si>
  <si>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</si>
  <si>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</si>
  <si>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</si>
  <si>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</si>
  <si>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</si>
  <si>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</si>
  <si>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</si>
  <si>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</si>
  <si>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</si>
  <si>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</si>
  <si>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</si>
  <si>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</si>
  <si>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</si>
  <si>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</si>
  <si>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</si>
  <si>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</si>
  <si>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</si>
  <si>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</si>
  <si>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</si>
  <si>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</si>
  <si>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</si>
  <si>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</si>
  <si>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</si>
  <si>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</si>
  <si>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</si>
  <si>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</si>
  <si>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</si>
  <si>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</si>
  <si>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</si>
  <si>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</si>
  <si>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</si>
  <si>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</si>
  <si>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</si>
  <si>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</si>
  <si>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</si>
  <si>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</si>
  <si>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</si>
  <si>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</si>
  <si>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</si>
  <si>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</si>
  <si>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</si>
  <si>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</si>
  <si>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</si>
  <si>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</si>
  <si>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</si>
  <si>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</si>
  <si>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</si>
  <si>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</si>
  <si>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</si>
  <si>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</si>
  <si>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</si>
  <si>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</si>
  <si>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</si>
  <si>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</si>
  <si>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</si>
  <si>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</si>
  <si>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</si>
  <si>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</si>
  <si>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</si>
  <si>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</si>
  <si>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</si>
  <si>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</si>
  <si>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</si>
  <si>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</si>
  <si>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</si>
  <si>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</si>
  <si>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</si>
  <si>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</si>
  <si>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</si>
  <si>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</si>
  <si>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</si>
  <si>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</si>
  <si>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</si>
  <si>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</si>
  <si>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</si>
  <si>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</si>
  <si>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</si>
  <si>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</si>
  <si>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</si>
  <si>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</si>
  <si>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</si>
  <si>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</si>
  <si>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</si>
  <si>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</si>
  <si>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</si>
  <si>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</si>
  <si>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</si>
  <si>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</si>
  <si>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</si>
  <si>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</si>
  <si>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</si>
  <si>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</si>
  <si>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</si>
  <si>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</si>
  <si>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</si>
  <si>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</si>
  <si>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</si>
  <si>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</si>
  <si>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</si>
  <si>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</si>
  <si>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</si>
  <si>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</si>
  <si>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</si>
  <si>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</si>
  <si>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</si>
  <si>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</si>
  <si>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</si>
  <si>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</si>
  <si>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</si>
  <si>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</si>
  <si>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</si>
  <si>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</si>
  <si>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</si>
  <si>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</si>
  <si>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</si>
  <si>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</si>
  <si>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</si>
  <si>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</si>
  <si>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</si>
  <si>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</si>
  <si>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</si>
  <si>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</si>
  <si>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</si>
  <si>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</si>
  <si>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</si>
  <si>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</si>
  <si>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</si>
  <si>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</si>
  <si>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</si>
  <si>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</si>
  <si>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</si>
  <si>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</si>
  <si>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</si>
  <si>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</si>
  <si>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</si>
  <si>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</si>
  <si>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</si>
  <si>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</si>
  <si>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</si>
  <si>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</si>
  <si>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</si>
  <si>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</si>
  <si>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</si>
  <si>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</si>
  <si>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</si>
  <si>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</si>
  <si>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</si>
  <si>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</si>
  <si>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</si>
  <si>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</si>
  <si>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</si>
  <si>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</si>
  <si>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</si>
  <si>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</si>
  <si>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</si>
  <si>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</si>
  <si>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</si>
  <si>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</si>
  <si>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</si>
  <si>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</si>
  <si>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</si>
  <si>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</si>
  <si>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</si>
  <si>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</si>
  <si>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</si>
  <si>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</si>
  <si>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</si>
  <si>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</si>
  <si>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</si>
  <si>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</si>
  <si>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</si>
  <si>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</si>
  <si>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</si>
  <si>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</si>
  <si>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</si>
  <si>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</si>
  <si>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</si>
  <si>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</si>
  <si>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</si>
  <si>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</si>
  <si>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</si>
  <si>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</si>
  <si>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</si>
  <si>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</si>
  <si>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</si>
  <si>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</si>
  <si>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</si>
  <si>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</si>
  <si>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</si>
  <si>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</si>
  <si>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</si>
  <si>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</si>
  <si>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</si>
  <si>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</si>
  <si>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</si>
  <si>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</si>
  <si>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</si>
  <si>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</si>
  <si>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</si>
  <si>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</si>
  <si>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</si>
  <si>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</si>
  <si>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</si>
  <si>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</si>
  <si>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</si>
  <si>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</si>
  <si>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</si>
  <si>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</si>
  <si>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</si>
  <si>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</si>
  <si>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</si>
  <si>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</si>
  <si>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</si>
  <si>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</si>
  <si>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</si>
  <si>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</si>
  <si>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</si>
  <si>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</si>
  <si>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</si>
  <si>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</si>
  <si>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</si>
  <si>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</si>
  <si>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</si>
  <si>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</si>
  <si>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</si>
  <si>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</si>
  <si>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</si>
  <si>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</si>
  <si>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</si>
  <si>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</si>
  <si>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</si>
  <si>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</si>
  <si>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</si>
  <si>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</si>
  <si>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</si>
  <si>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</si>
  <si>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</si>
  <si>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</si>
  <si>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</si>
  <si>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</si>
  <si>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</si>
  <si>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</si>
  <si>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</si>
  <si>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</si>
  <si>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</si>
  <si>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</si>
  <si>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</si>
  <si>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</si>
  <si>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</si>
  <si>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</si>
  <si>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</si>
  <si>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</si>
  <si>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</si>
  <si>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</si>
  <si>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</si>
  <si>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</si>
  <si>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</si>
  <si>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</si>
  <si>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</si>
  <si>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</si>
  <si>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</si>
  <si>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</si>
  <si>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</si>
  <si>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</si>
  <si>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</si>
  <si>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</si>
  <si>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</si>
  <si>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</si>
  <si>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</si>
  <si>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</si>
  <si>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</si>
  <si>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</si>
  <si>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</si>
  <si>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</si>
  <si>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</si>
  <si>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</si>
  <si>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</si>
  <si>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</si>
  <si>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</si>
  <si>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</si>
  <si>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</si>
  <si>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</si>
  <si>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</si>
  <si>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</si>
  <si>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</si>
  <si>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</si>
  <si>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</si>
  <si>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</si>
  <si>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</si>
  <si>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</si>
  <si>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</si>
  <si>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</si>
  <si>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</si>
  <si>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</si>
  <si>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</si>
  <si>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</si>
  <si>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</si>
  <si>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</si>
  <si>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</si>
  <si>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</si>
  <si>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</si>
  <si>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</si>
  <si>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</si>
  <si>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</si>
  <si>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</si>
  <si>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</si>
  <si>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</si>
  <si>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</si>
  <si>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</si>
  <si>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</si>
  <si>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</si>
  <si>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</si>
  <si>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</si>
  <si>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</si>
  <si>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</si>
  <si>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</si>
  <si>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</si>
  <si>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</si>
  <si>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</si>
  <si>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</si>
  <si>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</si>
  <si>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</si>
  <si>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</si>
  <si>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</si>
  <si>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</si>
  <si>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</si>
  <si>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</si>
  <si>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</si>
  <si>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</si>
  <si>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</si>
  <si>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</si>
  <si>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</si>
  <si>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</si>
  <si>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</si>
  <si>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</si>
  <si>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</si>
  <si>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</si>
  <si>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</si>
  <si>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</si>
  <si>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</si>
  <si>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</si>
  <si>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</si>
  <si>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</si>
  <si>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</si>
  <si>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</si>
  <si>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</si>
  <si>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</si>
  <si>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</si>
  <si>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</si>
  <si>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</si>
  <si>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</si>
  <si>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</si>
  <si>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</si>
  <si>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</si>
  <si>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</si>
  <si>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</si>
  <si>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</si>
  <si>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</si>
  <si>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</si>
  <si>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</si>
  <si>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</si>
  <si>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</si>
  <si>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</si>
  <si>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</si>
  <si>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</si>
  <si>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</si>
  <si>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</si>
  <si>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</si>
  <si>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</si>
  <si>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</si>
  <si>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</si>
  <si>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</si>
  <si>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</si>
  <si>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</si>
  <si>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</si>
  <si>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</si>
  <si>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</si>
  <si>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</si>
  <si>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</si>
  <si>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</si>
  <si>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</si>
  <si>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</si>
  <si>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</si>
  <si>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</si>
  <si>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</si>
  <si>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</si>
  <si>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</si>
  <si>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</si>
  <si>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</si>
  <si>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</si>
  <si>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</si>
  <si>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</si>
  <si>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</si>
  <si>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</si>
  <si>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</si>
  <si>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</si>
  <si>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</si>
  <si>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</si>
  <si>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</si>
  <si>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</si>
  <si>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</si>
  <si>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</si>
  <si>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</si>
  <si>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</si>
  <si>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</si>
  <si>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</si>
  <si>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</si>
  <si>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</si>
  <si>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</si>
  <si>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</si>
  <si>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</si>
  <si>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</si>
  <si>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</si>
  <si>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</si>
  <si>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</si>
  <si>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</si>
  <si>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</si>
  <si>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</si>
  <si>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</si>
  <si>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</si>
  <si>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</si>
  <si>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</si>
  <si>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</si>
  <si>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</si>
  <si>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</si>
  <si>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</si>
  <si>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</si>
  <si>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</si>
  <si>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</si>
  <si>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</si>
  <si>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</si>
  <si>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</si>
  <si>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</si>
  <si>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</si>
  <si>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</si>
  <si>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</si>
  <si>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</si>
  <si>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</si>
  <si>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</si>
  <si>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</si>
  <si>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</si>
  <si>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</si>
  <si>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</si>
  <si>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</si>
  <si>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</si>
  <si>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</si>
  <si>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</si>
  <si>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</si>
  <si>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</si>
  <si>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</si>
  <si>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</si>
  <si>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</si>
  <si>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</si>
  <si>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</si>
  <si>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</si>
  <si>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</si>
  <si>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</si>
  <si>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</si>
  <si>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</si>
  <si>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</si>
  <si>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</si>
  <si>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</si>
  <si>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</si>
  <si>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</si>
  <si>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</si>
  <si>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</si>
  <si>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</si>
  <si>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</si>
  <si>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</si>
  <si>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</si>
  <si>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</si>
  <si>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</si>
  <si>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</si>
  <si>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</si>
  <si>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</si>
  <si>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</si>
  <si>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</si>
  <si>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</si>
  <si>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</si>
  <si>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</si>
  <si>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</si>
  <si>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</si>
  <si>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</si>
  <si>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</si>
  <si>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</si>
  <si>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</si>
  <si>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</si>
  <si>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</si>
  <si>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</si>
  <si>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</si>
  <si>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</si>
  <si>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</si>
  <si>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</si>
  <si>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</si>
  <si>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</si>
  <si>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</si>
  <si>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</si>
  <si>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</si>
  <si>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</si>
  <si>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</si>
  <si>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</si>
  <si>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</si>
  <si>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</si>
  <si>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</si>
  <si>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</si>
  <si>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</si>
  <si>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</si>
  <si>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</si>
  <si>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</si>
  <si>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</si>
  <si>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</si>
  <si>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</si>
  <si>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</si>
  <si>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</si>
  <si>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</si>
  <si>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</si>
  <si>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</si>
  <si>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</si>
  <si>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</si>
  <si>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</si>
  <si>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</si>
  <si>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</si>
  <si>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</si>
  <si>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</si>
  <si>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</si>
  <si>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</si>
  <si>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</si>
  <si>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</si>
  <si>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</si>
  <si>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</si>
  <si>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</si>
  <si>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</si>
  <si>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</si>
  <si>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</si>
  <si>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王鹏</t>
  </si>
  <si>
    <t>郑燚</t>
  </si>
  <si>
    <t>中信信托有限责任公司</t>
    <phoneticPr fontId="6" type="noConversion"/>
  </si>
  <si>
    <t>深圳悦茂置业有限公司</t>
    <phoneticPr fontId="6" type="noConversion"/>
  </si>
  <si>
    <t>其他：</t>
  </si>
  <si>
    <t>企业</t>
  </si>
  <si>
    <t>广东省深圳市</t>
    <phoneticPr fontId="6" type="noConversion"/>
  </si>
  <si>
    <t>龙华新区民治街道腾龙路与建设路交汇处“金茂府”居住项目</t>
    <phoneticPr fontId="6" type="noConversion"/>
  </si>
  <si>
    <t>抵押</t>
  </si>
  <si>
    <t>房地产抵押价值</t>
  </si>
  <si>
    <t>出让</t>
  </si>
  <si>
    <t>住宅、商业</t>
    <phoneticPr fontId="6" type="noConversion"/>
  </si>
  <si>
    <t>住宅67年、商业37年</t>
    <phoneticPr fontId="6" type="noConversion"/>
  </si>
  <si>
    <t>是</t>
  </si>
  <si>
    <t>《不动产权证书》</t>
  </si>
  <si>
    <t>复印件</t>
  </si>
  <si>
    <t>居住项目</t>
  </si>
  <si>
    <t>在建</t>
  </si>
  <si>
    <t>通路</t>
  </si>
  <si>
    <t>通电</t>
  </si>
  <si>
    <t>通讯</t>
  </si>
  <si>
    <t>通上水</t>
  </si>
  <si>
    <t>通下水</t>
  </si>
  <si>
    <t>燃气</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</si>
  <si>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粤（2017）深圳市不动产权第0082279号</t>
    </r>
    <r>
      <rPr>
        <sz val="12"/>
        <color theme="9" tint="-0.249977111117893"/>
        <rFont val="Arial"/>
        <family val="2"/>
      </rPr>
      <t>]</t>
    </r>
    <phoneticPr fontId="6" type="noConversion"/>
  </si>
  <si>
    <t>地上</t>
  </si>
  <si>
    <t>住宅</t>
  </si>
  <si>
    <t>独立商业</t>
  </si>
  <si>
    <t>公寓</t>
  </si>
  <si>
    <t>住宅</t>
    <phoneticPr fontId="7" type="noConversion"/>
  </si>
  <si>
    <t>独立商业</t>
    <phoneticPr fontId="7" type="noConversion"/>
  </si>
  <si>
    <t>公寓</t>
    <phoneticPr fontId="7" type="noConversion"/>
  </si>
  <si>
    <t>成新度</t>
  </si>
  <si>
    <t>现房</t>
  </si>
  <si>
    <t>项目局部</t>
  </si>
  <si>
    <t>收益比率</t>
  </si>
  <si>
    <t>否</t>
  </si>
  <si>
    <t>按租金收入计税</t>
  </si>
  <si>
    <t>钢混</t>
  </si>
  <si>
    <t>非生产用房</t>
  </si>
  <si>
    <t>收益法（住宅）</t>
  </si>
  <si>
    <t>比较法-住宅</t>
  </si>
  <si>
    <t>正常</t>
  </si>
  <si>
    <t>一般</t>
  </si>
  <si>
    <t>较好</t>
  </si>
  <si>
    <t>精装</t>
  </si>
  <si>
    <t>精装</t>
    <phoneticPr fontId="25" type="noConversion"/>
  </si>
  <si>
    <t>简装</t>
    <phoneticPr fontId="25" type="noConversion"/>
  </si>
  <si>
    <t>毛坯</t>
  </si>
  <si>
    <t>毛坯</t>
    <phoneticPr fontId="25" type="noConversion"/>
  </si>
  <si>
    <t>比较法-商业</t>
  </si>
  <si>
    <t>售价</t>
  </si>
  <si>
    <t>比较法-公寓</t>
  </si>
  <si>
    <t>收益法（公寓）</t>
  </si>
  <si>
    <t>好</t>
  </si>
  <si>
    <t>安宏基天曜广场</t>
    <phoneticPr fontId="3" type="noConversion"/>
  </si>
  <si>
    <t>鸿荣源壹城中心花园</t>
    <phoneticPr fontId="3" type="noConversion"/>
  </si>
  <si>
    <t>平层</t>
  </si>
  <si>
    <t>平层</t>
    <phoneticPr fontId="25" type="noConversion"/>
  </si>
  <si>
    <t>六通</t>
  </si>
  <si>
    <t>六通</t>
    <phoneticPr fontId="25" type="noConversion"/>
  </si>
  <si>
    <t>专业</t>
  </si>
  <si>
    <t>专业</t>
    <phoneticPr fontId="25" type="noConversion"/>
  </si>
  <si>
    <t>精装修</t>
  </si>
  <si>
    <t>精装修</t>
    <phoneticPr fontId="25" type="noConversion"/>
  </si>
  <si>
    <t>中档</t>
  </si>
  <si>
    <t>中档</t>
    <phoneticPr fontId="25" type="noConversion"/>
  </si>
  <si>
    <t>高档</t>
  </si>
  <si>
    <t>高档</t>
    <phoneticPr fontId="25" type="noConversion"/>
  </si>
  <si>
    <t>钢混</t>
    <phoneticPr fontId="25" type="noConversion"/>
  </si>
  <si>
    <t>高层</t>
  </si>
  <si>
    <t>高层</t>
    <phoneticPr fontId="25" type="noConversion"/>
  </si>
  <si>
    <t>住宅</t>
    <phoneticPr fontId="25" type="noConversion"/>
  </si>
  <si>
    <t>60-70（含）</t>
  </si>
  <si>
    <t>较好</t>
    <phoneticPr fontId="31" type="noConversion"/>
  </si>
  <si>
    <t>红山6979</t>
    <phoneticPr fontId="3" type="noConversion"/>
  </si>
  <si>
    <t>中海锦城</t>
    <phoneticPr fontId="3" type="noConversion"/>
  </si>
  <si>
    <t>商业</t>
    <phoneticPr fontId="31" type="noConversion"/>
  </si>
  <si>
    <t>30-40（含）</t>
  </si>
  <si>
    <r>
      <t>1-</t>
    </r>
    <r>
      <rPr>
        <sz val="11"/>
        <color indexed="8"/>
        <rFont val="宋体"/>
        <family val="3"/>
        <charset val="134"/>
      </rPr>
      <t>2层</t>
    </r>
    <phoneticPr fontId="31" type="noConversion"/>
  </si>
  <si>
    <r>
      <t>1</t>
    </r>
    <r>
      <rPr>
        <sz val="11"/>
        <color indexed="8"/>
        <rFont val="宋体"/>
        <family val="3"/>
        <charset val="134"/>
      </rPr>
      <t>层</t>
    </r>
    <phoneticPr fontId="31" type="noConversion"/>
  </si>
  <si>
    <r>
      <t>1-3</t>
    </r>
    <r>
      <rPr>
        <sz val="11"/>
        <color indexed="8"/>
        <rFont val="宋体"/>
        <family val="3"/>
        <charset val="134"/>
      </rPr>
      <t>层</t>
    </r>
    <phoneticPr fontId="31" type="noConversion"/>
  </si>
  <si>
    <t>较差</t>
  </si>
  <si>
    <t>差</t>
  </si>
  <si>
    <t>钢混</t>
    <phoneticPr fontId="31" type="noConversion"/>
  </si>
  <si>
    <t>精装修</t>
    <phoneticPr fontId="31" type="noConversion"/>
  </si>
  <si>
    <t>六通</t>
    <phoneticPr fontId="31" type="noConversion"/>
  </si>
  <si>
    <t>可餐饮</t>
    <phoneticPr fontId="31" type="noConversion"/>
  </si>
  <si>
    <t>不可餐饮</t>
    <phoneticPr fontId="31" type="noConversion"/>
  </si>
  <si>
    <t>简装</t>
  </si>
  <si>
    <t>毛坯</t>
    <phoneticPr fontId="31" type="noConversion"/>
  </si>
  <si>
    <t>精装</t>
    <phoneticPr fontId="31" type="noConversion"/>
  </si>
  <si>
    <t>简装</t>
    <phoneticPr fontId="31" type="noConversion"/>
  </si>
  <si>
    <t>1层</t>
  </si>
  <si>
    <t>1-3层</t>
  </si>
  <si>
    <t>1-2层</t>
  </si>
  <si>
    <t>一般</t>
    <phoneticPr fontId="31" type="noConversion"/>
  </si>
  <si>
    <t>多</t>
    <phoneticPr fontId="31" type="noConversion"/>
  </si>
  <si>
    <t>较多</t>
    <phoneticPr fontId="31" type="noConversion"/>
  </si>
  <si>
    <t>一般</t>
    <phoneticPr fontId="31" type="noConversion"/>
  </si>
  <si>
    <t>较少</t>
    <phoneticPr fontId="31" type="noConversion"/>
  </si>
  <si>
    <t>少</t>
    <phoneticPr fontId="31" type="noConversion"/>
  </si>
  <si>
    <t>楼层</t>
    <phoneticPr fontId="3" type="noConversion"/>
  </si>
  <si>
    <t>1-2</t>
    <phoneticPr fontId="3" type="noConversion"/>
  </si>
  <si>
    <t>1-3</t>
    <phoneticPr fontId="3" type="noConversion"/>
  </si>
  <si>
    <t>建筑面积</t>
  </si>
  <si>
    <t>分摊土地面积</t>
  </si>
  <si>
    <t>建筑物价值</t>
  </si>
  <si>
    <t>龙光玖钻</t>
    <phoneticPr fontId="3" type="noConversion"/>
  </si>
  <si>
    <t>商住</t>
  </si>
  <si>
    <t>商住</t>
    <phoneticPr fontId="143" type="noConversion"/>
  </si>
  <si>
    <t>LOFT</t>
  </si>
  <si>
    <t>LOFT</t>
    <phoneticPr fontId="143" type="noConversion"/>
  </si>
  <si>
    <t>平层</t>
    <phoneticPr fontId="143" type="noConversion"/>
  </si>
  <si>
    <t>六通</t>
    <phoneticPr fontId="143" type="noConversion"/>
  </si>
  <si>
    <t>五通</t>
  </si>
  <si>
    <t>五通</t>
    <phoneticPr fontId="143" type="noConversion"/>
  </si>
  <si>
    <t>专业</t>
    <phoneticPr fontId="143" type="noConversion"/>
  </si>
  <si>
    <t>精装修</t>
    <phoneticPr fontId="143" type="noConversion"/>
  </si>
  <si>
    <t>中档</t>
    <phoneticPr fontId="143" type="noConversion"/>
  </si>
  <si>
    <t>钢混</t>
    <phoneticPr fontId="143" type="noConversion"/>
  </si>
  <si>
    <t>高档</t>
    <phoneticPr fontId="143" type="noConversion"/>
  </si>
  <si>
    <t>多层</t>
  </si>
  <si>
    <t>多层</t>
    <phoneticPr fontId="143" type="noConversion"/>
  </si>
  <si>
    <t>小高层</t>
  </si>
  <si>
    <t>小高层</t>
    <phoneticPr fontId="143" type="noConversion"/>
  </si>
  <si>
    <t>高层</t>
    <phoneticPr fontId="143" type="noConversion"/>
  </si>
  <si>
    <r>
      <rPr>
        <sz val="10"/>
        <color theme="9" tint="-0.249977111117893"/>
        <rFont val="宋体"/>
        <family val="3"/>
        <charset val="134"/>
      </rPr>
      <t>《不动产登记证明》[粤（2017）深圳市不动产证明第0149727号；粤（2018）深圳市不动产证明第0052753号]</t>
    </r>
    <phoneticPr fontId="87" type="noConversion"/>
  </si>
  <si>
    <t>龙华区梅龙路与工业路交汇处</t>
    <phoneticPr fontId="3" type="noConversion"/>
  </si>
  <si>
    <t>龙华区新区大道与中梅路交汇处</t>
    <phoneticPr fontId="3" type="noConversion"/>
  </si>
  <si>
    <t>金亨利都荟首府二期</t>
    <phoneticPr fontId="3" type="noConversion"/>
  </si>
  <si>
    <t>龙华新城核心区民宝路与腾龙路交汇处</t>
    <phoneticPr fontId="3" type="noConversion"/>
  </si>
  <si>
    <t>地上（计容）</t>
    <phoneticPr fontId="143" type="noConversion"/>
  </si>
  <si>
    <t>住宅</t>
    <phoneticPr fontId="143" type="noConversion"/>
  </si>
  <si>
    <t>商业</t>
    <phoneticPr fontId="143" type="noConversion"/>
  </si>
  <si>
    <t>非独立选址的幼儿园</t>
    <phoneticPr fontId="143" type="noConversion"/>
  </si>
  <si>
    <t>社区管理用房</t>
    <phoneticPr fontId="143" type="noConversion"/>
  </si>
  <si>
    <t>社区服务中心</t>
    <phoneticPr fontId="143" type="noConversion"/>
  </si>
  <si>
    <t>物业服务用房</t>
    <phoneticPr fontId="143" type="noConversion"/>
  </si>
  <si>
    <t>社区警务室</t>
  </si>
  <si>
    <t>社区警务室</t>
    <phoneticPr fontId="143" type="noConversion"/>
  </si>
  <si>
    <t>文化活动室</t>
  </si>
  <si>
    <t>文化活动室</t>
    <phoneticPr fontId="143" type="noConversion"/>
  </si>
  <si>
    <t>社区老年人日间照料中心</t>
    <phoneticPr fontId="143" type="noConversion"/>
  </si>
  <si>
    <t>公共厕所</t>
    <phoneticPr fontId="143" type="noConversion"/>
  </si>
  <si>
    <t>环卫工人作息房</t>
    <phoneticPr fontId="143" type="noConversion"/>
  </si>
  <si>
    <t>非经营性用途</t>
    <phoneticPr fontId="143" type="noConversion"/>
  </si>
  <si>
    <t>架空绿化</t>
    <phoneticPr fontId="143" type="noConversion"/>
  </si>
  <si>
    <t>架空休闲</t>
    <phoneticPr fontId="143" type="noConversion"/>
  </si>
  <si>
    <t>消防避难空间</t>
    <phoneticPr fontId="143" type="noConversion"/>
  </si>
  <si>
    <t>小计</t>
    <phoneticPr fontId="143" type="noConversion"/>
  </si>
  <si>
    <t>小计</t>
    <phoneticPr fontId="143" type="noConversion"/>
  </si>
  <si>
    <t>地下（不计容）</t>
    <phoneticPr fontId="143" type="noConversion"/>
  </si>
  <si>
    <t>经营性用途</t>
    <phoneticPr fontId="143" type="noConversion"/>
  </si>
  <si>
    <t>其他</t>
  </si>
  <si>
    <t>共用停车卡</t>
    <phoneticPr fontId="143" type="noConversion"/>
  </si>
  <si>
    <t>公用设备用房</t>
    <phoneticPr fontId="143" type="noConversion"/>
  </si>
  <si>
    <t>非经营性用途</t>
    <phoneticPr fontId="143" type="noConversion"/>
  </si>
  <si>
    <t>合计</t>
    <phoneticPr fontId="143" type="noConversion"/>
  </si>
  <si>
    <t>内含</t>
    <phoneticPr fontId="143" type="noConversion"/>
  </si>
  <si>
    <t>消防控制室</t>
    <phoneticPr fontId="143" type="noConversion"/>
  </si>
  <si>
    <t>人防报警间</t>
    <phoneticPr fontId="143" type="noConversion"/>
  </si>
  <si>
    <t>小型垃圾转运站</t>
    <phoneticPr fontId="143" type="noConversion"/>
  </si>
  <si>
    <t>再生资源回收站</t>
    <phoneticPr fontId="143" type="noConversion"/>
  </si>
  <si>
    <t>土地面积</t>
    <phoneticPr fontId="143" type="noConversion"/>
  </si>
  <si>
    <t>商业</t>
    <phoneticPr fontId="143" type="noConversion"/>
  </si>
  <si>
    <t>公寓</t>
    <phoneticPr fontId="143" type="noConversion"/>
  </si>
  <si>
    <t>土地面积</t>
    <phoneticPr fontId="143" type="noConversion"/>
  </si>
  <si>
    <t>商业</t>
    <phoneticPr fontId="7" type="noConversion"/>
  </si>
  <si>
    <t>容积率</t>
    <phoneticPr fontId="143" type="noConversion"/>
  </si>
  <si>
    <t>收益法（商业）</t>
  </si>
  <si>
    <r>
      <t>104</t>
    </r>
    <r>
      <rPr>
        <sz val="11"/>
        <color indexed="8"/>
        <rFont val="宋体"/>
        <family val="3"/>
        <charset val="134"/>
      </rPr>
      <t>、</t>
    </r>
    <r>
      <rPr>
        <sz val="11"/>
        <color indexed="8"/>
        <rFont val="Arial"/>
        <family val="2"/>
      </rPr>
      <t>112</t>
    </r>
    <r>
      <rPr>
        <sz val="11"/>
        <color indexed="8"/>
        <rFont val="宋体"/>
        <family val="3"/>
        <charset val="134"/>
      </rPr>
      <t>、</t>
    </r>
    <r>
      <rPr>
        <sz val="11"/>
        <color indexed="8"/>
        <rFont val="Arial"/>
        <family val="2"/>
      </rPr>
      <t>177-186</t>
    </r>
    <phoneticPr fontId="25" type="noConversion"/>
  </si>
  <si>
    <t>88-163</t>
    <phoneticPr fontId="25" type="noConversion"/>
  </si>
  <si>
    <t>70-115</t>
    <phoneticPr fontId="25" type="noConversion"/>
  </si>
  <si>
    <t>一期</t>
  </si>
  <si>
    <t>序号</t>
  </si>
  <si>
    <t>项目名称</t>
  </si>
  <si>
    <t>计算基数</t>
  </si>
  <si>
    <t>范围及内容</t>
  </si>
  <si>
    <t>单价(元/㎡)</t>
  </si>
  <si>
    <t>金额(万元）</t>
  </si>
  <si>
    <t>（一）</t>
  </si>
  <si>
    <t>土地成本</t>
  </si>
  <si>
    <t>计算基数为地上建筑面积</t>
  </si>
  <si>
    <t>土地出让金</t>
  </si>
  <si>
    <t>股权收购价</t>
    <phoneticPr fontId="3" type="noConversion"/>
  </si>
  <si>
    <t>红线外大市政配套费</t>
    <phoneticPr fontId="3" type="noConversion"/>
  </si>
  <si>
    <t>向政府部门缴纳的红线外大市政配套费及增容费。</t>
    <phoneticPr fontId="3" type="noConversion"/>
  </si>
  <si>
    <t>货币补偿</t>
    <phoneticPr fontId="3" type="noConversion"/>
  </si>
  <si>
    <t>拆迁工程费及补偿费，包含但不限于红线内拆除和迁移障碍物所发生的费用。如：地上建筑物的拆除、高压线和光缆的迁移、排洪沟及市政管线的改道等；对红线内房屋或垦地的所有人放弃所有权的补偿费用和对其使用人的安置费用。</t>
    <phoneticPr fontId="3" type="noConversion"/>
  </si>
  <si>
    <t>契税等税费</t>
  </si>
  <si>
    <t>地下补交出让金</t>
    <phoneticPr fontId="3" type="noConversion"/>
  </si>
  <si>
    <t>不可预见费</t>
  </si>
  <si>
    <t>（二）</t>
  </si>
  <si>
    <t>前期工程费</t>
    <phoneticPr fontId="3" type="noConversion"/>
  </si>
  <si>
    <t>计算基数为建安工程费</t>
  </si>
  <si>
    <t>勘察设计费</t>
    <phoneticPr fontId="3" type="noConversion"/>
  </si>
  <si>
    <t>报批报建费</t>
  </si>
  <si>
    <t>招标代理及招标管理费</t>
  </si>
  <si>
    <t>三通一平费</t>
  </si>
  <si>
    <t>临时设施费</t>
  </si>
  <si>
    <t>前期咨询费</t>
  </si>
  <si>
    <t>（三）</t>
  </si>
  <si>
    <t>建筑安装工程费</t>
  </si>
  <si>
    <t>计算基数为总建筑面积</t>
  </si>
  <si>
    <t>主体建筑工程</t>
  </si>
  <si>
    <t>安置房</t>
  </si>
  <si>
    <t>酒店</t>
  </si>
  <si>
    <t>LOFT公寓</t>
    <phoneticPr fontId="3" type="noConversion"/>
  </si>
  <si>
    <t>写字楼</t>
  </si>
  <si>
    <t>地下</t>
  </si>
  <si>
    <t>内装修工程</t>
  </si>
  <si>
    <t>安装工程</t>
  </si>
  <si>
    <t>示范区工程</t>
  </si>
  <si>
    <t>设备、材料</t>
  </si>
  <si>
    <t>工程管理费</t>
  </si>
  <si>
    <t>包括但不限于：造价咨询费、工程监理费、工程一切险等。(客服费用)</t>
    <phoneticPr fontId="3" type="noConversion"/>
  </si>
  <si>
    <t>（四）</t>
  </si>
  <si>
    <t>基础设施费</t>
  </si>
  <si>
    <t>红线内小市政工程</t>
  </si>
  <si>
    <t>园林景观工程</t>
  </si>
  <si>
    <t>红线外大市政</t>
  </si>
  <si>
    <t>红线外大市政施工费用，包含但不限于：水、电、热、气、道路等项。</t>
  </si>
  <si>
    <t>（五）</t>
  </si>
  <si>
    <t>公共配套设施费</t>
  </si>
  <si>
    <t>社区服务中心及居委会</t>
  </si>
  <si>
    <t>幼儿园及托儿所</t>
  </si>
  <si>
    <t>学校</t>
  </si>
  <si>
    <t>居民健身场所</t>
  </si>
  <si>
    <t>肉菜市场</t>
  </si>
  <si>
    <t>配套用房</t>
    <phoneticPr fontId="3" type="noConversion"/>
  </si>
  <si>
    <t>卫生站及垃圾收集点</t>
  </si>
  <si>
    <t>老年人服务站点</t>
  </si>
  <si>
    <t>公交首末站</t>
  </si>
  <si>
    <t>（六）</t>
  </si>
  <si>
    <t>计算基数为（二）至（五）项之和，根据项目进度逐步减小</t>
  </si>
  <si>
    <t>基本不可预见费</t>
  </si>
  <si>
    <t>涨价不可预见费</t>
  </si>
  <si>
    <t>亦可以按照年增长3%的比例计算</t>
  </si>
  <si>
    <t>（七）</t>
  </si>
  <si>
    <t>物业启动费</t>
  </si>
  <si>
    <t>由甲方提供给物业的前期启动费用。</t>
  </si>
  <si>
    <t>（八）</t>
  </si>
  <si>
    <t>开发间接费</t>
  </si>
  <si>
    <t>人工成本</t>
  </si>
  <si>
    <t>工程部、项目部、设计部、成本部、合约部等与工程直接相关的人员的人工成本</t>
  </si>
  <si>
    <t>行政费用</t>
  </si>
  <si>
    <t>包括办公、能源、会议、差旅、交通、业务招待等费用</t>
  </si>
  <si>
    <t>固定资产</t>
  </si>
  <si>
    <t>包括电脑、车辆、办公家具、软件、办公设备维修、保险等</t>
  </si>
  <si>
    <t>（九）</t>
  </si>
  <si>
    <t>资本化借款费用</t>
  </si>
  <si>
    <t>可资本化的利息支出和支付的手续费、商定费等可资本化的辅助借款费用，以及可资本化的外币借款本金和利息的汇兑损益。</t>
  </si>
  <si>
    <t>一</t>
  </si>
  <si>
    <t>开发成本合计</t>
  </si>
  <si>
    <t>管理费用</t>
  </si>
  <si>
    <t>财务部、行政部、人力资源部等与工程非直接相关的人员的人工成本</t>
  </si>
  <si>
    <t>包括办公、能源、会议、差旅、交通、业务招待、中介等费用</t>
  </si>
  <si>
    <t>持有物业开发管理费</t>
  </si>
  <si>
    <t>持有酒店30000平米，按其建造成本的5%计算</t>
  </si>
  <si>
    <t>酒店开办费</t>
  </si>
  <si>
    <t>按每个房间10万元计算</t>
  </si>
  <si>
    <t>财务费用</t>
  </si>
  <si>
    <t>销售费用</t>
  </si>
  <si>
    <t>营销推广费</t>
  </si>
  <si>
    <t>销售代理费</t>
  </si>
  <si>
    <t>客户关系费</t>
    <phoneticPr fontId="3" type="noConversion"/>
  </si>
  <si>
    <t>二</t>
  </si>
  <si>
    <t>三项费用小计</t>
  </si>
  <si>
    <t>三</t>
  </si>
  <si>
    <t>一期总投资</t>
  </si>
  <si>
    <t>一+二</t>
  </si>
  <si>
    <t>勘察、设计费包含但不限于地质勘察、勘探、放点测绘、土壤氡气检测；规划/概念/方案/扩初/施工图/室内装修/园林景观/环境等各阶段及内容的设计工作（还包括审图及复印晒图等）。</t>
  </si>
  <si>
    <t>包含但不限于从为获取规划许可证至销售证止所需报批报建工作发生的费用。</t>
  </si>
  <si>
    <t>包括招标代理服务费和招投标管理费。</t>
  </si>
  <si>
    <t>临时水、电、通讯、道路及场平费用，包含但不限于管线的接驳、敷设及其辅助工作；变配电设备的购置、租赁及安装；施工场地上的垃圾、杂草等障碍物的移除、树木伐移/植、污染土处理等。</t>
  </si>
  <si>
    <t>项目前期由甲方自建自用的临时用房、围墙等项。</t>
  </si>
  <si>
    <t>包含但不限于立项、交评、环评、固定资产投资节能评估、可行性研究、营销策划等项聘请外协公司/顾问发生的咨询费。</t>
  </si>
  <si>
    <t>包含但不限于：地基工程、基础、地下/上结构、屋面、二次结构、内外粗装修（含保温)、外檐装修、门窗及幕墙等项。</t>
  </si>
  <si>
    <t>除粗装修工程外，建筑物内所有装饰/装修项目（包括公共区域）。</t>
  </si>
  <si>
    <t>包含但不限于：给排水、采暖/通风空调、强/弱电,室内、外消防水(自动喷洒系统、消火栓及气体灭火系统) 和消防电系统（消防报警联动、消防应急广播及直通对讲系统）以及泛光照明系统等项。</t>
  </si>
  <si>
    <t>包括但不限于：样板间、售楼处的建造费用（含配饰、家具及示范区周边环境绿化）。</t>
  </si>
  <si>
    <t>由甲方直接签约采购和供应的设备及材料。</t>
  </si>
  <si>
    <t>包含但不限于：红线内道路、给排水、中水、雨污水、电（高压管网-开闭站-变压器）、热（市政热源系统）、气（全部燃气工程）、通讯等项。</t>
  </si>
  <si>
    <t>包括但不限于：硬质铺装、园林景观、绿化、水系、庭院照明、小品、雕塑、康乐设施、导向标识牌等。</t>
  </si>
  <si>
    <t>指单体/栋设备用房。</t>
  </si>
  <si>
    <t>临街</t>
  </si>
  <si>
    <t>临街</t>
    <phoneticPr fontId="31" type="noConversion"/>
  </si>
  <si>
    <t>不临街</t>
    <phoneticPr fontId="31" type="noConversion"/>
  </si>
  <si>
    <t>单面临街</t>
    <phoneticPr fontId="31" type="noConversion"/>
  </si>
  <si>
    <t>街角地</t>
    <phoneticPr fontId="31" type="noConversion"/>
  </si>
  <si>
    <t>独立商业</t>
    <phoneticPr fontId="31" type="noConversion"/>
  </si>
  <si>
    <t>写字楼配套商业</t>
  </si>
  <si>
    <t>写字楼配套商业</t>
    <phoneticPr fontId="31" type="noConversion"/>
  </si>
  <si>
    <t>住宅配套商业</t>
  </si>
  <si>
    <t>住宅配套商业</t>
    <phoneticPr fontId="31" type="noConversion"/>
  </si>
  <si>
    <r>
      <rPr>
        <sz val="11"/>
        <color indexed="8"/>
        <rFont val="宋体"/>
        <family val="3"/>
        <charset val="134"/>
      </rPr>
      <t>层高</t>
    </r>
    <r>
      <rPr>
        <sz val="11"/>
        <color indexed="8"/>
        <rFont val="楷体_GB2312"/>
        <family val="3"/>
        <charset val="134"/>
      </rPr>
      <t>≥</t>
    </r>
    <r>
      <rPr>
        <sz val="9.9"/>
        <color indexed="8"/>
        <rFont val="宋体"/>
        <family val="3"/>
        <charset val="134"/>
      </rPr>
      <t>4.5</t>
    </r>
    <phoneticPr fontId="31" type="noConversion"/>
  </si>
  <si>
    <t>标准层高</t>
  </si>
  <si>
    <t>标准层高</t>
    <phoneticPr fontId="31" type="noConversion"/>
  </si>
  <si>
    <r>
      <t>层高</t>
    </r>
    <r>
      <rPr>
        <sz val="11"/>
        <color indexed="8"/>
        <rFont val="楷体_GB2312"/>
        <family val="3"/>
        <charset val="134"/>
      </rPr>
      <t>≤</t>
    </r>
    <r>
      <rPr>
        <sz val="9.9"/>
        <color indexed="8"/>
        <rFont val="宋体"/>
        <family val="3"/>
        <charset val="134"/>
      </rPr>
      <t>3</t>
    </r>
    <phoneticPr fontId="31" type="noConversion"/>
  </si>
  <si>
    <t>龙华区红山地铁站附近</t>
    <phoneticPr fontId="3" type="noConversion"/>
  </si>
  <si>
    <t>特发和平里</t>
    <phoneticPr fontId="3" type="noConversion"/>
  </si>
  <si>
    <t>龙华区和平路与布龙路交汇处西南角</t>
    <phoneticPr fontId="3" type="noConversion"/>
  </si>
  <si>
    <t>龙华区简上路与腾龙路交叉口</t>
    <phoneticPr fontId="3" type="noConversion"/>
  </si>
  <si>
    <t>较多</t>
  </si>
  <si>
    <t>龙华区民治办事处</t>
    <phoneticPr fontId="3" type="noConversion"/>
  </si>
  <si>
    <t>龙华区民治街道办事处辖区</t>
    <phoneticPr fontId="3" type="noConversion"/>
  </si>
  <si>
    <r>
      <t>13</t>
    </r>
    <r>
      <rPr>
        <sz val="11"/>
        <rFont val="宋体"/>
        <family val="3"/>
        <charset val="134"/>
      </rPr>
      <t>层</t>
    </r>
    <phoneticPr fontId="143" type="noConversion"/>
  </si>
  <si>
    <t>省会市名称</t>
  </si>
  <si>
    <t>建筑型式</t>
  </si>
  <si>
    <t>广州</t>
  </si>
  <si>
    <t>1943</t>
  </si>
  <si>
    <t>2218</t>
  </si>
  <si>
    <t>2543</t>
  </si>
  <si>
    <t>LOFT公寓</t>
  </si>
  <si>
    <t>底商或商业</t>
  </si>
  <si>
    <t>占一期投资比例</t>
  </si>
  <si>
    <t>外立面施工</t>
    <phoneticPr fontId="6" type="noConversion"/>
  </si>
  <si>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深规土建许字</t>
    </r>
    <r>
      <rPr>
        <sz val="12"/>
        <color theme="9" tint="-0.249977111117893"/>
        <rFont val="Arial"/>
        <family val="2"/>
      </rPr>
      <t>LA-2017-0019</t>
    </r>
    <r>
      <rPr>
        <sz val="12"/>
        <color theme="9" tint="-0.249977111117893"/>
        <rFont val="宋体"/>
        <family val="3"/>
        <charset val="134"/>
      </rPr>
      <t>号</t>
    </r>
    <r>
      <rPr>
        <sz val="12"/>
        <color theme="9" tint="-0.249977111117893"/>
        <rFont val="Arial"/>
        <family val="2"/>
      </rPr>
      <t>]</t>
    </r>
    <phoneticPr fontId="6" type="noConversion"/>
  </si>
  <si>
    <t>底商或商业</t>
    <phoneticPr fontId="3" type="noConversion"/>
  </si>
  <si>
    <t>10月</t>
  </si>
  <si>
    <t>11月</t>
  </si>
  <si>
    <t>12月</t>
  </si>
  <si>
    <t>2月</t>
  </si>
  <si>
    <t>3月</t>
  </si>
  <si>
    <t>4月</t>
  </si>
  <si>
    <t>5月</t>
  </si>
  <si>
    <t>6月</t>
  </si>
  <si>
    <t>8月</t>
  </si>
  <si>
    <t>9月</t>
  </si>
  <si>
    <t>1栋A座</t>
  </si>
  <si>
    <t>1栋B座</t>
  </si>
  <si>
    <t>1栋C座</t>
  </si>
  <si>
    <t>2栋A座</t>
  </si>
  <si>
    <t>2栋B座</t>
  </si>
  <si>
    <t>3栋A座</t>
  </si>
  <si>
    <t>3栋B座</t>
  </si>
  <si>
    <t>3栋C座</t>
  </si>
  <si>
    <t>3栋D座</t>
  </si>
  <si>
    <t>酒店式公寓3C</t>
    <phoneticPr fontId="143" type="noConversion"/>
  </si>
  <si>
    <t>人防车位</t>
    <phoneticPr fontId="3" type="noConversion"/>
  </si>
  <si>
    <t>3.签约单价（元/平米，车位是：万元/个）</t>
    <phoneticPr fontId="3" type="noConversion"/>
  </si>
  <si>
    <t>产品形式</t>
    <phoneticPr fontId="3" type="noConversion"/>
  </si>
  <si>
    <t>分期</t>
    <phoneticPr fontId="3" type="noConversion"/>
  </si>
  <si>
    <t>楼栋</t>
    <phoneticPr fontId="3" type="noConversion"/>
  </si>
  <si>
    <t>项目整体</t>
    <phoneticPr fontId="3" type="noConversion"/>
  </si>
  <si>
    <t>2019年</t>
    <phoneticPr fontId="3" type="noConversion"/>
  </si>
  <si>
    <t>2020年</t>
    <phoneticPr fontId="3" type="noConversion"/>
  </si>
  <si>
    <t>2021年</t>
    <phoneticPr fontId="3" type="noConversion"/>
  </si>
  <si>
    <t>1-12月</t>
    <phoneticPr fontId="3" type="noConversion"/>
  </si>
  <si>
    <t>1月</t>
    <phoneticPr fontId="3" type="noConversion"/>
  </si>
  <si>
    <t>1-6月</t>
    <phoneticPr fontId="3" type="noConversion"/>
  </si>
  <si>
    <t>7月</t>
    <phoneticPr fontId="3" type="noConversion"/>
  </si>
  <si>
    <t>7-12月</t>
    <phoneticPr fontId="3" type="noConversion"/>
  </si>
  <si>
    <t>酒店式公寓</t>
    <phoneticPr fontId="3" type="noConversion"/>
  </si>
  <si>
    <t>项目总计</t>
    <phoneticPr fontId="3" type="noConversion"/>
  </si>
  <si>
    <t>中海锦城</t>
    <phoneticPr fontId="143" type="noConversion"/>
  </si>
  <si>
    <r>
      <t>1</t>
    </r>
    <r>
      <rPr>
        <sz val="11"/>
        <color theme="1"/>
        <rFont val="宋体"/>
        <family val="3"/>
        <charset val="134"/>
        <scheme val="minor"/>
      </rPr>
      <t>-2层</t>
    </r>
    <phoneticPr fontId="143" type="noConversion"/>
  </si>
  <si>
    <t>楼层</t>
    <phoneticPr fontId="143" type="noConversion"/>
  </si>
  <si>
    <t>租金（元/月·平方米）</t>
    <phoneticPr fontId="143" type="noConversion"/>
  </si>
  <si>
    <t>特发和平里</t>
    <phoneticPr fontId="143" type="noConversion"/>
  </si>
  <si>
    <t>1层</t>
    <phoneticPr fontId="143" type="noConversion"/>
  </si>
  <si>
    <r>
      <t xml:space="preserve"> </t>
    </r>
    <r>
      <rPr>
        <sz val="11"/>
        <color theme="1"/>
        <rFont val="宋体"/>
        <family val="3"/>
        <charset val="134"/>
        <scheme val="minor"/>
      </rPr>
      <t xml:space="preserve">             </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</si>
</sst>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_-* #,##0_-;\-* #,##0_-;_-* &quot;-&quot;??_-;_-@_-"/>
    <numFmt numFmtId="199" formatCode="#,##0_ "/>
    <numFmt numFmtId="200" formatCode="_ * #,##0_ ;_ * \-#,##0_ ;_ * &quot;-&quot;_ ;_ @_ "/>
    <numFmt numFmtId="201" formatCode="mmmmm\-yy"/>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u/>
      <sz val="11"/>
      <color theme="10"/>
      <name val="宋体"/>
      <family val="3"/>
      <charset val="134"/>
      <scheme val="minor"/>
    </font>
    <font>
      <u/>
      <sz val="11"/>
      <color theme="11"/>
      <name val="宋体"/>
      <family val="3"/>
      <charset val="134"/>
      <scheme val="minor"/>
    </font>
    <font>
      <b/>
      <sz val="10"/>
      <color indexed="8"/>
      <name val="黑体"/>
      <family val="3"/>
      <charset val="134"/>
    </font>
    <font>
      <sz val="10"/>
      <color indexed="8"/>
      <name val="黑体"/>
      <family val="3"/>
      <charset val="134"/>
    </font>
    <font>
      <b/>
      <sz val="10"/>
      <name val="黑体"/>
      <family val="3"/>
      <charset val="134"/>
    </font>
    <font>
      <b/>
      <sz val="10"/>
      <color indexed="9"/>
      <name val="黑体"/>
      <family val="3"/>
      <charset val="134"/>
    </font>
    <font>
      <sz val="10"/>
      <color theme="1"/>
      <name val="黑体"/>
      <family val="3"/>
      <charset val="134"/>
    </font>
    <font>
      <sz val="10"/>
      <name val="黑体"/>
      <family val="3"/>
      <charset val="134"/>
    </font>
    <font>
      <sz val="10"/>
      <color rgb="FFFF0000"/>
      <name val="黑体"/>
      <family val="3"/>
      <charset val="134"/>
    </font>
    <font>
      <b/>
      <i/>
      <sz val="10"/>
      <color indexed="8"/>
      <name val="黑体"/>
      <family val="3"/>
      <charset val="134"/>
    </font>
    <font>
      <sz val="12"/>
      <name val="新細明體"/>
      <family val="1"/>
      <charset val="136"/>
    </font>
    <font>
      <sz val="9.9"/>
      <color indexed="8"/>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4506668294322"/>
        <bgColor indexed="64"/>
      </patternFill>
    </fill>
    <fill>
      <patternFill patternType="solid">
        <fgColor indexed="54"/>
        <bgColor indexed="64"/>
      </patternFill>
    </fill>
    <fill>
      <patternFill patternType="solid">
        <fgColor rgb="FFCCFFFF"/>
        <bgColor indexed="64"/>
      </patternFill>
    </fill>
    <fill>
      <patternFill patternType="solid">
        <fgColor theme="8" tint="-0.249977111117893"/>
        <bgColor indexed="64"/>
      </patternFill>
    </fill>
    <fill>
      <patternFill patternType="solid">
        <fgColor rgb="FFFFC000"/>
        <bgColor indexed="64"/>
      </patternFill>
    </fill>
  </fills>
  <borders count="15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71">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254"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4"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4"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4"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4"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4"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4"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4"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4"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4"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4"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4"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4"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4"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4"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4"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4"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4"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4"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4" fillId="0" borderId="0" applyNumberFormat="0" applyFill="0" applyBorder="0" applyAlignment="0" applyProtection="0">
      <alignment vertical="center"/>
    </xf>
    <xf numFmtId="0" fontId="255" fillId="0" borderId="0" applyNumberFormat="0" applyFill="0" applyBorder="0" applyAlignment="0" applyProtection="0">
      <alignment vertical="center"/>
    </xf>
    <xf numFmtId="197" fontId="170" fillId="0" borderId="0" applyFont="0" applyFill="0" applyBorder="0" applyAlignment="0" applyProtection="0">
      <alignment vertical="center"/>
    </xf>
    <xf numFmtId="9" fontId="170" fillId="0" borderId="0" applyFont="0" applyFill="0" applyBorder="0" applyAlignment="0" applyProtection="0">
      <alignment vertical="center"/>
    </xf>
    <xf numFmtId="3" fontId="37" fillId="0" borderId="1"/>
    <xf numFmtId="197" fontId="37" fillId="0" borderId="0" applyFont="0" applyFill="0" applyBorder="0" applyAlignment="0" applyProtection="0">
      <alignment vertical="center"/>
    </xf>
    <xf numFmtId="9" fontId="264" fillId="0" borderId="0" applyFont="0" applyFill="0" applyBorder="0" applyAlignment="0" applyProtection="0"/>
    <xf numFmtId="9" fontId="264" fillId="0" borderId="0" applyFont="0" applyFill="0" applyBorder="0" applyAlignment="0" applyProtection="0"/>
    <xf numFmtId="9" fontId="264" fillId="0" borderId="0" applyFont="0" applyFill="0" applyBorder="0" applyAlignment="0" applyProtection="0"/>
    <xf numFmtId="0" fontId="37" fillId="0" borderId="0"/>
    <xf numFmtId="0" fontId="37" fillId="0" borderId="0"/>
    <xf numFmtId="43" fontId="264" fillId="0" borderId="0" applyFont="0" applyFill="0" applyBorder="0" applyAlignment="0" applyProtection="0"/>
    <xf numFmtId="43" fontId="264" fillId="0" borderId="0" applyFont="0" applyFill="0" applyBorder="0" applyAlignment="0" applyProtection="0"/>
    <xf numFmtId="43" fontId="264" fillId="0" borderId="0" applyFont="0" applyFill="0" applyBorder="0" applyAlignment="0" applyProtection="0"/>
    <xf numFmtId="43" fontId="264" fillId="0" borderId="0" applyFont="0" applyFill="0" applyBorder="0" applyAlignment="0" applyProtection="0"/>
    <xf numFmtId="200" fontId="37" fillId="0" borderId="0" applyFont="0" applyFill="0" applyBorder="0" applyAlignment="0" applyProtection="0"/>
  </cellStyleXfs>
  <cellXfs count="34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58" fontId="47" fillId="0" borderId="44"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49" fontId="50" fillId="6" borderId="0" xfId="0" applyNumberFormat="1" applyFont="1" applyFill="1" applyAlignment="1" applyProtection="1">
      <alignment vertical="center"/>
      <protection locked="0"/>
    </xf>
    <xf numFmtId="0" fontId="99" fillId="0" borderId="0" xfId="0" applyFont="1" applyAlignment="1">
      <alignment horizontal="left" vertical="center" wrapText="1"/>
    </xf>
    <xf numFmtId="0" fontId="0" fillId="0" borderId="0" xfId="0" applyAlignment="1">
      <alignment horizontal="left" vertical="center" wrapText="1"/>
    </xf>
    <xf numFmtId="198" fontId="259" fillId="18" borderId="1" xfId="57" applyNumberFormat="1" applyFont="1" applyFill="1" applyBorder="1" applyAlignment="1">
      <alignment horizontal="center" vertical="center"/>
    </xf>
    <xf numFmtId="186" fontId="259" fillId="18" borderId="1" xfId="57" applyNumberFormat="1" applyFont="1" applyFill="1" applyBorder="1" applyAlignment="1">
      <alignment vertical="center"/>
    </xf>
    <xf numFmtId="10" fontId="259" fillId="18" borderId="1" xfId="58" applyNumberFormat="1" applyFont="1" applyFill="1" applyBorder="1" applyAlignment="1">
      <alignment horizontal="center" vertical="center" wrapText="1"/>
    </xf>
    <xf numFmtId="197" fontId="256" fillId="0" borderId="23" xfId="57" applyFont="1" applyBorder="1" applyAlignment="1">
      <alignment horizontal="center" vertical="center"/>
    </xf>
    <xf numFmtId="197" fontId="256" fillId="0" borderId="1" xfId="57" applyFont="1" applyBorder="1" applyAlignment="1">
      <alignment horizontal="center" vertical="center"/>
    </xf>
    <xf numFmtId="198" fontId="256" fillId="0" borderId="1" xfId="57" applyNumberFormat="1" applyFont="1" applyBorder="1" applyAlignment="1">
      <alignment horizontal="center" vertical="center"/>
    </xf>
    <xf numFmtId="198" fontId="260" fillId="0" borderId="1" xfId="57" applyNumberFormat="1" applyFont="1" applyFill="1" applyBorder="1" applyAlignment="1">
      <alignment horizontal="right" vertical="center"/>
    </xf>
    <xf numFmtId="186" fontId="256" fillId="0" borderId="1" xfId="57" applyNumberFormat="1" applyFont="1" applyBorder="1" applyAlignment="1">
      <alignment vertical="center"/>
    </xf>
    <xf numFmtId="10" fontId="256" fillId="0" borderId="1" xfId="58" applyNumberFormat="1" applyFont="1" applyBorder="1" applyAlignment="1">
      <alignment horizontal="right" vertical="center"/>
    </xf>
    <xf numFmtId="10" fontId="257" fillId="0" borderId="24" xfId="57" applyNumberFormat="1" applyFont="1" applyBorder="1" applyAlignment="1">
      <alignment horizontal="left" vertical="center"/>
    </xf>
    <xf numFmtId="186" fontId="257" fillId="0" borderId="23" xfId="57" applyNumberFormat="1" applyFont="1" applyBorder="1" applyAlignment="1">
      <alignment horizontal="center" vertical="center"/>
    </xf>
    <xf numFmtId="197" fontId="257" fillId="0" borderId="1" xfId="57" applyFont="1" applyBorder="1" applyAlignment="1">
      <alignment horizontal="center" vertical="center"/>
    </xf>
    <xf numFmtId="198" fontId="257" fillId="0" borderId="1" xfId="57" applyNumberFormat="1" applyFont="1" applyFill="1" applyBorder="1" applyAlignment="1">
      <alignment horizontal="center" vertical="center"/>
    </xf>
    <xf numFmtId="198" fontId="257" fillId="5" borderId="1" xfId="57" applyNumberFormat="1" applyFont="1" applyFill="1" applyBorder="1" applyAlignment="1">
      <alignment horizontal="right" vertical="center"/>
    </xf>
    <xf numFmtId="186" fontId="260" fillId="0" borderId="1" xfId="57" applyNumberFormat="1" applyFont="1" applyFill="1" applyBorder="1" applyAlignment="1">
      <alignment vertical="center"/>
    </xf>
    <xf numFmtId="10" fontId="257" fillId="0" borderId="1" xfId="58" applyNumberFormat="1" applyFont="1" applyFill="1" applyBorder="1" applyAlignment="1">
      <alignment horizontal="right" vertical="center"/>
    </xf>
    <xf numFmtId="197" fontId="257" fillId="0" borderId="24" xfId="57" applyFont="1" applyBorder="1" applyAlignment="1">
      <alignment horizontal="left" vertical="center" wrapText="1"/>
    </xf>
    <xf numFmtId="198" fontId="257" fillId="0" borderId="1" xfId="57" applyNumberFormat="1" applyFont="1" applyFill="1" applyBorder="1" applyAlignment="1">
      <alignment horizontal="right" vertical="center"/>
    </xf>
    <xf numFmtId="197" fontId="257" fillId="0" borderId="1" xfId="57" applyFont="1" applyBorder="1" applyAlignment="1">
      <alignment horizontal="center" vertical="center" wrapText="1"/>
    </xf>
    <xf numFmtId="186" fontId="257" fillId="0" borderId="1" xfId="57" applyNumberFormat="1" applyFont="1" applyFill="1" applyBorder="1" applyAlignment="1">
      <alignment vertical="center"/>
    </xf>
    <xf numFmtId="197" fontId="19" fillId="0" borderId="24" xfId="57" applyFont="1" applyBorder="1" applyAlignment="1">
      <alignment horizontal="left" vertical="center" wrapText="1"/>
    </xf>
    <xf numFmtId="181" fontId="257" fillId="0" borderId="1" xfId="58" applyNumberFormat="1" applyFont="1" applyFill="1" applyBorder="1" applyAlignment="1">
      <alignment horizontal="right" vertical="center"/>
    </xf>
    <xf numFmtId="199" fontId="257" fillId="0" borderId="1" xfId="57" applyNumberFormat="1" applyFont="1" applyFill="1" applyBorder="1" applyAlignment="1">
      <alignment horizontal="right" vertical="center"/>
    </xf>
    <xf numFmtId="197" fontId="262" fillId="0" borderId="24" xfId="57" applyFont="1" applyBorder="1" applyAlignment="1">
      <alignment horizontal="left" vertical="center" wrapText="1"/>
    </xf>
    <xf numFmtId="177" fontId="256" fillId="0" borderId="1" xfId="58" applyNumberFormat="1" applyFont="1" applyFill="1" applyBorder="1" applyAlignment="1">
      <alignment horizontal="right" vertical="center"/>
    </xf>
    <xf numFmtId="198" fontId="256" fillId="0" borderId="1" xfId="57" applyNumberFormat="1" applyFont="1" applyFill="1" applyBorder="1" applyAlignment="1">
      <alignment horizontal="right" vertical="center"/>
    </xf>
    <xf numFmtId="186" fontId="256" fillId="0" borderId="1" xfId="57" applyNumberFormat="1" applyFont="1" applyFill="1" applyBorder="1" applyAlignment="1">
      <alignment vertical="center"/>
    </xf>
    <xf numFmtId="197" fontId="257" fillId="0" borderId="24" xfId="57" applyFont="1" applyBorder="1" applyAlignment="1">
      <alignment horizontal="left" vertical="center"/>
    </xf>
    <xf numFmtId="0" fontId="261" fillId="0" borderId="1" xfId="59" applyNumberFormat="1" applyFont="1" applyBorder="1" applyAlignment="1">
      <alignment horizontal="center" vertical="center"/>
    </xf>
    <xf numFmtId="177" fontId="257" fillId="7" borderId="1" xfId="58" applyNumberFormat="1" applyFont="1" applyFill="1" applyBorder="1" applyAlignment="1">
      <alignment horizontal="right" vertical="center"/>
    </xf>
    <xf numFmtId="198" fontId="257" fillId="7" borderId="1" xfId="57" applyNumberFormat="1" applyFont="1" applyFill="1" applyBorder="1" applyAlignment="1">
      <alignment horizontal="right" vertical="center"/>
    </xf>
    <xf numFmtId="10" fontId="257" fillId="0" borderId="1" xfId="58" applyNumberFormat="1" applyFont="1" applyBorder="1" applyAlignment="1">
      <alignment horizontal="right" vertical="center"/>
    </xf>
    <xf numFmtId="0" fontId="261" fillId="0" borderId="1" xfId="59" applyNumberFormat="1" applyFont="1" applyBorder="1" applyAlignment="1">
      <alignment horizontal="center" vertical="center" wrapText="1" shrinkToFit="1"/>
    </xf>
    <xf numFmtId="197" fontId="258" fillId="0" borderId="1" xfId="57" applyFont="1" applyBorder="1" applyAlignment="1">
      <alignment horizontal="center" vertical="center"/>
    </xf>
    <xf numFmtId="198" fontId="256" fillId="0" borderId="1" xfId="57" applyNumberFormat="1" applyFont="1" applyFill="1" applyBorder="1" applyAlignment="1">
      <alignment horizontal="center" vertical="center"/>
    </xf>
    <xf numFmtId="197" fontId="261" fillId="0" borderId="1" xfId="57" applyFont="1" applyBorder="1" applyAlignment="1">
      <alignment horizontal="center" vertical="center"/>
    </xf>
    <xf numFmtId="198" fontId="257" fillId="0" borderId="1" xfId="57" applyNumberFormat="1" applyFont="1" applyBorder="1" applyAlignment="1">
      <alignment horizontal="center" vertical="center"/>
    </xf>
    <xf numFmtId="198" fontId="261" fillId="0" borderId="1" xfId="57" applyNumberFormat="1" applyFont="1" applyFill="1" applyBorder="1" applyAlignment="1">
      <alignment horizontal="right" vertical="center"/>
    </xf>
    <xf numFmtId="186" fontId="261" fillId="0" borderId="1" xfId="57" applyNumberFormat="1" applyFont="1" applyFill="1" applyBorder="1" applyAlignment="1">
      <alignment vertical="center"/>
    </xf>
    <xf numFmtId="10" fontId="261" fillId="0" borderId="1" xfId="58" applyNumberFormat="1" applyFont="1" applyBorder="1" applyAlignment="1">
      <alignment horizontal="right" vertical="center"/>
    </xf>
    <xf numFmtId="189" fontId="257" fillId="0" borderId="23" xfId="57" applyNumberFormat="1" applyFont="1" applyBorder="1" applyAlignment="1">
      <alignment horizontal="center" vertical="center"/>
    </xf>
    <xf numFmtId="198" fontId="261" fillId="0" borderId="1" xfId="57" applyNumberFormat="1" applyFont="1" applyBorder="1" applyAlignment="1">
      <alignment horizontal="center" vertical="center"/>
    </xf>
    <xf numFmtId="179" fontId="261" fillId="7" borderId="1" xfId="60" applyNumberFormat="1" applyFont="1" applyFill="1" applyBorder="1" applyAlignment="1" applyProtection="1">
      <alignment horizontal="center" vertical="center"/>
      <protection hidden="1"/>
    </xf>
    <xf numFmtId="197" fontId="261" fillId="0" borderId="1" xfId="57" applyFont="1" applyFill="1" applyBorder="1" applyAlignment="1">
      <alignment horizontal="center" vertical="center"/>
    </xf>
    <xf numFmtId="198" fontId="261" fillId="0" borderId="1" xfId="57" applyNumberFormat="1" applyFont="1" applyFill="1" applyBorder="1" applyAlignment="1">
      <alignment horizontal="center" vertical="center"/>
    </xf>
    <xf numFmtId="10" fontId="261" fillId="5" borderId="1" xfId="58" applyNumberFormat="1" applyFont="1" applyFill="1" applyBorder="1" applyAlignment="1">
      <alignment horizontal="right" vertical="center"/>
    </xf>
    <xf numFmtId="197" fontId="261" fillId="0" borderId="1" xfId="57" applyNumberFormat="1" applyFont="1" applyFill="1" applyBorder="1" applyAlignment="1">
      <alignment horizontal="right" vertical="center"/>
    </xf>
    <xf numFmtId="10" fontId="256" fillId="0" borderId="24" xfId="57" applyNumberFormat="1" applyFont="1" applyBorder="1" applyAlignment="1">
      <alignment horizontal="left" vertical="center"/>
    </xf>
    <xf numFmtId="197" fontId="256" fillId="0" borderId="0" xfId="57" applyFont="1" applyBorder="1" applyAlignment="1">
      <alignment horizontal="center" vertical="center"/>
    </xf>
    <xf numFmtId="10" fontId="260" fillId="0" borderId="1" xfId="58" applyNumberFormat="1" applyFont="1" applyBorder="1" applyAlignment="1">
      <alignment horizontal="right" vertical="center"/>
    </xf>
    <xf numFmtId="186" fontId="260" fillId="0" borderId="23" xfId="57" applyNumberFormat="1" applyFont="1" applyBorder="1" applyAlignment="1">
      <alignment horizontal="center" vertical="center"/>
    </xf>
    <xf numFmtId="197" fontId="260" fillId="0" borderId="1" xfId="57" applyFont="1" applyBorder="1" applyAlignment="1">
      <alignment horizontal="center" vertical="center"/>
    </xf>
    <xf numFmtId="198" fontId="260" fillId="0" borderId="1" xfId="57" applyNumberFormat="1" applyFont="1" applyBorder="1" applyAlignment="1">
      <alignment horizontal="center" vertical="center"/>
    </xf>
    <xf numFmtId="198" fontId="257" fillId="5" borderId="1" xfId="57" applyNumberFormat="1" applyFont="1" applyFill="1" applyBorder="1" applyAlignment="1">
      <alignment horizontal="center" vertical="center"/>
    </xf>
    <xf numFmtId="197" fontId="257" fillId="0" borderId="1" xfId="57" applyNumberFormat="1" applyFont="1" applyFill="1" applyBorder="1" applyAlignment="1">
      <alignment horizontal="right" vertical="center"/>
    </xf>
    <xf numFmtId="181" fontId="256" fillId="0" borderId="1" xfId="58" applyNumberFormat="1" applyFont="1" applyBorder="1" applyAlignment="1">
      <alignment horizontal="right" vertical="center"/>
    </xf>
    <xf numFmtId="181" fontId="257" fillId="5" borderId="1" xfId="58" applyNumberFormat="1" applyFont="1" applyFill="1" applyBorder="1" applyAlignment="1">
      <alignment horizontal="right" vertical="center"/>
    </xf>
    <xf numFmtId="186" fontId="256" fillId="0" borderId="23" xfId="57" applyNumberFormat="1" applyFont="1" applyBorder="1" applyAlignment="1">
      <alignment horizontal="center" vertical="center"/>
    </xf>
    <xf numFmtId="181" fontId="256" fillId="0" borderId="1" xfId="57" applyNumberFormat="1" applyFont="1" applyBorder="1" applyAlignment="1">
      <alignment horizontal="center" vertical="center"/>
    </xf>
    <xf numFmtId="197" fontId="261" fillId="0" borderId="24" xfId="57" applyFont="1" applyBorder="1" applyAlignment="1">
      <alignment horizontal="left" vertical="center" wrapText="1"/>
    </xf>
    <xf numFmtId="198" fontId="257" fillId="0" borderId="23" xfId="57" applyNumberFormat="1" applyFont="1" applyBorder="1" applyAlignment="1">
      <alignment horizontal="center" vertical="center"/>
    </xf>
    <xf numFmtId="10" fontId="257" fillId="5" borderId="1" xfId="58" applyNumberFormat="1" applyFont="1" applyFill="1" applyBorder="1" applyAlignment="1">
      <alignment horizontal="right" vertical="center"/>
    </xf>
    <xf numFmtId="197" fontId="263" fillId="0" borderId="1" xfId="57" applyFont="1" applyBorder="1" applyAlignment="1">
      <alignment horizontal="center" vertical="center"/>
    </xf>
    <xf numFmtId="198" fontId="257" fillId="0" borderId="1" xfId="58" applyNumberFormat="1" applyFont="1" applyBorder="1" applyAlignment="1">
      <alignment horizontal="right" vertical="center"/>
    </xf>
    <xf numFmtId="177" fontId="257" fillId="0" borderId="1" xfId="58" applyNumberFormat="1" applyFont="1" applyFill="1" applyBorder="1" applyAlignment="1">
      <alignment horizontal="right" vertical="center"/>
    </xf>
    <xf numFmtId="186" fontId="261" fillId="0" borderId="1" xfId="57" applyNumberFormat="1" applyFont="1" applyBorder="1" applyAlignment="1">
      <alignment vertical="center"/>
    </xf>
    <xf numFmtId="197" fontId="256" fillId="0" borderId="25" xfId="57" applyFont="1" applyBorder="1" applyAlignment="1">
      <alignment horizontal="center" vertical="center"/>
    </xf>
    <xf numFmtId="197" fontId="263" fillId="0" borderId="32" xfId="57" applyFont="1" applyBorder="1" applyAlignment="1">
      <alignment horizontal="center" vertical="center"/>
    </xf>
    <xf numFmtId="197" fontId="256" fillId="0" borderId="32" xfId="57" applyFont="1" applyBorder="1" applyAlignment="1">
      <alignment horizontal="center" vertical="center"/>
    </xf>
    <xf numFmtId="198" fontId="256" fillId="0" borderId="32" xfId="57" applyNumberFormat="1" applyFont="1" applyFill="1" applyBorder="1" applyAlignment="1">
      <alignment horizontal="right" vertical="center"/>
    </xf>
    <xf numFmtId="186" fontId="256" fillId="17" borderId="32" xfId="57" applyNumberFormat="1" applyFont="1" applyFill="1" applyBorder="1" applyAlignment="1">
      <alignment vertical="center"/>
    </xf>
    <xf numFmtId="10" fontId="256" fillId="0" borderId="32" xfId="58" applyNumberFormat="1" applyFont="1" applyBorder="1" applyAlignment="1">
      <alignment horizontal="right" vertical="center"/>
    </xf>
    <xf numFmtId="10" fontId="256" fillId="0" borderId="49" xfId="57" applyNumberFormat="1" applyFont="1" applyBorder="1" applyAlignment="1">
      <alignment horizontal="left" vertical="center"/>
    </xf>
    <xf numFmtId="197" fontId="263" fillId="0" borderId="0" xfId="57" applyFont="1" applyBorder="1" applyAlignment="1">
      <alignment horizontal="center" vertical="center"/>
    </xf>
    <xf numFmtId="198" fontId="256" fillId="0" borderId="0" xfId="57" applyNumberFormat="1" applyFont="1" applyFill="1" applyBorder="1" applyAlignment="1">
      <alignment horizontal="right" vertical="center"/>
    </xf>
    <xf numFmtId="186" fontId="256" fillId="0" borderId="0" xfId="57" applyNumberFormat="1" applyFont="1" applyBorder="1" applyAlignment="1">
      <alignment vertical="center"/>
    </xf>
    <xf numFmtId="10" fontId="256" fillId="0" borderId="0" xfId="58" applyNumberFormat="1" applyFont="1" applyBorder="1" applyAlignment="1">
      <alignment horizontal="right" vertical="center"/>
    </xf>
    <xf numFmtId="10" fontId="256" fillId="0" borderId="0" xfId="57" applyNumberFormat="1" applyFont="1" applyBorder="1" applyAlignment="1">
      <alignment horizontal="left" vertical="center"/>
    </xf>
    <xf numFmtId="0" fontId="47" fillId="0" borderId="25"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83" fillId="0" borderId="156" xfId="0" applyFont="1" applyFill="1" applyBorder="1" applyAlignment="1" applyProtection="1">
      <alignment horizontal="center" vertical="top" wrapText="1"/>
      <protection locked="0"/>
    </xf>
    <xf numFmtId="0" fontId="83" fillId="0" borderId="158" xfId="0" applyFont="1" applyFill="1" applyBorder="1" applyAlignment="1" applyProtection="1">
      <alignment horizontal="center" vertical="top" wrapText="1"/>
      <protection locked="0"/>
    </xf>
    <xf numFmtId="0" fontId="83" fillId="0" borderId="157" xfId="0" applyFont="1" applyFill="1" applyBorder="1" applyAlignment="1" applyProtection="1">
      <alignment horizontal="center" vertical="top" wrapText="1"/>
      <protection locked="0"/>
    </xf>
    <xf numFmtId="0" fontId="80" fillId="0" borderId="157" xfId="0" applyFont="1" applyFill="1" applyBorder="1" applyAlignment="1" applyProtection="1">
      <alignment vertical="top" wrapText="1"/>
      <protection locked="0"/>
    </xf>
    <xf numFmtId="0" fontId="153" fillId="20" borderId="5" xfId="65" applyFont="1" applyFill="1" applyBorder="1" applyAlignment="1" applyProtection="1">
      <alignment horizontal="center" vertical="center"/>
      <protection locked="0"/>
    </xf>
    <xf numFmtId="200" fontId="153" fillId="20" borderId="1" xfId="70" quotePrefix="1" applyFont="1" applyFill="1" applyBorder="1" applyAlignment="1" applyProtection="1">
      <alignment horizontal="center" vertical="center"/>
      <protection locked="0"/>
    </xf>
    <xf numFmtId="201" fontId="153" fillId="20" borderId="1" xfId="70" quotePrefix="1" applyNumberFormat="1" applyFont="1" applyFill="1" applyBorder="1" applyAlignment="1" applyProtection="1">
      <alignment horizontal="center" vertical="center"/>
      <protection locked="0"/>
    </xf>
    <xf numFmtId="0" fontId="84" fillId="7" borderId="60" xfId="64" applyFont="1" applyFill="1" applyBorder="1" applyAlignment="1">
      <alignment vertical="center"/>
    </xf>
    <xf numFmtId="0" fontId="57" fillId="7" borderId="60" xfId="64" applyFont="1" applyFill="1" applyBorder="1" applyAlignment="1">
      <alignment vertical="center"/>
    </xf>
    <xf numFmtId="37" fontId="153" fillId="20" borderId="5" xfId="65" applyNumberFormat="1" applyFont="1" applyFill="1" applyBorder="1" applyAlignment="1" applyProtection="1">
      <alignment horizontal="center" vertical="center"/>
      <protection locked="0"/>
    </xf>
    <xf numFmtId="37" fontId="153" fillId="20" borderId="1" xfId="70" quotePrefix="1" applyNumberFormat="1" applyFont="1" applyFill="1" applyBorder="1" applyAlignment="1" applyProtection="1">
      <alignment horizontal="center" vertical="center"/>
      <protection locked="0"/>
    </xf>
    <xf numFmtId="0" fontId="56" fillId="7" borderId="1" xfId="64" applyFont="1" applyFill="1" applyBorder="1" applyAlignment="1">
      <alignment horizontal="center" vertical="center"/>
    </xf>
    <xf numFmtId="176" fontId="56" fillId="7" borderId="1" xfId="67" applyNumberFormat="1" applyFont="1" applyFill="1" applyBorder="1" applyAlignment="1">
      <alignment horizontal="center" vertical="center"/>
    </xf>
    <xf numFmtId="37" fontId="56" fillId="7" borderId="1" xfId="67" applyNumberFormat="1" applyFont="1" applyFill="1" applyBorder="1" applyAlignment="1">
      <alignment horizontal="center" vertical="center"/>
    </xf>
    <xf numFmtId="0" fontId="57" fillId="7" borderId="1" xfId="64" applyFont="1" applyFill="1" applyBorder="1" applyAlignment="1">
      <alignment horizontal="center" vertical="center"/>
    </xf>
    <xf numFmtId="198" fontId="57" fillId="19" borderId="1" xfId="67" applyNumberFormat="1" applyFont="1" applyFill="1" applyBorder="1" applyAlignment="1" applyProtection="1">
      <alignment vertical="center"/>
      <protection locked="0"/>
    </xf>
    <xf numFmtId="198" fontId="56" fillId="7" borderId="1" xfId="67" applyNumberFormat="1" applyFont="1" applyFill="1" applyBorder="1" applyAlignment="1">
      <alignment horizontal="center" vertical="center"/>
    </xf>
    <xf numFmtId="0" fontId="190" fillId="0" borderId="1" xfId="0" applyFont="1" applyBorder="1" applyAlignment="1" applyProtection="1">
      <alignment horizontal="left" vertical="center"/>
      <protection locked="0"/>
    </xf>
    <xf numFmtId="0" fontId="56" fillId="7" borderId="0" xfId="0" applyNumberFormat="1" applyFont="1" applyFill="1" applyAlignment="1">
      <alignment vertical="center"/>
    </xf>
    <xf numFmtId="0" fontId="56" fillId="7" borderId="0" xfId="0" applyNumberFormat="1" applyFont="1" applyFill="1" applyBorder="1" applyAlignment="1">
      <alignment vertical="center"/>
    </xf>
    <xf numFmtId="37" fontId="56" fillId="7" borderId="0" xfId="0" applyNumberFormat="1" applyFont="1" applyFill="1" applyBorder="1" applyAlignment="1">
      <alignment vertical="center"/>
    </xf>
    <xf numFmtId="37" fontId="56" fillId="7" borderId="0" xfId="0" applyNumberFormat="1" applyFont="1" applyFill="1" applyAlignment="1">
      <alignment vertical="center"/>
    </xf>
    <xf numFmtId="0" fontId="145" fillId="7" borderId="1" xfId="0" applyFont="1" applyFill="1" applyBorder="1" applyAlignment="1" applyProtection="1">
      <alignment horizontal="center" vertical="center"/>
      <protection locked="0"/>
    </xf>
    <xf numFmtId="0" fontId="56" fillId="7" borderId="1" xfId="0" applyNumberFormat="1" applyFont="1" applyFill="1" applyBorder="1" applyAlignment="1">
      <alignment vertical="center"/>
    </xf>
    <xf numFmtId="0" fontId="99" fillId="0" borderId="1" xfId="0" applyFont="1" applyBorder="1" applyAlignment="1">
      <alignment horizontal="left" vertical="center" wrapText="1"/>
    </xf>
    <xf numFmtId="0" fontId="99" fillId="0" borderId="9" xfId="0" applyFont="1" applyBorder="1" applyAlignment="1">
      <alignment horizontal="left" vertical="center" wrapText="1"/>
    </xf>
    <xf numFmtId="0" fontId="0" fillId="0" borderId="10" xfId="0" applyBorder="1" applyAlignment="1">
      <alignment horizontal="left" vertical="center" wrapText="1"/>
    </xf>
    <xf numFmtId="0" fontId="0" fillId="0" borderId="24" xfId="0" applyBorder="1" applyAlignment="1">
      <alignment horizontal="left" vertical="center" wrapText="1"/>
    </xf>
    <xf numFmtId="0" fontId="0" fillId="0" borderId="49" xfId="0" applyBorder="1" applyAlignment="1">
      <alignment horizontal="left" vertical="center" wrapText="1"/>
    </xf>
    <xf numFmtId="0" fontId="99" fillId="0" borderId="0" xfId="0" applyFont="1" applyAlignment="1">
      <alignment horizontal="left" vertical="center"/>
    </xf>
    <xf numFmtId="0" fontId="0" fillId="0" borderId="0" xfId="0" applyAlignment="1">
      <alignment horizontal="left" vertical="center"/>
    </xf>
    <xf numFmtId="58" fontId="99" fillId="0" borderId="0" xfId="0" applyNumberFormat="1" applyFont="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0" applyFont="1" applyBorder="1" applyAlignment="1">
      <alignment horizontal="left" vertical="center" wrapText="1"/>
    </xf>
    <xf numFmtId="0" fontId="99" fillId="0" borderId="23" xfId="0" applyFont="1" applyBorder="1" applyAlignment="1">
      <alignment horizontal="left" vertical="center" wrapText="1"/>
    </xf>
    <xf numFmtId="0" fontId="99" fillId="0" borderId="25" xfId="0" applyFont="1" applyBorder="1" applyAlignment="1">
      <alignment horizontal="left" vertical="center" wrapText="1"/>
    </xf>
    <xf numFmtId="0" fontId="99" fillId="0" borderId="32" xfId="0" applyFont="1" applyBorder="1" applyAlignment="1">
      <alignment horizontal="left" vertical="center" wrapText="1"/>
    </xf>
    <xf numFmtId="0" fontId="99" fillId="0" borderId="9" xfId="0" applyFont="1" applyBorder="1" applyAlignment="1">
      <alignment horizontal="left" vertical="center" wrapText="1"/>
    </xf>
    <xf numFmtId="0" fontId="99" fillId="0" borderId="6" xfId="0" applyFont="1" applyBorder="1" applyAlignment="1">
      <alignment horizontal="left"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83" fillId="0" borderId="157" xfId="0" applyFont="1" applyFill="1" applyBorder="1" applyAlignment="1" applyProtection="1">
      <alignment horizontal="center"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97" fontId="259" fillId="18" borderId="6" xfId="57" applyFont="1" applyFill="1" applyBorder="1" applyAlignment="1">
      <alignment horizontal="center" vertical="center"/>
    </xf>
    <xf numFmtId="197" fontId="259" fillId="18" borderId="23" xfId="57" applyFont="1" applyFill="1" applyBorder="1" applyAlignment="1">
      <alignment horizontal="center" vertical="center"/>
    </xf>
    <xf numFmtId="197" fontId="259" fillId="18" borderId="9" xfId="57" applyFont="1" applyFill="1" applyBorder="1" applyAlignment="1">
      <alignment horizontal="center" vertical="center"/>
    </xf>
    <xf numFmtId="197" fontId="259" fillId="18" borderId="1" xfId="57" applyFont="1" applyFill="1" applyBorder="1" applyAlignment="1">
      <alignment horizontal="center" vertical="center"/>
    </xf>
    <xf numFmtId="197" fontId="259" fillId="18" borderId="28" xfId="57" applyFont="1" applyFill="1" applyBorder="1" applyAlignment="1">
      <alignment horizontal="center" vertical="center"/>
    </xf>
    <xf numFmtId="197" fontId="259" fillId="18" borderId="20" xfId="57" applyFont="1" applyFill="1" applyBorder="1" applyAlignment="1">
      <alignment horizontal="center" vertical="center"/>
    </xf>
    <xf numFmtId="197" fontId="259" fillId="18" borderId="30" xfId="57" applyFont="1" applyFill="1" applyBorder="1" applyAlignment="1">
      <alignment horizontal="center" vertical="center"/>
    </xf>
    <xf numFmtId="197" fontId="259" fillId="18" borderId="62" xfId="57" applyFont="1" applyFill="1" applyBorder="1" applyAlignment="1">
      <alignment horizontal="center" vertical="center"/>
    </xf>
    <xf numFmtId="197" fontId="259" fillId="18" borderId="8" xfId="57" applyFont="1" applyFill="1" applyBorder="1" applyAlignment="1">
      <alignment horizontal="center" vertical="center"/>
    </xf>
    <xf numFmtId="14" fontId="153" fillId="20" borderId="1" xfId="62" quotePrefix="1" applyNumberFormat="1" applyFont="1" applyFill="1" applyBorder="1" applyAlignment="1" applyProtection="1">
      <alignment horizontal="center" vertical="center" wrapText="1"/>
      <protection locked="0"/>
    </xf>
    <xf numFmtId="0" fontId="153" fillId="20" borderId="5" xfId="65" applyFont="1" applyFill="1" applyBorder="1" applyAlignment="1" applyProtection="1">
      <alignment horizontal="center" vertical="center"/>
      <protection locked="0"/>
    </xf>
    <xf numFmtId="0" fontId="153" fillId="20" borderId="54" xfId="65" applyFont="1" applyFill="1" applyBorder="1" applyAlignment="1" applyProtection="1">
      <alignment horizontal="center" vertical="center"/>
      <protection locked="0"/>
    </xf>
    <xf numFmtId="0" fontId="153" fillId="20" borderId="3" xfId="65" applyFont="1" applyFill="1" applyBorder="1" applyAlignment="1" applyProtection="1">
      <alignment horizontal="center" vertical="center"/>
      <protection locked="0"/>
    </xf>
    <xf numFmtId="0" fontId="84" fillId="7" borderId="1" xfId="64" applyFont="1" applyFill="1" applyBorder="1" applyAlignment="1">
      <alignment horizontal="center" vertical="center"/>
    </xf>
    <xf numFmtId="0" fontId="57" fillId="7" borderId="1" xfId="64" applyFont="1" applyFill="1" applyBorder="1" applyAlignment="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0"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6" xfId="0" applyFont="1" applyFill="1" applyBorder="1" applyAlignment="1" applyProtection="1">
      <alignment horizontal="center" vertical="center" wrapText="1"/>
      <protection locked="0"/>
    </xf>
    <xf numFmtId="0" fontId="178" fillId="0" borderId="10"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78" fillId="0" borderId="6"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1" fontId="105" fillId="21" borderId="1" xfId="0" applyNumberFormat="1" applyFont="1" applyFill="1" applyBorder="1" applyAlignment="1" applyProtection="1">
      <alignment horizontal="center" vertical="center"/>
      <protection locked="0"/>
    </xf>
  </cellXfs>
  <cellStyles count="71">
    <cellStyle name="Change A&amp;ll" xfId="59"/>
    <cellStyle name="百分比 2" xfId="14"/>
    <cellStyle name="百分比 2 10" xfId="61"/>
    <cellStyle name="百分比 3" xfId="58"/>
    <cellStyle name="百分比 3 2 2" xfId="62"/>
    <cellStyle name="百分比 3 3" xfId="63"/>
    <cellStyle name="常规" xfId="0" builtinId="0"/>
    <cellStyle name="常规 16" xfId="10"/>
    <cellStyle name="常规 2" xfId="1"/>
    <cellStyle name="常规 2 2" xfId="8"/>
    <cellStyle name="常规 2 2 2 2 3" xfId="15"/>
    <cellStyle name="常规 2 3" xfId="64"/>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下发面积指标模版 2" xfId="65"/>
    <cellStyle name="超链接" xfId="17" builtinId="8" hidden="1"/>
    <cellStyle name="超链接" xfId="19" builtinId="8" hidden="1"/>
    <cellStyle name="超链接" xfId="21" builtinId="8" hidden="1"/>
    <cellStyle name="超链接" xfId="23" builtinId="8" hidden="1"/>
    <cellStyle name="超链接" xfId="25" builtinId="8" hidden="1"/>
    <cellStyle name="超链接" xfId="27" builtinId="8" hidden="1"/>
    <cellStyle name="超链接" xfId="29" builtinId="8" hidden="1"/>
    <cellStyle name="超链接" xfId="31" builtinId="8" hidden="1"/>
    <cellStyle name="超链接" xfId="33" builtinId="8" hidden="1"/>
    <cellStyle name="超链接" xfId="35" builtinId="8" hidden="1"/>
    <cellStyle name="超链接" xfId="37" builtinId="8" hidden="1"/>
    <cellStyle name="超链接" xfId="39" builtinId="8" hidden="1"/>
    <cellStyle name="超链接" xfId="41" builtinId="8" hidden="1"/>
    <cellStyle name="超链接" xfId="43" builtinId="8" hidden="1"/>
    <cellStyle name="超链接" xfId="45" builtinId="8" hidden="1"/>
    <cellStyle name="超链接" xfId="47" builtinId="8" hidden="1"/>
    <cellStyle name="超链接" xfId="49" builtinId="8" hidden="1"/>
    <cellStyle name="超链接" xfId="51" builtinId="8" hidden="1"/>
    <cellStyle name="超链接" xfId="53" builtinId="8" hidden="1"/>
    <cellStyle name="超链接" xfId="55" builtinId="8" hidden="1"/>
    <cellStyle name="千位分隔 2" xfId="57"/>
    <cellStyle name="千位分隔 3 3 4 2" xfId="66"/>
    <cellStyle name="千位分隔 3 7" xfId="67"/>
    <cellStyle name="千位分隔 9" xfId="68"/>
    <cellStyle name="千位分隔 9 4" xfId="69"/>
    <cellStyle name="千位分隔[0]_下发面积指标模版 2" xfId="70"/>
    <cellStyle name="千位分隔_浑南长青桥项目经济.." xfId="60"/>
    <cellStyle name="已访问的超链接" xfId="18" builtinId="9" hidden="1"/>
    <cellStyle name="已访问的超链接" xfId="20" builtinId="9" hidden="1"/>
    <cellStyle name="已访问的超链接" xfId="22" builtinId="9" hidden="1"/>
    <cellStyle name="已访问的超链接" xfId="24" builtinId="9" hidden="1"/>
    <cellStyle name="已访问的超链接" xfId="26" builtinId="9" hidden="1"/>
    <cellStyle name="已访问的超链接" xfId="28" builtinId="9" hidden="1"/>
    <cellStyle name="已访问的超链接" xfId="30" builtinId="9" hidden="1"/>
    <cellStyle name="已访问的超链接" xfId="32" builtinId="9" hidden="1"/>
    <cellStyle name="已访问的超链接" xfId="34" builtinId="9" hidden="1"/>
    <cellStyle name="已访问的超链接" xfId="36" builtinId="9" hidden="1"/>
    <cellStyle name="已访问的超链接" xfId="38" builtinId="9" hidden="1"/>
    <cellStyle name="已访问的超链接" xfId="40" builtinId="9" hidden="1"/>
    <cellStyle name="已访问的超链接" xfId="42" builtinId="9" hidden="1"/>
    <cellStyle name="已访问的超链接" xfId="44" builtinId="9" hidden="1"/>
    <cellStyle name="已访问的超链接" xfId="46" builtinId="9" hidden="1"/>
    <cellStyle name="已访问的超链接" xfId="48" builtinId="9" hidden="1"/>
    <cellStyle name="已访问的超链接" xfId="50" builtinId="9" hidden="1"/>
    <cellStyle name="已访问的超链接" xfId="52" builtinId="9" hidden="1"/>
    <cellStyle name="已访问的超链接" xfId="54" builtinId="9" hidden="1"/>
    <cellStyle name="已访问的超链接" xfId="56" builtinId="9" hidden="1"/>
  </cellStyles>
  <dxfs count="25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409575</xdr:colOff>
      <xdr:row>40</xdr:row>
      <xdr:rowOff>57150</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639175" cy="6915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0</xdr:colOff>
      <xdr:row>38</xdr:row>
      <xdr:rowOff>61546</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65766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142875</xdr:colOff>
      <xdr:row>43</xdr:row>
      <xdr:rowOff>9525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257675" cy="7381875"/>
        </a:xfrm>
        <a:prstGeom prst="rect">
          <a:avLst/>
        </a:prstGeom>
      </xdr:spPr>
    </xdr:pic>
    <xdr:clientData/>
  </xdr:twoCellAnchor>
  <xdr:twoCellAnchor editAs="oneCell">
    <xdr:from>
      <xdr:col>7</xdr:col>
      <xdr:colOff>0</xdr:colOff>
      <xdr:row>0</xdr:row>
      <xdr:rowOff>0</xdr:rowOff>
    </xdr:from>
    <xdr:to>
      <xdr:col>13</xdr:col>
      <xdr:colOff>209550</xdr:colOff>
      <xdr:row>48</xdr:row>
      <xdr:rowOff>38100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00600" y="0"/>
          <a:ext cx="4324350" cy="8267700"/>
        </a:xfrm>
        <a:prstGeom prst="rect">
          <a:avLst/>
        </a:prstGeom>
      </xdr:spPr>
    </xdr:pic>
    <xdr:clientData/>
  </xdr:twoCellAnchor>
  <xdr:twoCellAnchor editAs="oneCell">
    <xdr:from>
      <xdr:col>14</xdr:col>
      <xdr:colOff>0</xdr:colOff>
      <xdr:row>0</xdr:row>
      <xdr:rowOff>0</xdr:rowOff>
    </xdr:from>
    <xdr:to>
      <xdr:col>22</xdr:col>
      <xdr:colOff>371475</xdr:colOff>
      <xdr:row>41</xdr:row>
      <xdr:rowOff>142875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601200" y="0"/>
          <a:ext cx="5857875" cy="7172325"/>
        </a:xfrm>
        <a:prstGeom prst="rect">
          <a:avLst/>
        </a:prstGeom>
      </xdr:spPr>
    </xdr:pic>
    <xdr:clientData/>
  </xdr:twoCellAnchor>
  <xdr:twoCellAnchor editAs="oneCell">
    <xdr:from>
      <xdr:col>22</xdr:col>
      <xdr:colOff>607200</xdr:colOff>
      <xdr:row>0</xdr:row>
      <xdr:rowOff>16650</xdr:rowOff>
    </xdr:from>
    <xdr:to>
      <xdr:col>31</xdr:col>
      <xdr:colOff>35700</xdr:colOff>
      <xdr:row>48</xdr:row>
      <xdr:rowOff>121425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694800" y="16650"/>
          <a:ext cx="5600700" cy="8334375"/>
        </a:xfrm>
        <a:prstGeom prst="rect">
          <a:avLst/>
        </a:prstGeom>
      </xdr:spPr>
    </xdr:pic>
    <xdr:clientData/>
  </xdr:twoCellAnchor>
  <xdr:twoCellAnchor editAs="oneCell">
    <xdr:from>
      <xdr:col>22</xdr:col>
      <xdr:colOff>633375</xdr:colOff>
      <xdr:row>48</xdr:row>
      <xdr:rowOff>109500</xdr:rowOff>
    </xdr:from>
    <xdr:to>
      <xdr:col>31</xdr:col>
      <xdr:colOff>261900</xdr:colOff>
      <xdr:row>89</xdr:row>
      <xdr:rowOff>90450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720975" y="8339100"/>
          <a:ext cx="5800725" cy="7010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514350</xdr:colOff>
      <xdr:row>47</xdr:row>
      <xdr:rowOff>66675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314950" cy="8124825"/>
        </a:xfrm>
        <a:prstGeom prst="rect">
          <a:avLst/>
        </a:prstGeom>
      </xdr:spPr>
    </xdr:pic>
    <xdr:clientData/>
  </xdr:twoCellAnchor>
  <xdr:twoCellAnchor editAs="oneCell">
    <xdr:from>
      <xdr:col>8</xdr:col>
      <xdr:colOff>92850</xdr:colOff>
      <xdr:row>0</xdr:row>
      <xdr:rowOff>0</xdr:rowOff>
    </xdr:from>
    <xdr:to>
      <xdr:col>15</xdr:col>
      <xdr:colOff>664350</xdr:colOff>
      <xdr:row>41</xdr:row>
      <xdr:rowOff>57150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79250" y="0"/>
          <a:ext cx="5372100" cy="7086600"/>
        </a:xfrm>
        <a:prstGeom prst="rect">
          <a:avLst/>
        </a:prstGeom>
      </xdr:spPr>
    </xdr:pic>
    <xdr:clientData/>
  </xdr:twoCellAnchor>
  <xdr:twoCellAnchor editAs="oneCell">
    <xdr:from>
      <xdr:col>8</xdr:col>
      <xdr:colOff>90450</xdr:colOff>
      <xdr:row>40</xdr:row>
      <xdr:rowOff>114300</xdr:rowOff>
    </xdr:from>
    <xdr:to>
      <xdr:col>16</xdr:col>
      <xdr:colOff>14250</xdr:colOff>
      <xdr:row>82</xdr:row>
      <xdr:rowOff>152400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576850" y="6972300"/>
          <a:ext cx="5410200" cy="7239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104775</xdr:rowOff>
    </xdr:from>
    <xdr:to>
      <xdr:col>6</xdr:col>
      <xdr:colOff>641149</xdr:colOff>
      <xdr:row>40</xdr:row>
      <xdr:rowOff>66675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33475"/>
          <a:ext cx="6060874" cy="5448300"/>
        </a:xfrm>
        <a:prstGeom prst="rect">
          <a:avLst/>
        </a:prstGeom>
      </xdr:spPr>
    </xdr:pic>
    <xdr:clientData/>
  </xdr:twoCellAnchor>
  <xdr:twoCellAnchor editAs="oneCell">
    <xdr:from>
      <xdr:col>6</xdr:col>
      <xdr:colOff>619125</xdr:colOff>
      <xdr:row>8</xdr:row>
      <xdr:rowOff>57150</xdr:rowOff>
    </xdr:from>
    <xdr:to>
      <xdr:col>14</xdr:col>
      <xdr:colOff>400050</xdr:colOff>
      <xdr:row>56</xdr:row>
      <xdr:rowOff>57150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38850" y="1085850"/>
          <a:ext cx="5295900" cy="8229600"/>
        </a:xfrm>
        <a:prstGeom prst="rect">
          <a:avLst/>
        </a:prstGeom>
      </xdr:spPr>
    </xdr:pic>
    <xdr:clientData/>
  </xdr:twoCellAnchor>
  <xdr:twoCellAnchor editAs="oneCell">
    <xdr:from>
      <xdr:col>14</xdr:col>
      <xdr:colOff>619124</xdr:colOff>
      <xdr:row>7</xdr:row>
      <xdr:rowOff>152401</xdr:rowOff>
    </xdr:from>
    <xdr:to>
      <xdr:col>23</xdr:col>
      <xdr:colOff>476249</xdr:colOff>
      <xdr:row>29</xdr:row>
      <xdr:rowOff>132229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553824" y="1009651"/>
          <a:ext cx="6029325" cy="375172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hyperlink" Target="javascript:top.main.DataEdit('44',21);" TargetMode="Externa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2.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zoomScalePageLayoutView="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广东省深圳市龙华新区民治街道腾龙路与建设路交汇处“金茂府”居住项目房地产抵押价值预评估</v>
      </c>
    </row>
    <row r="3" spans="1:2" s="1595" customFormat="1">
      <c r="A3" s="1593" t="s">
        <v>1217</v>
      </c>
      <c r="B3" s="1594" t="str">
        <f>'预评函-封皮'!B40</f>
        <v>中信信托有限责任公司</v>
      </c>
    </row>
    <row r="4" spans="1:2" s="1595" customFormat="1">
      <c r="A4" s="1593" t="s">
        <v>1218</v>
      </c>
      <c r="B4" s="1594" t="str">
        <f ca="1">'预评函-封皮'!B46</f>
        <v>王鹏（注册号：1120050019)、郑燚（注册号：1120070131)</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受贵公司委托，我公司对广东省深圳市龙华新区民治街道腾龙路与建设路交汇处“金茂府”居住项目房地产抵押价值进行了预评估。</v>
      </c>
    </row>
    <row r="7" spans="1:2" s="1595" customFormat="1">
      <c r="A7" s="1593" t="s">
        <v>1260</v>
      </c>
      <c r="B7" s="1594" t="str">
        <f>'预评函-1'!A7</f>
        <v>估价对象为广东省深圳市龙华新区民治街道腾龙路与建设路交汇处“金茂府”居住项目房地产，为深圳悦茂置业有限公司所有。根据《不动产权证书》[粤（2017）深圳市不动产权第0082279号]，估价对象（分摊）出让国有建设用地使用权面积为24673.39平方米，建筑面积为137390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广东省深圳市龙华新区民治街道腾龙路与建设路交汇处“金茂府”居住项目房地产,属深圳悦茂置业有限公司开发建设的居住项目，该项目尚在开发建设中。根据《不动产权证书》[粤（2017）深圳市不动产权第0082279号]，估价对象（分摊）出让国有建设用地使用权面积为24673.39平方米，规划建筑面积为137390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深圳悦茂置业有限公司拟使用广东省深圳市龙华新区民治街道腾龙路与建设路交汇处“金茂府”居住项目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5" customFormat="1">
      <c r="A12" s="1593" t="s">
        <v>1222</v>
      </c>
      <c r="B12" s="1594" t="str">
        <f>'预评函-1'!A15</f>
        <v>2019年1月17日（评估专业人员实地查勘之日）</v>
      </c>
    </row>
    <row r="13" spans="1:2" s="1595" customFormat="1">
      <c r="A13" s="1593" t="s">
        <v>1223</v>
      </c>
      <c r="B13" s="1594" t="str">
        <f>'预评函-1'!A18</f>
        <v>本次估价的“房地产价值”是指在正常市场情况下，在价值时点2019年1月17日，估价对象规划用途为住宅、商业，土地取得方式为出让，出让国有建设用地使用权剩余土地使用年限为住宅67年、商业37年，假定未设立法定优先受偿款下的房地产市场价值。</v>
      </c>
    </row>
    <row r="14" spans="1:2" s="1595" customFormat="1">
      <c r="A14" s="1593" t="s">
        <v>1224</v>
      </c>
      <c r="B14" s="1594" t="str">
        <f>'预评函-1'!A19</f>
        <v>其中，“出让国有建设用地使用权价值”是指估价对象用途为住宅、商业，实际开发程度为宗地红线外“六通”（即通路、通电、通讯、通上水、通下水、燃气）、红线内场地平整条件下，剩余土地使用年限为住宅67年、商业37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本次评估采用的主估价方法为比较法和收益法。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965598</v>
      </c>
    </row>
    <row r="21" spans="1:2" s="1595" customFormat="1">
      <c r="A21" s="1593" t="s">
        <v>1231</v>
      </c>
      <c r="B21" s="1594">
        <f ca="1">'预评函-2'!D7</f>
        <v>74173</v>
      </c>
    </row>
    <row r="22" spans="1:2" s="1595" customFormat="1">
      <c r="A22" s="1593" t="s">
        <v>1232</v>
      </c>
      <c r="B22" s="1594" t="str">
        <f ca="1">'预评函-2'!D6</f>
        <v>玖拾陆亿伍仟伍佰玖拾捌万元整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965598</v>
      </c>
    </row>
    <row r="31" spans="1:2" s="1595" customFormat="1">
      <c r="A31" s="1593" t="s">
        <v>1270</v>
      </c>
      <c r="B31" s="1594">
        <f ca="1">'预评函-2'!D15</f>
        <v>70282</v>
      </c>
    </row>
    <row r="32" spans="1:2" s="1595" customFormat="1">
      <c r="A32" s="1593" t="s">
        <v>1237</v>
      </c>
      <c r="B32" s="1594" t="str">
        <f ca="1">'预评函-2'!D14</f>
        <v>玖拾陆亿伍仟伍佰玖拾捌万元整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广东省深圳市龙华新区民治街道腾龙路与建设路交汇处“金茂府”居住项目房地产</v>
      </c>
    </row>
    <row r="42" spans="1:2" s="1595" customFormat="1">
      <c r="A42" s="1593" t="s">
        <v>1284</v>
      </c>
      <c r="B42" s="1594" t="str">
        <f>'预评函-3'!B2</f>
        <v>建筑面积</v>
      </c>
    </row>
    <row r="43" spans="1:2" s="1595" customFormat="1">
      <c r="A43" s="1593" t="s">
        <v>1285</v>
      </c>
      <c r="B43" s="1594">
        <f>'预评函-3'!B4</f>
        <v>137390</v>
      </c>
    </row>
    <row r="44" spans="1:2" s="1595" customFormat="1">
      <c r="A44" s="1593" t="s">
        <v>1269</v>
      </c>
      <c r="B44" s="1594" t="str">
        <f>'预评函-3'!C2</f>
        <v>(分摊)土地面积</v>
      </c>
    </row>
    <row r="45" spans="1:2" s="1595" customFormat="1">
      <c r="A45" s="1593" t="s">
        <v>1241</v>
      </c>
      <c r="B45" s="1594">
        <f>'预评函-3'!C4</f>
        <v>24673.39</v>
      </c>
    </row>
    <row r="46" spans="1:2" s="1595" customFormat="1">
      <c r="A46" s="1593" t="s">
        <v>1267</v>
      </c>
      <c r="B46" s="1594" t="str">
        <f>'预评函-3'!D2</f>
        <v>出让国有建设用地使用权价值</v>
      </c>
    </row>
    <row r="47" spans="1:2" s="1595" customFormat="1">
      <c r="A47" s="1593" t="s">
        <v>1242</v>
      </c>
      <c r="B47" s="1594">
        <f ca="1">'预评函-3'!D4</f>
        <v>210500</v>
      </c>
    </row>
    <row r="48" spans="1:2" s="1595" customFormat="1">
      <c r="A48" s="1593" t="s">
        <v>1243</v>
      </c>
      <c r="B48" s="1594">
        <f ca="1">'预评函-3'!E4</f>
        <v>16170</v>
      </c>
    </row>
    <row r="49" spans="1:2" s="1595" customFormat="1">
      <c r="A49" s="1593" t="s">
        <v>1244</v>
      </c>
      <c r="B49" s="1594" t="str">
        <f ca="1">'预评函-3'!D5</f>
        <v>贰拾壹亿零伍佰万元整</v>
      </c>
    </row>
    <row r="50" spans="1:2" s="1595" customFormat="1">
      <c r="A50" s="1593" t="s">
        <v>1268</v>
      </c>
      <c r="B50" s="1594" t="str">
        <f>'预评函-3'!F2</f>
        <v>建筑物价值</v>
      </c>
    </row>
    <row r="51" spans="1:2" s="1595" customFormat="1">
      <c r="A51" s="1593" t="s">
        <v>1245</v>
      </c>
      <c r="B51" s="1594">
        <f ca="1">'预评函-3'!F4</f>
        <v>755098</v>
      </c>
    </row>
    <row r="52" spans="1:2" s="1595" customFormat="1">
      <c r="A52" s="1593" t="s">
        <v>1246</v>
      </c>
      <c r="B52" s="1594">
        <f ca="1">'预评函-3'!G4</f>
        <v>58003</v>
      </c>
    </row>
    <row r="53" spans="1:2" s="1595" customFormat="1">
      <c r="A53" s="1593" t="s">
        <v>1274</v>
      </c>
      <c r="B53" s="1594" t="str">
        <f ca="1">'预评函-3'!F5</f>
        <v>柒拾伍亿伍仟零玖拾捌万元整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不动产权证书》复印件、，截至价值时点，估价对象已设定抵押。上述权属证件中未登记该抵押权的具体情况（债权数额、期限等）。根据《不动产登记证明》[粤（2017）深圳市不动产证明第0149727号；粤（2018）深圳市不动产证明第0052753号]复印件，估价对象已抵押给，权利范围为，权利价值为。</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王鹏</v>
      </c>
    </row>
    <row r="71" spans="1:2">
      <c r="A71" s="1593" t="s">
        <v>1257</v>
      </c>
      <c r="B71" s="1594">
        <f ca="1">'预评函-4'!B4</f>
        <v>1120050019</v>
      </c>
    </row>
    <row r="72" spans="1:2">
      <c r="A72" s="1593" t="s">
        <v>1258</v>
      </c>
      <c r="B72" s="1602" t="str">
        <f>'预评函-4'!A5</f>
        <v>郑燚</v>
      </c>
    </row>
    <row r="73" spans="1:2" s="1589" customFormat="1" ht="15" thickBot="1">
      <c r="A73" s="1596" t="s">
        <v>1259</v>
      </c>
      <c r="B73" s="1597">
        <f ca="1">'预评函-4'!B5</f>
        <v>1120070131</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topLeftCell="D1" workbookViewId="0">
      <selection activeCell="Q25" sqref="Q25"/>
    </sheetView>
  </sheetViews>
  <sheetFormatPr defaultColWidth="9" defaultRowHeight="13.5"/>
  <cols>
    <col min="1" max="1" width="13.5" style="2026" customWidth="1"/>
    <col min="2" max="2" width="23.125" style="1977" customWidth="1"/>
    <col min="3" max="3" width="13" style="2021" customWidth="1"/>
    <col min="4" max="4" width="5.875" style="2018" customWidth="1"/>
    <col min="5" max="5" width="7.125" style="2018" customWidth="1"/>
    <col min="6" max="6" width="10.625" style="2018" customWidth="1"/>
    <col min="7" max="7" width="7.5" style="2018" customWidth="1"/>
    <col min="8" max="8" width="9" style="2021" customWidth="1"/>
    <col min="9" max="9" width="11.625" style="2021" customWidth="1"/>
    <col min="10" max="10" width="9" style="2021" customWidth="1"/>
    <col min="11" max="19" width="9" style="2018" customWidth="1"/>
    <col min="20"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757</v>
      </c>
      <c r="C17" s="2017"/>
    </row>
    <row r="18" spans="1:3">
      <c r="A18" s="2016" t="s">
        <v>1763</v>
      </c>
      <c r="B18" s="2016" t="s">
        <v>3089</v>
      </c>
      <c r="C18" s="2017"/>
    </row>
    <row r="19" spans="1:3">
      <c r="A19" s="2016" t="s">
        <v>1764</v>
      </c>
      <c r="B19" s="2016" t="s">
        <v>3219</v>
      </c>
      <c r="C19" s="2017"/>
    </row>
    <row r="20" spans="1:3">
      <c r="A20" s="2016" t="s">
        <v>1765</v>
      </c>
      <c r="B20" s="2016" t="s">
        <v>3102</v>
      </c>
      <c r="C20" s="2017"/>
    </row>
    <row r="21" spans="1:3">
      <c r="A21" s="2016" t="s">
        <v>1766</v>
      </c>
      <c r="B21" s="2016" t="s">
        <v>3101</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深圳悦茂置业有限公司拟使用广东省深圳市龙华新区民治街道腾龙路与建设路交汇处“金茂府”居住项目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137"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17日，估价对象规划用途为住宅、商业土地取得方式为出让，出让国有建设用地使用权剩余土地使用年限为XX年(多用途剩余年限尾数不同时，可只体现小数点后一位)，假定未设立法定优先受偿款下的房地产市场价值。</v>
      </c>
    </row>
    <row r="54" spans="1:4">
      <c r="A54" s="3137"/>
      <c r="B54" s="2024" t="s">
        <v>861</v>
      </c>
      <c r="C54" s="2021" t="s">
        <v>1277</v>
      </c>
    </row>
    <row r="55" spans="1:4">
      <c r="A55" s="3137"/>
      <c r="B55" s="2024" t="s">
        <v>862</v>
      </c>
      <c r="C55" s="2021" t="s">
        <v>1278</v>
      </c>
    </row>
    <row r="56" spans="1:4">
      <c r="A56" s="3137"/>
      <c r="B56" s="2024" t="s">
        <v>863</v>
      </c>
      <c r="C56" s="2021" t="s">
        <v>1282</v>
      </c>
    </row>
    <row r="57" spans="1:4">
      <c r="A57" s="3137"/>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zoomScale="90" zoomScaleSheetLayoutView="90" workbookViewId="0">
      <selection activeCell="A24" sqref="A24:A30"/>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8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1772</v>
      </c>
      <c r="B1" s="3138" t="str">
        <f>IF(B10="北京市","北京市",C10)&amp;F10&amp;IF('结果表（住宅）'!G1="在建","出让国有建设用地使用权及在建建筑物",IF('结果表（住宅）'!G1="土地","出让国有建设用地使用权",))&amp;B9&amp;"预评估"</f>
        <v>广东省深圳市龙华新区民治街道腾龙路与建设路交汇处“金茂府”居住项目房地产抵押价值预评估</v>
      </c>
      <c r="C1" s="3139"/>
      <c r="D1" s="3139"/>
      <c r="E1" s="3139"/>
      <c r="F1" s="3139"/>
      <c r="G1" s="3139"/>
      <c r="H1" s="3139"/>
      <c r="I1" s="3140"/>
      <c r="J1" s="2028"/>
      <c r="K1" s="2029"/>
      <c r="L1" s="2030"/>
      <c r="M1" s="2030"/>
      <c r="N1" s="2031"/>
      <c r="O1" s="2032"/>
      <c r="P1" s="2031"/>
      <c r="Q1" s="2031"/>
      <c r="R1" s="2031"/>
      <c r="S1" s="2033" t="str">
        <f>IF(B10="北京市","北京市",C10)&amp;F10&amp;IF('结果表（住宅）'!G1="在建","出让国有建设用地使用权及在建建筑物房地产抵押价值",IF('结果表（住宅）'!G1="土地","出让国有建设用地使用权抵押价值",B9))</f>
        <v>广东省深圳市龙华新区民治街道腾龙路与建设路交汇处“金茂府”居住项目房地产抵押价值</v>
      </c>
    </row>
    <row r="2" spans="1:19" ht="18" customHeight="1">
      <c r="A2" s="2028" t="s">
        <v>1773</v>
      </c>
      <c r="B2" s="1041"/>
      <c r="C2" s="2035"/>
      <c r="D2" s="2028"/>
      <c r="E2" s="2036"/>
      <c r="F2" s="2036"/>
      <c r="G2" s="2028"/>
      <c r="H2" s="2028"/>
      <c r="I2" s="2028"/>
      <c r="J2" s="2028"/>
      <c r="K2" s="2029"/>
      <c r="L2" s="2030"/>
      <c r="M2" s="2030"/>
      <c r="N2" s="2031"/>
      <c r="O2" s="2032"/>
      <c r="P2" s="2031"/>
      <c r="Q2" s="2031"/>
      <c r="R2" s="2031"/>
      <c r="S2" s="2033" t="str">
        <f>IF(B10="北京市","北京市",C10)&amp;F10&amp;IF('结果表（住宅）'!G1="在建","出让国有建设用地使用权及在建建筑物房地产",IF('结果表（住宅）'!G1="土地","出让国有建设用地使用权","房地产"))</f>
        <v>广东省深圳市龙华新区民治街道腾龙路与建设路交汇处“金茂府”居住项目房地产</v>
      </c>
    </row>
    <row r="3" spans="1:19" ht="18" customHeight="1">
      <c r="A3" s="2037" t="s">
        <v>1774</v>
      </c>
      <c r="B3" s="2038">
        <v>43482</v>
      </c>
      <c r="C3" s="2039" t="s">
        <v>1775</v>
      </c>
      <c r="D3" s="2038">
        <f>B3</f>
        <v>43482</v>
      </c>
      <c r="E3" s="2028"/>
      <c r="F3" s="2028"/>
      <c r="G3" s="2028"/>
      <c r="H3" s="2028"/>
      <c r="I3" s="2028"/>
      <c r="J3" s="2028"/>
      <c r="K3" s="2029"/>
      <c r="L3" s="2030"/>
      <c r="M3" s="2030"/>
      <c r="N3" s="2031"/>
      <c r="O3" s="2032"/>
      <c r="P3" s="2031"/>
      <c r="Q3" s="2031"/>
      <c r="R3" s="2031"/>
      <c r="S3" s="2033"/>
    </row>
    <row r="4" spans="1:19" ht="18" customHeight="1" thickBot="1">
      <c r="A4" s="2040" t="s">
        <v>1776</v>
      </c>
      <c r="B4" s="2041" t="s">
        <v>3049</v>
      </c>
      <c r="C4" s="1039">
        <f ca="1">SUMIF(注册房地产估价师,B4,估价师及机构信息!B3:B24)</f>
        <v>1120050019</v>
      </c>
      <c r="D4" s="2041" t="s">
        <v>3050</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1777</v>
      </c>
      <c r="B5" s="2047" t="str">
        <f>B6</f>
        <v>中信信托有限责任公司</v>
      </c>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1778</v>
      </c>
      <c r="B6" s="2966" t="s">
        <v>3051</v>
      </c>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50" t="s">
        <v>1779</v>
      </c>
      <c r="B7" s="2054" t="str">
        <f>C11</f>
        <v>深圳悦茂置业有限公司</v>
      </c>
      <c r="C7" s="2051"/>
      <c r="D7" s="2052"/>
      <c r="E7" s="2036"/>
      <c r="F7" s="2044"/>
      <c r="G7" s="2044"/>
      <c r="H7" s="2044"/>
      <c r="I7" s="2044"/>
      <c r="J7" s="2044"/>
      <c r="K7" s="2055"/>
      <c r="L7" s="2030"/>
      <c r="M7" s="2030"/>
      <c r="N7" s="2031"/>
      <c r="O7" s="2032"/>
      <c r="P7" s="2031"/>
      <c r="Q7" s="2031"/>
      <c r="R7" s="2031"/>
    </row>
    <row r="8" spans="1:19" ht="18" customHeight="1">
      <c r="A8" s="2050" t="s">
        <v>1780</v>
      </c>
      <c r="B8" s="2056" t="s">
        <v>3057</v>
      </c>
      <c r="C8" s="2057"/>
      <c r="D8" s="3141" t="s">
        <v>1781</v>
      </c>
      <c r="E8" s="2058" t="s">
        <v>3058</v>
      </c>
      <c r="F8" s="2059"/>
      <c r="G8" s="2028"/>
      <c r="H8" s="2028"/>
      <c r="I8" s="2028"/>
      <c r="J8" s="2044"/>
      <c r="K8" s="2045"/>
      <c r="L8" s="2030"/>
      <c r="M8" s="2030"/>
      <c r="N8" s="2031"/>
      <c r="O8" s="2032"/>
      <c r="P8" s="2031"/>
      <c r="Q8" s="2031"/>
      <c r="R8" s="2031"/>
    </row>
    <row r="9" spans="1:19" ht="18" customHeight="1" thickBot="1">
      <c r="A9" s="2042" t="s">
        <v>1782</v>
      </c>
      <c r="B9" s="2060" t="s">
        <v>3058</v>
      </c>
      <c r="C9" s="2061"/>
      <c r="D9" s="3142"/>
      <c r="E9" s="2060"/>
      <c r="F9" s="2062"/>
      <c r="G9" s="2063"/>
      <c r="H9" s="2063"/>
      <c r="I9" s="2063"/>
      <c r="J9" s="2044"/>
      <c r="K9" s="2055"/>
      <c r="L9" s="2030"/>
      <c r="M9" s="2030"/>
      <c r="N9" s="2031"/>
      <c r="O9" s="2032"/>
      <c r="P9" s="2031"/>
      <c r="Q9" s="2031"/>
      <c r="R9" s="2031"/>
    </row>
    <row r="10" spans="1:19" ht="18" customHeight="1" thickTop="1">
      <c r="A10" s="2064" t="s">
        <v>1783</v>
      </c>
      <c r="B10" s="2065" t="s">
        <v>3053</v>
      </c>
      <c r="C10" s="2968" t="s">
        <v>3055</v>
      </c>
      <c r="D10" s="2049"/>
      <c r="E10" s="2066" t="s">
        <v>1784</v>
      </c>
      <c r="F10" s="2969" t="s">
        <v>3056</v>
      </c>
      <c r="G10" s="2067"/>
      <c r="H10" s="2068"/>
      <c r="I10" s="2049"/>
      <c r="J10" s="2044"/>
      <c r="K10" s="2055"/>
      <c r="L10" s="2030"/>
      <c r="M10" s="2030"/>
      <c r="N10" s="2031"/>
      <c r="O10" s="2032"/>
      <c r="P10" s="2031"/>
      <c r="Q10" s="2031"/>
      <c r="R10" s="2031"/>
    </row>
    <row r="11" spans="1:19" ht="18" customHeight="1">
      <c r="A11" s="2069" t="s">
        <v>1785</v>
      </c>
      <c r="B11" s="2070" t="s">
        <v>3054</v>
      </c>
      <c r="C11" s="2967" t="s">
        <v>3052</v>
      </c>
      <c r="D11" s="2071"/>
      <c r="E11" s="2044"/>
      <c r="F11" s="2044"/>
      <c r="G11" s="2044"/>
      <c r="H11" s="2044"/>
      <c r="I11" s="2044"/>
      <c r="J11" s="2044"/>
      <c r="K11" s="2055"/>
      <c r="L11" s="2030"/>
      <c r="M11" s="2030"/>
      <c r="N11" s="2031"/>
      <c r="O11" s="2032"/>
      <c r="P11" s="2031"/>
      <c r="Q11" s="2031"/>
      <c r="R11" s="2031"/>
    </row>
    <row r="12" spans="1:19" ht="18" customHeight="1">
      <c r="A12" s="2072" t="s">
        <v>1786</v>
      </c>
      <c r="B12" s="2070" t="s">
        <v>3059</v>
      </c>
      <c r="C12" s="2073" t="s">
        <v>1787</v>
      </c>
      <c r="D12" s="2074" t="s">
        <v>1788</v>
      </c>
      <c r="E12" s="2074" t="s">
        <v>1789</v>
      </c>
      <c r="F12" s="2074" t="s">
        <v>1790</v>
      </c>
      <c r="G12" s="2074" t="s">
        <v>1791</v>
      </c>
      <c r="H12" s="2074" t="s">
        <v>1792</v>
      </c>
      <c r="I12" s="2074" t="s">
        <v>1793</v>
      </c>
      <c r="J12" s="2044"/>
      <c r="K12" s="2055"/>
      <c r="L12" s="2030"/>
      <c r="M12" s="2030"/>
      <c r="N12" s="2031"/>
      <c r="O12" s="2032"/>
      <c r="P12" s="2031"/>
      <c r="Q12" s="2031"/>
      <c r="R12" s="2031"/>
    </row>
    <row r="13" spans="1:19" ht="18" customHeight="1">
      <c r="A13" s="2075"/>
      <c r="B13" s="2076"/>
      <c r="C13" s="2077" t="s">
        <v>1794</v>
      </c>
      <c r="D13" s="2078">
        <v>68089</v>
      </c>
      <c r="E13" s="2078">
        <v>57132</v>
      </c>
      <c r="F13" s="2078"/>
      <c r="G13" s="2078"/>
      <c r="H13" s="2078"/>
      <c r="I13" s="1049"/>
      <c r="J13" s="2044"/>
      <c r="K13" s="2055"/>
      <c r="L13" s="2030"/>
      <c r="M13" s="2030"/>
      <c r="N13" s="2031"/>
      <c r="O13" s="2032"/>
      <c r="P13" s="2031"/>
      <c r="Q13" s="2031"/>
      <c r="R13" s="2031"/>
    </row>
    <row r="14" spans="1:19" ht="18" customHeight="1">
      <c r="A14" s="2075"/>
      <c r="B14" s="2076"/>
      <c r="C14" s="2077" t="s">
        <v>1795</v>
      </c>
      <c r="D14" s="1052">
        <v>70</v>
      </c>
      <c r="E14" s="1052">
        <v>40</v>
      </c>
      <c r="F14" s="1052"/>
      <c r="G14" s="1052"/>
      <c r="H14" s="1052"/>
      <c r="I14" s="1052"/>
      <c r="J14" s="2044"/>
      <c r="K14" s="2079"/>
      <c r="L14" s="2030"/>
      <c r="M14" s="2030"/>
      <c r="N14" s="2031"/>
      <c r="O14" s="2032"/>
      <c r="P14" s="2031"/>
      <c r="Q14" s="2031"/>
      <c r="R14" s="2031"/>
    </row>
    <row r="15" spans="1:19" ht="18" customHeight="1">
      <c r="A15" s="2064"/>
      <c r="B15" s="2080"/>
      <c r="C15" s="2077" t="s">
        <v>1796</v>
      </c>
      <c r="D15" s="1051">
        <f>IF(B12="出让",IF(D13="","",ROUNDDOWN(MIN((D13-$D$3)/365,D14),2)),D14)</f>
        <v>67.41</v>
      </c>
      <c r="E15" s="1051">
        <f>IF(B12="出让",IF(E13="","",ROUNDDOWN(MIN((E13-$D$3)/365,E14),2)),E14)</f>
        <v>37.39</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81"/>
      <c r="L15" s="2082"/>
      <c r="M15" s="2082"/>
      <c r="N15" s="2083"/>
      <c r="O15" s="2082"/>
      <c r="P15" s="2083"/>
      <c r="Q15" s="2031"/>
      <c r="R15" s="2031"/>
    </row>
    <row r="16" spans="1:19" ht="30.75" customHeight="1">
      <c r="A16" s="2066" t="s">
        <v>1797</v>
      </c>
      <c r="B16" s="3148" t="s">
        <v>3060</v>
      </c>
      <c r="C16" s="3149"/>
      <c r="D16" s="3150"/>
      <c r="E16" s="2084" t="s">
        <v>1798</v>
      </c>
      <c r="F16" s="3151" t="s">
        <v>3061</v>
      </c>
      <c r="G16" s="3152"/>
      <c r="H16" s="3152"/>
      <c r="I16" s="3153"/>
      <c r="J16" s="2031"/>
      <c r="K16" s="2081"/>
      <c r="L16" s="2082"/>
      <c r="M16" s="2082"/>
      <c r="N16" s="2083"/>
      <c r="O16" s="2082"/>
      <c r="P16" s="2083"/>
      <c r="Q16" s="2031"/>
      <c r="R16" s="2031"/>
    </row>
    <row r="17" spans="1:22" ht="18" customHeight="1">
      <c r="A17" s="2085" t="s">
        <v>1799</v>
      </c>
      <c r="B17" s="2037" t="s">
        <v>1800</v>
      </c>
      <c r="C17" s="1056">
        <f>'数据-汇总表'!E3</f>
        <v>137390</v>
      </c>
      <c r="D17" s="2086" t="s">
        <v>1801</v>
      </c>
      <c r="E17" s="3154" t="s">
        <v>3367</v>
      </c>
      <c r="F17" s="3155"/>
      <c r="G17" s="3155"/>
      <c r="H17" s="3155"/>
      <c r="I17" s="3156"/>
      <c r="J17" s="2031"/>
      <c r="K17" s="2087"/>
      <c r="L17" s="2082"/>
      <c r="M17" s="2082"/>
      <c r="N17" s="2083"/>
      <c r="O17" s="2082"/>
      <c r="P17" s="2083"/>
      <c r="Q17" s="2031"/>
      <c r="R17" s="2031"/>
      <c r="S17" s="2031"/>
      <c r="T17" s="2031"/>
      <c r="U17" s="2031"/>
      <c r="V17" s="2031"/>
    </row>
    <row r="18" spans="1:22" ht="36" customHeight="1" thickBot="1">
      <c r="A18" s="2088" t="s">
        <v>1802</v>
      </c>
      <c r="B18" s="2040" t="s">
        <v>1803</v>
      </c>
      <c r="C18" s="1446">
        <f>'数据-汇总表'!D3</f>
        <v>24673.39</v>
      </c>
      <c r="D18" s="2089" t="s">
        <v>1801</v>
      </c>
      <c r="E18" s="3157" t="s">
        <v>3073</v>
      </c>
      <c r="F18" s="3158"/>
      <c r="G18" s="3158"/>
      <c r="H18" s="3158"/>
      <c r="I18" s="3159"/>
      <c r="J18" s="2031"/>
      <c r="K18" s="2087"/>
      <c r="L18" s="2082"/>
      <c r="M18" s="2082"/>
      <c r="N18" s="2083"/>
      <c r="O18" s="2082"/>
      <c r="P18" s="2083"/>
      <c r="Q18" s="2031"/>
      <c r="R18" s="2031"/>
      <c r="S18" s="2031"/>
      <c r="T18" s="2031"/>
      <c r="U18" s="2031"/>
      <c r="V18" s="2031"/>
    </row>
    <row r="19" spans="1:22" ht="37.5" customHeight="1" thickTop="1" thickBot="1">
      <c r="A19" s="373" t="s">
        <v>1804</v>
      </c>
      <c r="B19" s="352" t="s">
        <v>1805</v>
      </c>
      <c r="C19" s="2090" t="s">
        <v>3062</v>
      </c>
      <c r="D19" s="2091" t="s">
        <v>1806</v>
      </c>
      <c r="E19" s="2092" t="s">
        <v>3085</v>
      </c>
      <c r="F19" s="2093" t="str">
        <f>IF(AND(C19="是",E19="否"),"是否提供他项权证或相关说明","")</f>
        <v>是否提供他项权证或相关说明</v>
      </c>
      <c r="G19" s="2094" t="s">
        <v>3062</v>
      </c>
      <c r="H19" s="2044"/>
      <c r="I19" s="2044"/>
      <c r="J19" s="2044"/>
      <c r="K19" s="2055"/>
      <c r="L19" s="2030"/>
      <c r="M19" s="2030"/>
      <c r="N19" s="2083"/>
      <c r="O19" s="2082"/>
      <c r="P19" s="2083"/>
      <c r="Q19" s="2031"/>
      <c r="R19" s="2031"/>
      <c r="S19" s="2031"/>
      <c r="T19" s="2031"/>
      <c r="U19" s="2031"/>
      <c r="V19" s="2031"/>
    </row>
    <row r="20" spans="1:22" ht="18" customHeight="1">
      <c r="A20" s="2095" t="s">
        <v>1807</v>
      </c>
      <c r="B20" s="3144" t="s">
        <v>1808</v>
      </c>
      <c r="C20" s="3145"/>
      <c r="D20" s="3146" t="s">
        <v>1809</v>
      </c>
      <c r="E20" s="3147"/>
      <c r="F20" s="2096" t="s">
        <v>1810</v>
      </c>
      <c r="G20" s="2044"/>
      <c r="H20" s="2044"/>
      <c r="I20" s="2044"/>
      <c r="J20" s="2044"/>
      <c r="K20" s="3143" t="s">
        <v>1811</v>
      </c>
      <c r="L20" s="748"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30"/>
      <c r="N20" s="2083"/>
      <c r="O20" s="2082"/>
      <c r="P20" s="2083"/>
      <c r="Q20" s="2031"/>
      <c r="R20" s="2031"/>
      <c r="S20" s="2031"/>
      <c r="T20" s="2031"/>
      <c r="U20" s="2031"/>
      <c r="V20" s="2031"/>
    </row>
    <row r="21" spans="1:22" ht="24.75" customHeight="1">
      <c r="A21" s="2095"/>
      <c r="B21" s="2097" t="s">
        <v>3063</v>
      </c>
      <c r="C21" s="2098" t="s">
        <v>3064</v>
      </c>
      <c r="D21" s="2099" t="s">
        <v>3176</v>
      </c>
      <c r="E21" s="2100" t="s">
        <v>3064</v>
      </c>
      <c r="F21" s="2101"/>
      <c r="G21" s="2044"/>
      <c r="H21" s="2044"/>
      <c r="I21" s="2044"/>
      <c r="J21" s="2044"/>
      <c r="K21" s="314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不动产登记证明》[粤（2017）深圳市不动产证明第0149727号；粤（2018）深圳市不动产证明第0052753号]复印件，估价对象已抵押给，权利范围为，权利价值为。</v>
      </c>
      <c r="M21" s="2030"/>
      <c r="N21" s="2083"/>
      <c r="O21" s="2082"/>
      <c r="P21" s="2083"/>
      <c r="Q21" s="2031"/>
      <c r="R21" s="2031"/>
      <c r="S21" s="2031"/>
      <c r="T21" s="2031"/>
      <c r="U21" s="2031"/>
      <c r="V21" s="2031"/>
    </row>
    <row r="22" spans="1:22" ht="24.75" customHeight="1" thickBot="1">
      <c r="A22" s="2095"/>
      <c r="B22" s="2102"/>
      <c r="C22" s="2098"/>
      <c r="D22" s="2028"/>
      <c r="E22" s="2028"/>
      <c r="F22" s="2103"/>
      <c r="G22" s="2044"/>
      <c r="H22" s="2044"/>
      <c r="I22" s="2044"/>
      <c r="J22" s="2044"/>
      <c r="K22" s="3143"/>
      <c r="L22" s="748"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1812</v>
      </c>
      <c r="B23" s="183" t="s">
        <v>1813</v>
      </c>
      <c r="C23" s="2105"/>
      <c r="D23" s="2106" t="s">
        <v>1813</v>
      </c>
      <c r="E23" s="2107"/>
      <c r="F23" s="2103"/>
      <c r="G23" s="2044"/>
      <c r="H23" s="2044"/>
      <c r="I23" s="2044"/>
      <c r="J23" s="2044"/>
      <c r="K23" s="2108"/>
      <c r="L23" s="748"/>
      <c r="M23" s="2030"/>
      <c r="N23" s="2083"/>
      <c r="O23" s="2082"/>
      <c r="P23" s="2083"/>
      <c r="Q23" s="2031"/>
      <c r="R23" s="2031"/>
      <c r="S23" s="2031"/>
      <c r="T23" s="2031"/>
      <c r="U23" s="2031"/>
      <c r="V23" s="2031"/>
    </row>
    <row r="24" spans="1:22" ht="18" customHeight="1">
      <c r="A24" s="2109"/>
      <c r="B24" s="183" t="s">
        <v>1814</v>
      </c>
      <c r="C24" s="2110"/>
      <c r="D24" s="2104" t="s">
        <v>1814</v>
      </c>
      <c r="E24" s="2111"/>
      <c r="F24" s="2103"/>
      <c r="G24" s="2044"/>
      <c r="H24" s="2044"/>
      <c r="I24" s="2044"/>
      <c r="J24" s="2044"/>
      <c r="K24" s="2108"/>
      <c r="L24" s="748"/>
      <c r="M24" s="2030"/>
      <c r="N24" s="2083"/>
      <c r="O24" s="2082"/>
      <c r="P24" s="2083"/>
      <c r="Q24" s="2031"/>
      <c r="R24" s="2031"/>
      <c r="S24" s="2031"/>
      <c r="T24" s="2031"/>
      <c r="U24" s="2031"/>
      <c r="V24" s="2031"/>
    </row>
    <row r="25" spans="1:22" ht="18" customHeight="1">
      <c r="A25" s="2109"/>
      <c r="B25" s="183" t="s">
        <v>1815</v>
      </c>
      <c r="C25" s="2110"/>
      <c r="D25" s="2104" t="s">
        <v>1815</v>
      </c>
      <c r="E25" s="2111"/>
      <c r="F25" s="2103"/>
      <c r="G25" s="2044"/>
      <c r="H25" s="2044"/>
      <c r="I25" s="2044"/>
      <c r="J25" s="2044"/>
      <c r="K25" s="2055"/>
      <c r="L25" s="2030"/>
      <c r="M25" s="2030"/>
      <c r="N25" s="2083"/>
      <c r="O25" s="2082"/>
      <c r="P25" s="2083"/>
      <c r="Q25" s="2031"/>
      <c r="R25" s="2031"/>
      <c r="S25" s="2031"/>
      <c r="T25" s="2031"/>
      <c r="U25" s="2031"/>
      <c r="V25" s="2031"/>
    </row>
    <row r="26" spans="1:22" ht="18" customHeight="1" thickBot="1">
      <c r="A26" s="2112"/>
      <c r="B26" s="2113" t="s">
        <v>1816</v>
      </c>
      <c r="C26" s="2114"/>
      <c r="D26" s="2115" t="s">
        <v>1817</v>
      </c>
      <c r="E26" s="2116"/>
      <c r="F26" s="2117"/>
      <c r="G26" s="2063"/>
      <c r="H26" s="2063"/>
      <c r="I26" s="2063"/>
      <c r="J26" s="2044"/>
      <c r="K26" s="2055"/>
      <c r="L26" s="2030"/>
      <c r="M26" s="2030"/>
      <c r="N26" s="2083"/>
      <c r="O26" s="2082"/>
      <c r="P26" s="2083"/>
      <c r="Q26" s="2031"/>
      <c r="R26" s="2031"/>
      <c r="S26" s="2031"/>
      <c r="T26" s="2031"/>
      <c r="U26" s="2031"/>
      <c r="V26" s="2031"/>
    </row>
    <row r="27" spans="1:22" ht="18" customHeight="1" thickTop="1">
      <c r="A27" s="3161" t="s">
        <v>1818</v>
      </c>
      <c r="B27" s="2064" t="s">
        <v>1819</v>
      </c>
      <c r="C27" s="2118" t="s">
        <v>3065</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161"/>
      <c r="B28" s="2037" t="s">
        <v>1820</v>
      </c>
      <c r="C28" s="2120"/>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161"/>
      <c r="B29" s="2037" t="s">
        <v>1821</v>
      </c>
      <c r="C29" s="2123" t="s">
        <v>3085</v>
      </c>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162"/>
      <c r="B30" s="2037" t="s">
        <v>1822</v>
      </c>
      <c r="C30" s="3163"/>
      <c r="D30" s="3164"/>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165" t="s">
        <v>1823</v>
      </c>
      <c r="B31" s="2125" t="s">
        <v>3066</v>
      </c>
      <c r="C31" s="2126" t="str">
        <f>IF(B31="现房","成新及维护状况正常否",IF(B31="在建","工程状态是否正常",IF(B31="土地","是否闲置","-")))</f>
        <v>工程状态是否正常</v>
      </c>
      <c r="D31" s="2127"/>
      <c r="E31" s="3079" t="s">
        <v>3366</v>
      </c>
      <c r="F31" s="2044"/>
      <c r="G31" s="2044"/>
      <c r="H31" s="2044"/>
      <c r="I31" s="2044"/>
      <c r="J31" s="2044"/>
      <c r="K31" s="2053"/>
      <c r="L31" s="2030"/>
      <c r="M31" s="2030"/>
      <c r="N31" s="2031"/>
      <c r="O31" s="2032"/>
      <c r="P31" s="2031"/>
      <c r="Q31" s="2031"/>
      <c r="R31" s="2031"/>
      <c r="S31" s="2031"/>
      <c r="T31" s="2031"/>
      <c r="U31" s="2031"/>
      <c r="V31" s="2031"/>
    </row>
    <row r="32" spans="1:22" ht="18" customHeight="1">
      <c r="A32" s="3166"/>
      <c r="B32" s="2125"/>
      <c r="C32" s="2126" t="str">
        <f>IF(B32="现房","成新及维护状况是否正常",IF(B32="在建","工程状态是否正常",IF(B32="土地","是否闲置","-")))</f>
        <v>-</v>
      </c>
      <c r="D32" s="2127"/>
      <c r="E32" s="2128"/>
      <c r="F32" s="2044"/>
      <c r="G32" s="2044"/>
      <c r="H32" s="2044"/>
      <c r="I32" s="2044"/>
      <c r="J32" s="2044"/>
      <c r="K32" s="2055"/>
      <c r="L32" s="2030"/>
      <c r="M32" s="2030"/>
      <c r="N32" s="2031"/>
      <c r="O32" s="2032"/>
      <c r="P32" s="2031"/>
      <c r="Q32" s="2031"/>
      <c r="R32" s="2031"/>
      <c r="S32" s="2031"/>
      <c r="T32" s="2031"/>
      <c r="U32" s="2031"/>
      <c r="V32" s="2031"/>
    </row>
    <row r="33" spans="1:22" ht="18" customHeight="1">
      <c r="A33" s="3166"/>
      <c r="B33" s="2129"/>
      <c r="C33" s="2069" t="str">
        <f>IF(B33="现房","成新及维护状况是否正常",IF(B33="在建","工程状态是否正常",IF(B33="土地","是否闲置","-")))</f>
        <v>-</v>
      </c>
      <c r="D33" s="2130"/>
      <c r="E33" s="2131"/>
      <c r="F33" s="2044"/>
      <c r="G33" s="2044"/>
      <c r="H33" s="2044"/>
      <c r="I33" s="2044"/>
      <c r="J33" s="2044"/>
      <c r="K33" s="2055"/>
      <c r="L33" s="2030"/>
      <c r="M33" s="2030"/>
      <c r="N33" s="2031"/>
      <c r="O33" s="2032"/>
      <c r="P33" s="2031"/>
      <c r="Q33" s="2031"/>
      <c r="R33" s="2031"/>
      <c r="S33" s="2031"/>
      <c r="T33" s="2031"/>
      <c r="U33" s="2031"/>
      <c r="V33" s="2031"/>
    </row>
    <row r="34" spans="1:22" ht="18" customHeight="1">
      <c r="A34" s="2037" t="s">
        <v>1824</v>
      </c>
      <c r="B34" s="2132" t="s">
        <v>3067</v>
      </c>
      <c r="C34" s="2132" t="s">
        <v>3068</v>
      </c>
      <c r="D34" s="2132" t="s">
        <v>3069</v>
      </c>
      <c r="E34" s="2132" t="s">
        <v>3070</v>
      </c>
      <c r="F34" s="2132" t="s">
        <v>3071</v>
      </c>
      <c r="G34" s="2132" t="s">
        <v>3072</v>
      </c>
      <c r="H34" s="2132" t="s">
        <v>70</v>
      </c>
      <c r="I34" s="2044"/>
      <c r="J34" s="2044"/>
      <c r="K34" s="1797">
        <f>COUNTIF(B34:H34,"——")</f>
        <v>1</v>
      </c>
      <c r="L34" s="2073" t="s">
        <v>1825</v>
      </c>
      <c r="M34" s="2073" t="s">
        <v>1826</v>
      </c>
      <c r="N34" s="2073" t="s">
        <v>1827</v>
      </c>
      <c r="O34" s="2073" t="s">
        <v>1828</v>
      </c>
      <c r="P34" s="2073" t="s">
        <v>1829</v>
      </c>
      <c r="Q34" s="2073" t="s">
        <v>1830</v>
      </c>
      <c r="R34" s="2073" t="s">
        <v>1831</v>
      </c>
      <c r="S34" s="3160" t="s">
        <v>1832</v>
      </c>
      <c r="T34" s="2133" t="str">
        <f>NUMBERSTRING(7-K34,1)&amp;"通"</f>
        <v>六通</v>
      </c>
      <c r="U34" s="2031"/>
      <c r="V34" s="2031"/>
    </row>
    <row r="35" spans="1:22" ht="18" customHeight="1">
      <c r="A35" s="2134"/>
      <c r="B35" s="3167" t="s">
        <v>1833</v>
      </c>
      <c r="C35" s="3167"/>
      <c r="D35" s="3167"/>
      <c r="E35" s="3167"/>
      <c r="F35" s="2135" t="str">
        <f>C10</f>
        <v>广东省深圳市</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60"/>
      <c r="T35" s="48" t="str">
        <f>IF(T34="一通",L35,IF(T34="二通",M35,IF(T34="三通",N35,IF(T34="四通",O35,IF(T34="五通",P35,IF(T34="六通",Q35,R35))))))</f>
        <v>通路、通电、通讯、通上水、通下水、燃气</v>
      </c>
      <c r="U35" s="2031"/>
      <c r="V35" s="2031"/>
    </row>
    <row r="36" spans="1:22" ht="18" customHeight="1">
      <c r="A36" s="2136"/>
      <c r="B36" s="2135" t="s">
        <v>1834</v>
      </c>
      <c r="C36" s="2135" t="s">
        <v>1835</v>
      </c>
      <c r="D36" s="2135" t="s">
        <v>1836</v>
      </c>
      <c r="E36" s="2135" t="s">
        <v>1837</v>
      </c>
      <c r="F36" s="2137"/>
      <c r="G36" s="2044"/>
      <c r="H36" s="2044"/>
      <c r="I36" s="2044"/>
      <c r="J36" s="2044"/>
      <c r="K36" s="2055"/>
      <c r="L36" s="2030"/>
      <c r="M36" s="2030"/>
      <c r="N36" s="2031"/>
      <c r="O36" s="2032"/>
      <c r="P36" s="2031"/>
      <c r="Q36" s="2031"/>
      <c r="R36" s="2031"/>
      <c r="S36" s="2031"/>
      <c r="T36" s="2031"/>
      <c r="U36" s="2031"/>
      <c r="V36" s="2031"/>
    </row>
    <row r="37" spans="1:22" ht="18" customHeight="1">
      <c r="A37" s="2138" t="s">
        <v>1838</v>
      </c>
      <c r="B37" s="2139"/>
      <c r="C37" s="2139"/>
      <c r="D37" s="2139"/>
      <c r="E37" s="2139"/>
      <c r="F37" s="2137"/>
      <c r="G37" s="2044"/>
      <c r="H37" s="2044"/>
      <c r="I37" s="2044"/>
      <c r="J37" s="2044"/>
      <c r="K37" s="2055"/>
      <c r="L37" s="2030"/>
      <c r="M37" s="2030"/>
      <c r="N37" s="2031"/>
      <c r="O37" s="2032"/>
      <c r="P37" s="2031"/>
      <c r="Q37" s="2031"/>
      <c r="R37" s="2031"/>
      <c r="S37" s="2031"/>
      <c r="T37" s="2031"/>
      <c r="U37" s="2031"/>
      <c r="V37" s="2031"/>
    </row>
    <row r="38" spans="1:22" ht="18" customHeight="1" thickBot="1">
      <c r="A38" s="2140" t="s">
        <v>1839</v>
      </c>
      <c r="B38" s="2141"/>
      <c r="C38" s="2141"/>
      <c r="D38" s="2141"/>
      <c r="E38" s="2141"/>
      <c r="F38" s="2142"/>
      <c r="G38" s="2063"/>
      <c r="H38" s="2063"/>
      <c r="I38" s="2063"/>
      <c r="J38" s="2044"/>
      <c r="K38" s="2055"/>
      <c r="L38" s="2030"/>
      <c r="M38" s="2030"/>
      <c r="N38" s="2031"/>
      <c r="O38" s="2032"/>
      <c r="P38" s="2031"/>
      <c r="Q38" s="2031"/>
      <c r="R38" s="2031"/>
      <c r="S38" s="2031"/>
      <c r="T38" s="2031"/>
      <c r="U38" s="2031"/>
      <c r="V38" s="2031"/>
    </row>
    <row r="39" spans="1:22" s="2147" customFormat="1" ht="18" customHeight="1" thickTop="1" thickBot="1">
      <c r="A39" s="2143" t="s">
        <v>1840</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6"/>
      <c r="L40" s="2082"/>
      <c r="M40" s="2082"/>
      <c r="N40" s="2083"/>
      <c r="O40" s="2082"/>
      <c r="P40" s="2031"/>
      <c r="Q40" s="2031"/>
      <c r="R40" s="2031"/>
      <c r="S40" s="2031"/>
      <c r="T40" s="2031"/>
      <c r="U40" s="2031"/>
      <c r="V40" s="2031"/>
    </row>
    <row r="41" spans="1:22" ht="18" customHeight="1">
      <c r="A41" s="8" t="s">
        <v>1841</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1842</v>
      </c>
      <c r="B42" s="1797" t="s">
        <v>1843</v>
      </c>
      <c r="C42" s="1797" t="s">
        <v>1844</v>
      </c>
      <c r="D42" s="1797" t="s">
        <v>1845</v>
      </c>
      <c r="E42" s="1797" t="s">
        <v>1846</v>
      </c>
      <c r="F42" s="1797" t="s">
        <v>1847</v>
      </c>
      <c r="G42" s="1797" t="s">
        <v>1848</v>
      </c>
      <c r="H42" s="1797" t="s">
        <v>1849</v>
      </c>
      <c r="I42" s="1797" t="s">
        <v>1850</v>
      </c>
      <c r="J42" s="2151" t="s">
        <v>1851</v>
      </c>
      <c r="K42" s="2074" t="s">
        <v>1852</v>
      </c>
      <c r="L42" s="2074" t="s">
        <v>1853</v>
      </c>
      <c r="M42" s="2074" t="s">
        <v>1854</v>
      </c>
      <c r="N42" s="1797" t="s">
        <v>1855</v>
      </c>
      <c r="O42" s="1797" t="s">
        <v>1856</v>
      </c>
      <c r="P42" s="1797" t="s">
        <v>1857</v>
      </c>
      <c r="Q42" s="2073" t="s">
        <v>1858</v>
      </c>
      <c r="R42" s="2073" t="s">
        <v>1859</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AF13" activePane="bottomRight" state="frozen"/>
      <selection activeCell="C50" sqref="C50"/>
      <selection pane="topRight" activeCell="C50" sqref="C50"/>
      <selection pane="bottomLeft" activeCell="C50" sqref="C50"/>
      <selection pane="bottomRight" activeCell="AL14" sqref="AL1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6" width="9.875" style="2158" customWidth="1"/>
    <col min="17" max="17" width="9.375" style="2158" hidden="1" customWidth="1"/>
    <col min="18" max="18" width="9.125" style="2158" hidden="1" customWidth="1"/>
    <col min="19" max="28" width="10.875" style="2158" hidden="1" customWidth="1"/>
    <col min="29" max="29" width="11" style="2158" bestFit="1" customWidth="1"/>
    <col min="30" max="30" width="10" style="2158" bestFit="1" customWidth="1"/>
    <col min="31" max="31" width="9.875" style="2158" customWidth="1"/>
    <col min="32" max="46" width="9.5" style="2158" customWidth="1"/>
    <col min="47" max="47" width="18.125" style="2158" customWidth="1"/>
    <col min="48" max="50" width="9.8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1860</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1861</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1862</v>
      </c>
      <c r="B2" s="11" t="s">
        <v>1863</v>
      </c>
      <c r="C2" s="11" t="s">
        <v>1864</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1865</v>
      </c>
      <c r="AZ2" s="1272" t="s">
        <v>1866</v>
      </c>
      <c r="BA2" s="11" t="s">
        <v>1867</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规证!C26</f>
        <v>35673.14</v>
      </c>
      <c r="B3" s="14">
        <f>IF(C3="否",G5-AT5,G5)</f>
        <v>198640.41999999998</v>
      </c>
      <c r="C3" s="2167" t="s">
        <v>1868</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1869</v>
      </c>
      <c r="B5" s="1805"/>
      <c r="C5" s="1805"/>
      <c r="D5" s="1808"/>
      <c r="E5" s="16" t="s">
        <v>1</v>
      </c>
      <c r="F5" s="16">
        <f>SUM(F13:F587)</f>
        <v>0</v>
      </c>
      <c r="G5" s="16">
        <f>SUM(G13:G587)</f>
        <v>198640.41999999998</v>
      </c>
      <c r="H5" s="16">
        <f t="shared" ref="H5:AT5" si="0">SUM(H13:H656)</f>
        <v>137390</v>
      </c>
      <c r="I5" s="16">
        <f t="shared" si="0"/>
        <v>130182.69</v>
      </c>
      <c r="J5" s="16">
        <f t="shared" si="0"/>
        <v>0</v>
      </c>
      <c r="K5" s="16">
        <f t="shared" si="0"/>
        <v>4829.75</v>
      </c>
      <c r="L5" s="16">
        <f t="shared" si="0"/>
        <v>0</v>
      </c>
      <c r="M5" s="16">
        <f t="shared" si="0"/>
        <v>0</v>
      </c>
      <c r="N5" s="16">
        <f t="shared" si="0"/>
        <v>0</v>
      </c>
      <c r="O5" s="16">
        <f t="shared" si="0"/>
        <v>2377.56</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61250.42</v>
      </c>
      <c r="AD5" s="16">
        <f t="shared" si="0"/>
        <v>0</v>
      </c>
      <c r="AE5" s="16">
        <f t="shared" si="0"/>
        <v>0</v>
      </c>
      <c r="AF5" s="16">
        <f t="shared" si="0"/>
        <v>0</v>
      </c>
      <c r="AG5" s="16">
        <f t="shared" si="0"/>
        <v>0</v>
      </c>
      <c r="AH5" s="16">
        <f t="shared" si="0"/>
        <v>0</v>
      </c>
      <c r="AI5" s="16">
        <f t="shared" si="0"/>
        <v>0</v>
      </c>
      <c r="AJ5" s="16">
        <f t="shared" si="0"/>
        <v>0</v>
      </c>
      <c r="AK5" s="16">
        <f t="shared" si="0"/>
        <v>0</v>
      </c>
      <c r="AL5" s="16">
        <f t="shared" si="0"/>
        <v>13546.6</v>
      </c>
      <c r="AM5" s="16">
        <f t="shared" si="0"/>
        <v>0</v>
      </c>
      <c r="AN5" s="16">
        <f t="shared" si="0"/>
        <v>47703.82</v>
      </c>
      <c r="AO5" s="16">
        <f t="shared" si="0"/>
        <v>0</v>
      </c>
      <c r="AP5" s="16">
        <f t="shared" si="0"/>
        <v>0</v>
      </c>
      <c r="AQ5" s="16">
        <f t="shared" si="0"/>
        <v>0</v>
      </c>
      <c r="AR5" s="16">
        <f t="shared" si="0"/>
        <v>0</v>
      </c>
      <c r="AS5" s="16">
        <f t="shared" si="0"/>
        <v>0</v>
      </c>
      <c r="AT5" s="16">
        <f t="shared" si="0"/>
        <v>0</v>
      </c>
      <c r="AU5" s="1804"/>
      <c r="AV5" s="15" t="s">
        <v>1869</v>
      </c>
      <c r="AW5" s="1805"/>
      <c r="AX5" s="1805"/>
      <c r="AY5" s="17" t="s">
        <v>3</v>
      </c>
      <c r="AZ5" s="18">
        <f t="shared" ref="AZ5:BT5" si="1">SUM(AZ13:AZ656)</f>
        <v>137390</v>
      </c>
      <c r="BA5" s="18">
        <f t="shared" si="1"/>
        <v>137390</v>
      </c>
      <c r="BB5" s="18">
        <f t="shared" si="1"/>
        <v>130182.69</v>
      </c>
      <c r="BC5" s="18">
        <f t="shared" si="1"/>
        <v>4829.75</v>
      </c>
      <c r="BD5" s="18">
        <f t="shared" si="1"/>
        <v>0</v>
      </c>
      <c r="BE5" s="18">
        <f t="shared" si="1"/>
        <v>2377.56</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1870</v>
      </c>
      <c r="B6" s="2173"/>
      <c r="C6" s="2173"/>
      <c r="D6" s="2174"/>
      <c r="E6" s="16">
        <f>H6+AC6+AT6</f>
        <v>35673.15</v>
      </c>
      <c r="F6" s="16" t="s">
        <v>1</v>
      </c>
      <c r="G6" s="16" t="s">
        <v>2</v>
      </c>
      <c r="H6" s="20">
        <f>SUMIF(I$12:AB$12,"总值",I6:AB6)</f>
        <v>24673.4</v>
      </c>
      <c r="I6" s="16">
        <f t="shared" ref="I6:AB6" si="2">ROUND($A$3*I5/$B$3,2)</f>
        <v>23379.06</v>
      </c>
      <c r="J6" s="16">
        <f t="shared" si="2"/>
        <v>0</v>
      </c>
      <c r="K6" s="16">
        <f t="shared" si="2"/>
        <v>867.36</v>
      </c>
      <c r="L6" s="16">
        <f t="shared" si="2"/>
        <v>0</v>
      </c>
      <c r="M6" s="16">
        <f t="shared" si="2"/>
        <v>0</v>
      </c>
      <c r="N6" s="16">
        <f t="shared" si="2"/>
        <v>0</v>
      </c>
      <c r="O6" s="16">
        <f t="shared" si="2"/>
        <v>426.98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10999.75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2432.79</v>
      </c>
      <c r="AM6" s="16">
        <f t="shared" si="3"/>
        <v>0</v>
      </c>
      <c r="AN6" s="16">
        <f t="shared" si="3"/>
        <v>8566.9599999999991</v>
      </c>
      <c r="AO6" s="16">
        <f t="shared" si="3"/>
        <v>0</v>
      </c>
      <c r="AP6" s="16">
        <f t="shared" si="3"/>
        <v>0</v>
      </c>
      <c r="AQ6" s="16">
        <f t="shared" si="3"/>
        <v>0</v>
      </c>
      <c r="AR6" s="16">
        <f t="shared" si="3"/>
        <v>0</v>
      </c>
      <c r="AS6" s="16">
        <f t="shared" si="3"/>
        <v>0</v>
      </c>
      <c r="AT6" s="20">
        <f>IF(C3="是",ROUND($A$3*AT5/$B$3,2),0)</f>
        <v>0</v>
      </c>
      <c r="AU6" s="2175"/>
      <c r="AV6" s="15" t="s">
        <v>1870</v>
      </c>
      <c r="AW6" s="2173"/>
      <c r="AX6" s="2173"/>
      <c r="AY6" s="21">
        <f>IF(AY3&gt;0,AY3,ROUND($A$3*AZ5/$B$3,2))</f>
        <v>24673.39</v>
      </c>
      <c r="AZ6" s="16" t="s">
        <v>3</v>
      </c>
      <c r="BA6" s="16">
        <f>ROUND($AY$6*BA5/$AZ$5,2)</f>
        <v>24673.39</v>
      </c>
      <c r="BB6" s="16">
        <f>ROUND($AY$6*BB5/$AZ$5,2)</f>
        <v>23379.05</v>
      </c>
      <c r="BC6" s="16">
        <f t="shared" ref="BC6:BH6" si="4">ROUND($AY$6*BC5/$AZ$5,2)</f>
        <v>867.36</v>
      </c>
      <c r="BD6" s="16">
        <f t="shared" si="4"/>
        <v>0</v>
      </c>
      <c r="BE6" s="16">
        <f t="shared" si="4"/>
        <v>426.98</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1871</v>
      </c>
      <c r="B7" s="2108" t="s">
        <v>1872</v>
      </c>
      <c r="C7" s="2108" t="s">
        <v>1873</v>
      </c>
      <c r="D7" s="2108" t="s">
        <v>1874</v>
      </c>
      <c r="E7" s="2108" t="s">
        <v>1875</v>
      </c>
      <c r="F7" s="2108" t="s">
        <v>1876</v>
      </c>
      <c r="G7" s="2177" t="s">
        <v>1877</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1878</v>
      </c>
      <c r="AV7" s="23" t="s">
        <v>1879</v>
      </c>
      <c r="AW7" s="2165" t="s">
        <v>1880</v>
      </c>
      <c r="AX7" s="23" t="s">
        <v>1873</v>
      </c>
      <c r="AY7" s="1805" t="s">
        <v>1881</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1882</v>
      </c>
      <c r="H8" s="2183" t="s">
        <v>1883</v>
      </c>
      <c r="I8" s="2184"/>
      <c r="J8" s="1820"/>
      <c r="K8" s="1820"/>
      <c r="L8" s="1820"/>
      <c r="M8" s="1820"/>
      <c r="N8" s="1820"/>
      <c r="O8" s="1820"/>
      <c r="P8" s="1820"/>
      <c r="Q8" s="1820"/>
      <c r="R8" s="1820"/>
      <c r="S8" s="1820"/>
      <c r="T8" s="1820"/>
      <c r="U8" s="1820"/>
      <c r="V8" s="2185"/>
      <c r="W8" s="1820"/>
      <c r="X8" s="1820"/>
      <c r="Y8" s="1820"/>
      <c r="Z8" s="1820"/>
      <c r="AA8" s="2185"/>
      <c r="AB8" s="2186"/>
      <c r="AC8" s="983" t="s">
        <v>1884</v>
      </c>
      <c r="AD8" s="2187"/>
      <c r="AE8" s="2179"/>
      <c r="AF8" s="1820"/>
      <c r="AG8" s="1820"/>
      <c r="AH8" s="1820"/>
      <c r="AI8" s="1820"/>
      <c r="AJ8" s="1820"/>
      <c r="AK8" s="1820"/>
      <c r="AL8" s="1820"/>
      <c r="AM8" s="1820"/>
      <c r="AN8" s="1820"/>
      <c r="AO8" s="1820"/>
      <c r="AP8" s="1820"/>
      <c r="AQ8" s="1820"/>
      <c r="AR8" s="1820"/>
      <c r="AS8" s="1820"/>
      <c r="AT8" s="1294" t="s">
        <v>1885</v>
      </c>
      <c r="AU8" s="2181" t="s">
        <v>1886</v>
      </c>
      <c r="AV8" s="1294"/>
      <c r="AW8" s="2164"/>
      <c r="AX8" s="1294"/>
      <c r="AY8" s="2165" t="s">
        <v>1887</v>
      </c>
      <c r="AZ8" s="1819" t="s">
        <v>1888</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4"/>
      <c r="H9" s="2189" t="s">
        <v>1889</v>
      </c>
      <c r="I9" s="2190" t="s">
        <v>3074</v>
      </c>
      <c r="J9" s="983"/>
      <c r="K9" s="2190" t="s">
        <v>3074</v>
      </c>
      <c r="L9" s="983"/>
      <c r="M9" s="2190" t="s">
        <v>3074</v>
      </c>
      <c r="N9" s="983"/>
      <c r="O9" s="2190" t="s">
        <v>3074</v>
      </c>
      <c r="P9" s="983"/>
      <c r="Q9" s="2190"/>
      <c r="R9" s="983"/>
      <c r="S9" s="2190"/>
      <c r="T9" s="983"/>
      <c r="U9" s="2190"/>
      <c r="V9" s="983"/>
      <c r="W9" s="2190"/>
      <c r="X9" s="2191"/>
      <c r="Y9" s="2190"/>
      <c r="Z9" s="983"/>
      <c r="AA9" s="2190"/>
      <c r="AB9" s="983"/>
      <c r="AC9" s="2182" t="s">
        <v>1889</v>
      </c>
      <c r="AD9" s="15" t="s">
        <v>1890</v>
      </c>
      <c r="AE9" s="1300"/>
      <c r="AF9" s="15" t="s">
        <v>1891</v>
      </c>
      <c r="AG9" s="1300"/>
      <c r="AH9" s="15" t="s">
        <v>1890</v>
      </c>
      <c r="AI9" s="1300"/>
      <c r="AJ9" s="15" t="s">
        <v>1891</v>
      </c>
      <c r="AK9" s="1300"/>
      <c r="AL9" s="15" t="s">
        <v>1890</v>
      </c>
      <c r="AM9" s="1300"/>
      <c r="AN9" s="15" t="s">
        <v>1891</v>
      </c>
      <c r="AO9" s="1300"/>
      <c r="AP9" s="15" t="s">
        <v>1890</v>
      </c>
      <c r="AQ9" s="1300"/>
      <c r="AR9" s="15" t="s">
        <v>1891</v>
      </c>
      <c r="AS9" s="2192"/>
      <c r="AT9" s="2181"/>
      <c r="AU9" s="2181" t="s">
        <v>1892</v>
      </c>
      <c r="AV9" s="1294"/>
      <c r="AW9" s="2164"/>
      <c r="AX9" s="1294"/>
      <c r="AY9" s="28"/>
      <c r="AZ9" s="28" t="s">
        <v>1882</v>
      </c>
      <c r="BA9" s="2193" t="s">
        <v>1893</v>
      </c>
      <c r="BB9" s="2194"/>
      <c r="BC9" s="1340"/>
      <c r="BD9" s="1340"/>
      <c r="BE9" s="1340"/>
      <c r="BF9" s="1340"/>
      <c r="BG9" s="1340"/>
      <c r="BH9" s="1340"/>
      <c r="BI9" s="1340"/>
      <c r="BJ9" s="1340"/>
      <c r="BK9" s="2195"/>
      <c r="BL9" s="15" t="s">
        <v>1894</v>
      </c>
      <c r="BM9" s="1820"/>
      <c r="BN9" s="2184"/>
      <c r="BO9" s="1820"/>
      <c r="BP9" s="1820"/>
      <c r="BQ9" s="1820"/>
      <c r="BR9" s="1820"/>
      <c r="BS9" s="1820"/>
      <c r="BT9" s="26"/>
    </row>
    <row r="10" spans="1:72" s="2188" customFormat="1" ht="12.75">
      <c r="A10" s="2181"/>
      <c r="B10" s="2181"/>
      <c r="C10" s="2181"/>
      <c r="D10" s="2181"/>
      <c r="E10" s="2181"/>
      <c r="F10" s="2181"/>
      <c r="G10" s="1294"/>
      <c r="H10" s="28"/>
      <c r="I10" s="2190" t="s">
        <v>3075</v>
      </c>
      <c r="J10" s="983"/>
      <c r="K10" s="2196" t="s">
        <v>1373</v>
      </c>
      <c r="L10" s="983"/>
      <c r="M10" s="2196" t="s">
        <v>1373</v>
      </c>
      <c r="N10" s="983"/>
      <c r="O10" s="2196" t="s">
        <v>1373</v>
      </c>
      <c r="P10" s="983"/>
      <c r="Q10" s="2196"/>
      <c r="R10" s="983"/>
      <c r="S10" s="2196"/>
      <c r="T10" s="983"/>
      <c r="U10" s="2196"/>
      <c r="V10" s="983"/>
      <c r="W10" s="2196"/>
      <c r="X10" s="983"/>
      <c r="Y10" s="2196"/>
      <c r="Z10" s="983"/>
      <c r="AA10" s="2196"/>
      <c r="AB10" s="983"/>
      <c r="AC10" s="1294"/>
      <c r="AD10" s="15" t="s">
        <v>1895</v>
      </c>
      <c r="AE10" s="2197"/>
      <c r="AF10" s="15" t="s">
        <v>1895</v>
      </c>
      <c r="AG10" s="2197"/>
      <c r="AH10" s="15" t="s">
        <v>1896</v>
      </c>
      <c r="AI10" s="2197"/>
      <c r="AJ10" s="15" t="s">
        <v>1896</v>
      </c>
      <c r="AK10" s="2197"/>
      <c r="AL10" s="15" t="s">
        <v>1897</v>
      </c>
      <c r="AM10" s="1300"/>
      <c r="AN10" s="15" t="s">
        <v>1897</v>
      </c>
      <c r="AO10" s="1300"/>
      <c r="AP10" s="15" t="s">
        <v>1898</v>
      </c>
      <c r="AQ10" s="1300"/>
      <c r="AR10" s="15" t="s">
        <v>1898</v>
      </c>
      <c r="AS10" s="1300"/>
      <c r="AT10" s="2181"/>
      <c r="AU10" s="2181"/>
      <c r="AV10" s="1294"/>
      <c r="AW10" s="2164"/>
      <c r="AX10" s="1294"/>
      <c r="AY10" s="28"/>
      <c r="AZ10" s="28"/>
      <c r="BA10" s="2198" t="s">
        <v>1889</v>
      </c>
      <c r="BB10" s="2199" t="str">
        <f>I9</f>
        <v>地上</v>
      </c>
      <c r="BC10" s="29" t="str">
        <f>K9</f>
        <v>地上</v>
      </c>
      <c r="BD10" s="29" t="str">
        <f>M9</f>
        <v>地上</v>
      </c>
      <c r="BE10" s="29" t="str">
        <f>O9</f>
        <v>地上</v>
      </c>
      <c r="BF10" s="29">
        <f>Q9</f>
        <v>0</v>
      </c>
      <c r="BG10" s="29">
        <f>S9</f>
        <v>0</v>
      </c>
      <c r="BH10" s="29">
        <f>U9</f>
        <v>0</v>
      </c>
      <c r="BI10" s="29">
        <f>W9</f>
        <v>0</v>
      </c>
      <c r="BJ10" s="29">
        <f>Y9</f>
        <v>0</v>
      </c>
      <c r="BK10" s="29">
        <f>AA9</f>
        <v>0</v>
      </c>
      <c r="BL10" s="25" t="s">
        <v>1889</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4"/>
      <c r="H11" s="2198"/>
      <c r="I11" s="2201"/>
      <c r="J11" s="2202"/>
      <c r="K11" s="2201"/>
      <c r="L11" s="2202"/>
      <c r="M11" s="2201" t="s">
        <v>3076</v>
      </c>
      <c r="N11" s="2202"/>
      <c r="O11" s="2201" t="s">
        <v>3077</v>
      </c>
      <c r="P11" s="2202"/>
      <c r="Q11" s="2201"/>
      <c r="R11" s="2202"/>
      <c r="S11" s="2201"/>
      <c r="T11" s="2202"/>
      <c r="U11" s="2201"/>
      <c r="V11" s="2202"/>
      <c r="W11" s="2201"/>
      <c r="X11" s="2202"/>
      <c r="Y11" s="2201"/>
      <c r="Z11" s="2202"/>
      <c r="AA11" s="2201"/>
      <c r="AB11" s="2202"/>
      <c r="AC11" s="1294"/>
      <c r="AD11" s="2203" t="s">
        <v>1899</v>
      </c>
      <c r="AE11" s="1821"/>
      <c r="AF11" s="2203" t="s">
        <v>1899</v>
      </c>
      <c r="AG11" s="1821"/>
      <c r="AH11" s="2203" t="s">
        <v>1900</v>
      </c>
      <c r="AI11" s="2204"/>
      <c r="AJ11" s="2203" t="s">
        <v>1900</v>
      </c>
      <c r="AK11" s="1821"/>
      <c r="AL11" s="1819"/>
      <c r="AM11" s="1821"/>
      <c r="AN11" s="1819"/>
      <c r="AO11" s="1821"/>
      <c r="AP11" s="1819"/>
      <c r="AQ11" s="1821"/>
      <c r="AR11" s="1819"/>
      <c r="AS11" s="1821"/>
      <c r="AT11" s="2164"/>
      <c r="AU11" s="2181"/>
      <c r="AV11" s="1294"/>
      <c r="AW11" s="2164"/>
      <c r="AX11" s="1294"/>
      <c r="AY11" s="28"/>
      <c r="AZ11" s="28"/>
      <c r="BA11" s="28"/>
      <c r="BB11" s="2186" t="str">
        <f>I10</f>
        <v>住宅</v>
      </c>
      <c r="BC11" s="2186" t="str">
        <f>K10</f>
        <v>商业</v>
      </c>
      <c r="BD11" s="2186" t="str">
        <f>M10</f>
        <v>商业</v>
      </c>
      <c r="BE11" s="2186" t="str">
        <f>O10</f>
        <v>商业</v>
      </c>
      <c r="BF11" s="2186">
        <f>Q10</f>
        <v>0</v>
      </c>
      <c r="BG11" s="2186">
        <f>S10</f>
        <v>0</v>
      </c>
      <c r="BH11" s="2186">
        <f>U10</f>
        <v>0</v>
      </c>
      <c r="BI11" s="2186">
        <f>W10</f>
        <v>0</v>
      </c>
      <c r="BJ11" s="2186">
        <f>Y10</f>
        <v>0</v>
      </c>
      <c r="BK11" s="2186">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4" t="s">
        <v>1902</v>
      </c>
      <c r="W12" s="11" t="s">
        <v>1901</v>
      </c>
      <c r="X12" s="11" t="s">
        <v>1902</v>
      </c>
      <c r="Y12" s="11" t="s">
        <v>1901</v>
      </c>
      <c r="Z12" s="11" t="s">
        <v>1902</v>
      </c>
      <c r="AA12" s="11" t="s">
        <v>1901</v>
      </c>
      <c r="AB12" s="11" t="s">
        <v>1902</v>
      </c>
      <c r="AC12" s="2208"/>
      <c r="AD12" s="1808"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6" t="s">
        <v>1902</v>
      </c>
      <c r="AT12" s="2209"/>
      <c r="AU12" s="2206"/>
      <c r="AV12" s="31"/>
      <c r="AW12" s="2165"/>
      <c r="AX12" s="31"/>
      <c r="AY12" s="2210"/>
      <c r="AZ12" s="28"/>
      <c r="BA12" s="2198"/>
      <c r="BB12" s="24">
        <f>I11</f>
        <v>0</v>
      </c>
      <c r="BC12" s="2211">
        <f>K11</f>
        <v>0</v>
      </c>
      <c r="BD12" s="2211" t="str">
        <f>M11</f>
        <v>独立商业</v>
      </c>
      <c r="BE12" s="2186" t="str">
        <f>O11</f>
        <v>公寓</v>
      </c>
      <c r="BF12" s="2186">
        <f>Q11</f>
        <v>0</v>
      </c>
      <c r="BG12" s="2186">
        <f>S11</f>
        <v>0</v>
      </c>
      <c r="BH12" s="2186">
        <f>U11</f>
        <v>0</v>
      </c>
      <c r="BI12" s="2186">
        <f>W11</f>
        <v>0</v>
      </c>
      <c r="BJ12" s="2186">
        <f>Y11</f>
        <v>0</v>
      </c>
      <c r="BK12" s="2186">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12.75">
      <c r="A13" s="1274"/>
      <c r="B13" s="1274"/>
      <c r="C13" s="1274"/>
      <c r="D13" s="2212" t="s">
        <v>3062</v>
      </c>
      <c r="E13" s="16">
        <f>IF($C$3="是",ROUND($A$3*G13/$B$3,2),ROUND($A$3*(G13-AT13)/$B$3,2))</f>
        <v>24673.39</v>
      </c>
      <c r="F13" s="32"/>
      <c r="G13" s="33">
        <f>H13+AC13+AT13</f>
        <v>137390</v>
      </c>
      <c r="H13" s="20">
        <f>SUMIF(I$12:AB$12,"总值",I13:AB13)</f>
        <v>137390</v>
      </c>
      <c r="I13" s="2213">
        <f>规证!E2</f>
        <v>130182.69</v>
      </c>
      <c r="J13" s="2213"/>
      <c r="K13" s="2213">
        <f>规证!H3</f>
        <v>4829.75</v>
      </c>
      <c r="L13" s="2213"/>
      <c r="M13" s="2213"/>
      <c r="N13" s="2213"/>
      <c r="O13" s="2213">
        <f>规证!J3</f>
        <v>2377.56</v>
      </c>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8">
        <f>ROUND($AY$6*AZ13/$AZ$5,2)</f>
        <v>24673.39</v>
      </c>
      <c r="AZ13" s="16">
        <f>BA13+BL13</f>
        <v>137390</v>
      </c>
      <c r="BA13" s="16">
        <f>SUM(BB13:BK13)</f>
        <v>137390</v>
      </c>
      <c r="BB13" s="16">
        <f>IF($D13="是",I13-J13,0)</f>
        <v>130182.69</v>
      </c>
      <c r="BC13" s="16">
        <f>IF($D13="是",K13-L13,0)</f>
        <v>4829.75</v>
      </c>
      <c r="BD13" s="16">
        <f>IF($D13="是",M13-N13,0)</f>
        <v>0</v>
      </c>
      <c r="BE13" s="16">
        <f>IF($D13="是",O13-P13,0)</f>
        <v>2377.56</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4"/>
      <c r="B14" s="1274"/>
      <c r="C14" s="2152"/>
      <c r="D14" s="2212" t="s">
        <v>3085</v>
      </c>
      <c r="E14" s="16">
        <f>IF($C$3="是",ROUND($A$3*G14/$B$3,2),ROUND($A$3*(G14-AT14)/$B$3,2))</f>
        <v>10999.75</v>
      </c>
      <c r="F14" s="32"/>
      <c r="G14" s="33">
        <f>H14+AC14+AT14</f>
        <v>61250.42</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61250.42</v>
      </c>
      <c r="AD14" s="2214"/>
      <c r="AE14" s="2214"/>
      <c r="AF14" s="2214"/>
      <c r="AG14" s="2214"/>
      <c r="AH14" s="2214"/>
      <c r="AI14" s="2214"/>
      <c r="AJ14" s="2214"/>
      <c r="AK14" s="2214"/>
      <c r="AL14" s="2214">
        <f>规证!E17</f>
        <v>13546.6</v>
      </c>
      <c r="AM14" s="2214"/>
      <c r="AN14" s="2214">
        <f>规证!E23</f>
        <v>47703.82</v>
      </c>
      <c r="AO14" s="2214"/>
      <c r="AP14" s="2214"/>
      <c r="AQ14" s="2214"/>
      <c r="AR14" s="2214"/>
      <c r="AS14" s="2214"/>
      <c r="AT14" s="2215"/>
      <c r="AU14" s="2216"/>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4"/>
      <c r="B15" s="1274"/>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4"/>
      <c r="B16" s="1274"/>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4"/>
      <c r="B17" s="1274"/>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168" t="s">
        <v>0</v>
      </c>
      <c r="B1" s="3168" t="s">
        <v>4</v>
      </c>
      <c r="C1" s="3168" t="s">
        <v>5</v>
      </c>
      <c r="D1" s="3169" t="s">
        <v>53</v>
      </c>
      <c r="E1" s="3169" t="s">
        <v>54</v>
      </c>
      <c r="F1" s="3169"/>
      <c r="G1" s="3169"/>
      <c r="H1" s="3169"/>
      <c r="I1" s="3169"/>
      <c r="J1" s="3169"/>
      <c r="K1" s="3169"/>
      <c r="L1" s="3169"/>
      <c r="M1" s="3169"/>
    </row>
    <row r="2" spans="1:13" ht="27" customHeight="1">
      <c r="A2" s="3168"/>
      <c r="B2" s="3168"/>
      <c r="C2" s="3168"/>
      <c r="D2" s="3169"/>
      <c r="E2" s="3169" t="s">
        <v>37</v>
      </c>
      <c r="F2" s="3169" t="s">
        <v>38</v>
      </c>
      <c r="G2" s="3169"/>
      <c r="H2" s="3169"/>
      <c r="I2" s="3169"/>
      <c r="J2" s="3169" t="s">
        <v>39</v>
      </c>
      <c r="K2" s="3169"/>
      <c r="L2" s="3169"/>
      <c r="M2" s="3169"/>
    </row>
    <row r="3" spans="1:13" ht="28.5">
      <c r="A3" s="3168"/>
      <c r="B3" s="3168"/>
      <c r="C3" s="3168"/>
      <c r="D3" s="3169"/>
      <c r="E3" s="31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9" t="s">
        <v>55</v>
      </c>
      <c r="B9" s="3169"/>
      <c r="C9" s="31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27"/>
  <sheetViews>
    <sheetView workbookViewId="0">
      <selection activeCell="D31" sqref="D31"/>
    </sheetView>
  </sheetViews>
  <sheetFormatPr defaultRowHeight="13.5"/>
  <cols>
    <col min="1" max="1" width="1.125" style="3" customWidth="1"/>
    <col min="2" max="2" width="14.875" style="2981" customWidth="1"/>
    <col min="3" max="3" width="13.375" style="2981" customWidth="1"/>
    <col min="4" max="4" width="23.875" style="2981" customWidth="1"/>
    <col min="5" max="5" width="13.375" style="2981" customWidth="1"/>
    <col min="6" max="6" width="9" style="2981"/>
    <col min="7" max="7" width="12.125" style="2981" customWidth="1"/>
    <col min="8" max="8" width="8.875" style="2981" customWidth="1"/>
    <col min="9" max="10" width="10.875" style="2981" customWidth="1"/>
    <col min="11" max="11" width="9" style="3"/>
    <col min="16" max="16" width="11.75" customWidth="1"/>
  </cols>
  <sheetData>
    <row r="1" spans="2:16" ht="6" customHeight="1" thickBot="1"/>
    <row r="2" spans="2:16" ht="16.5" customHeight="1">
      <c r="B2" s="3175" t="s">
        <v>3181</v>
      </c>
      <c r="C2" s="3174" t="s">
        <v>3202</v>
      </c>
      <c r="D2" s="3087" t="s">
        <v>3182</v>
      </c>
      <c r="E2" s="3088">
        <v>130182.69</v>
      </c>
      <c r="F2" s="2980" t="s">
        <v>3208</v>
      </c>
      <c r="G2" s="2980" t="s">
        <v>3209</v>
      </c>
      <c r="H2" s="2981">
        <v>90</v>
      </c>
      <c r="I2" s="2980" t="s">
        <v>3210</v>
      </c>
      <c r="J2" s="2981">
        <v>13.26</v>
      </c>
    </row>
    <row r="3" spans="2:16" ht="16.5" customHeight="1">
      <c r="B3" s="3171"/>
      <c r="C3" s="3170"/>
      <c r="D3" s="3086" t="s">
        <v>3183</v>
      </c>
      <c r="E3" s="3089">
        <v>7207.31</v>
      </c>
      <c r="F3" s="2980" t="s">
        <v>3208</v>
      </c>
      <c r="G3" s="2980" t="s">
        <v>3214</v>
      </c>
      <c r="H3" s="2981">
        <v>4829.75</v>
      </c>
      <c r="I3" s="2980" t="s">
        <v>3215</v>
      </c>
      <c r="J3" s="2981">
        <v>2377.56</v>
      </c>
    </row>
    <row r="4" spans="2:16" ht="16.5" customHeight="1">
      <c r="B4" s="3171"/>
      <c r="C4" s="3170"/>
      <c r="D4" s="3086" t="s">
        <v>3199</v>
      </c>
      <c r="E4" s="3089">
        <f>SUM(E2:E3)</f>
        <v>137390</v>
      </c>
    </row>
    <row r="5" spans="2:16" ht="16.5" customHeight="1">
      <c r="B5" s="3171"/>
      <c r="C5" s="3170" t="s">
        <v>3195</v>
      </c>
      <c r="D5" s="3086" t="s">
        <v>3184</v>
      </c>
      <c r="E5" s="3089">
        <v>5200</v>
      </c>
      <c r="F5" s="2980" t="s">
        <v>3213</v>
      </c>
      <c r="G5" s="2981">
        <v>4800</v>
      </c>
    </row>
    <row r="6" spans="2:16" ht="16.5" customHeight="1">
      <c r="B6" s="3171"/>
      <c r="C6" s="3170"/>
      <c r="D6" s="3086" t="s">
        <v>3185</v>
      </c>
      <c r="E6" s="3089">
        <v>300</v>
      </c>
    </row>
    <row r="7" spans="2:16" ht="16.5" customHeight="1">
      <c r="B7" s="3171"/>
      <c r="C7" s="3170"/>
      <c r="D7" s="3086" t="s">
        <v>3186</v>
      </c>
      <c r="E7" s="3089">
        <v>400</v>
      </c>
      <c r="I7" s="2980" t="s">
        <v>3411</v>
      </c>
      <c r="O7" s="2980"/>
      <c r="P7" s="2981"/>
    </row>
    <row r="8" spans="2:16" ht="16.5" customHeight="1">
      <c r="B8" s="3171"/>
      <c r="C8" s="3170"/>
      <c r="D8" s="3086" t="s">
        <v>3187</v>
      </c>
      <c r="E8" s="3089">
        <v>300</v>
      </c>
      <c r="O8" s="2980"/>
      <c r="P8" s="2981"/>
    </row>
    <row r="9" spans="2:16" ht="16.5" customHeight="1">
      <c r="B9" s="3171"/>
      <c r="C9" s="3170"/>
      <c r="D9" s="3086" t="s">
        <v>3189</v>
      </c>
      <c r="E9" s="3089">
        <v>50</v>
      </c>
      <c r="O9" s="2980"/>
      <c r="P9" s="2981"/>
    </row>
    <row r="10" spans="2:16" ht="16.5" customHeight="1">
      <c r="B10" s="3171"/>
      <c r="C10" s="3170"/>
      <c r="D10" s="3086" t="s">
        <v>3191</v>
      </c>
      <c r="E10" s="3089">
        <v>1500</v>
      </c>
      <c r="O10" s="2980"/>
    </row>
    <row r="11" spans="2:16" ht="16.5" customHeight="1">
      <c r="B11" s="3171"/>
      <c r="C11" s="3170"/>
      <c r="D11" s="3086" t="s">
        <v>3192</v>
      </c>
      <c r="E11" s="3089">
        <v>400</v>
      </c>
    </row>
    <row r="12" spans="2:16" ht="16.5" customHeight="1">
      <c r="B12" s="3171"/>
      <c r="C12" s="3170"/>
      <c r="D12" s="3086" t="s">
        <v>3193</v>
      </c>
      <c r="E12" s="3089">
        <v>80</v>
      </c>
    </row>
    <row r="13" spans="2:16" ht="16.5" customHeight="1">
      <c r="B13" s="3171"/>
      <c r="C13" s="3170"/>
      <c r="D13" s="3086" t="s">
        <v>3194</v>
      </c>
      <c r="E13" s="3089">
        <v>20</v>
      </c>
    </row>
    <row r="14" spans="2:16" ht="16.5" customHeight="1">
      <c r="B14" s="3171"/>
      <c r="C14" s="3170"/>
      <c r="D14" s="3086" t="s">
        <v>3196</v>
      </c>
      <c r="E14" s="3089">
        <v>1821.01</v>
      </c>
    </row>
    <row r="15" spans="2:16" ht="16.5" customHeight="1">
      <c r="B15" s="3171"/>
      <c r="C15" s="3170"/>
      <c r="D15" s="3086" t="s">
        <v>3197</v>
      </c>
      <c r="E15" s="3089">
        <v>594.74</v>
      </c>
    </row>
    <row r="16" spans="2:16" ht="16.5" customHeight="1">
      <c r="B16" s="3171"/>
      <c r="C16" s="3170"/>
      <c r="D16" s="3086" t="s">
        <v>3198</v>
      </c>
      <c r="E16" s="3089">
        <v>2880.85</v>
      </c>
    </row>
    <row r="17" spans="2:5" ht="16.5" customHeight="1">
      <c r="B17" s="3171"/>
      <c r="C17" s="3170"/>
      <c r="D17" s="3086" t="s">
        <v>3199</v>
      </c>
      <c r="E17" s="3089">
        <f>SUM(E5:E16)</f>
        <v>13546.6</v>
      </c>
    </row>
    <row r="18" spans="2:5" ht="16.5" customHeight="1">
      <c r="B18" s="3171"/>
      <c r="C18" s="3170" t="s">
        <v>3200</v>
      </c>
      <c r="D18" s="3170"/>
      <c r="E18" s="3089">
        <f>E4+E17</f>
        <v>150936.6</v>
      </c>
    </row>
    <row r="19" spans="2:5" ht="16.5" customHeight="1">
      <c r="B19" s="3171" t="s">
        <v>3201</v>
      </c>
      <c r="C19" s="3170" t="s">
        <v>3206</v>
      </c>
      <c r="D19" s="3086" t="s">
        <v>3211</v>
      </c>
      <c r="E19" s="3089">
        <v>300</v>
      </c>
    </row>
    <row r="20" spans="2:5" ht="16.5" customHeight="1">
      <c r="B20" s="3171"/>
      <c r="C20" s="3170"/>
      <c r="D20" s="3086" t="s">
        <v>3212</v>
      </c>
      <c r="E20" s="3089">
        <v>60</v>
      </c>
    </row>
    <row r="21" spans="2:5" ht="16.5" customHeight="1">
      <c r="B21" s="3171"/>
      <c r="C21" s="3170"/>
      <c r="D21" s="3086" t="s">
        <v>3204</v>
      </c>
      <c r="E21" s="3089">
        <v>38412.400000000001</v>
      </c>
    </row>
    <row r="22" spans="2:5" ht="16.5" customHeight="1">
      <c r="B22" s="3171"/>
      <c r="C22" s="3170"/>
      <c r="D22" s="3086" t="s">
        <v>3205</v>
      </c>
      <c r="E22" s="3089">
        <v>8931.42</v>
      </c>
    </row>
    <row r="23" spans="2:5" ht="16.5" customHeight="1">
      <c r="B23" s="3171"/>
      <c r="C23" s="3170"/>
      <c r="D23" s="3086" t="s">
        <v>3199</v>
      </c>
      <c r="E23" s="3089">
        <f>SUM(E19:E22)</f>
        <v>47703.82</v>
      </c>
    </row>
    <row r="24" spans="2:5" ht="16.5" customHeight="1" thickBot="1">
      <c r="B24" s="3172" t="s">
        <v>3207</v>
      </c>
      <c r="C24" s="3173"/>
      <c r="D24" s="3173"/>
      <c r="E24" s="3090">
        <f>E23+E18</f>
        <v>198640.42</v>
      </c>
    </row>
    <row r="26" spans="2:5">
      <c r="B26" s="2980" t="s">
        <v>3216</v>
      </c>
      <c r="C26" s="2981">
        <v>35673.14</v>
      </c>
    </row>
    <row r="27" spans="2:5">
      <c r="B27" s="2980" t="s">
        <v>3218</v>
      </c>
      <c r="C27" s="2981">
        <f>ROUND(E18/C26,2)</f>
        <v>4.2300000000000004</v>
      </c>
    </row>
  </sheetData>
  <mergeCells count="7">
    <mergeCell ref="C19:C23"/>
    <mergeCell ref="B19:B23"/>
    <mergeCell ref="B24:D24"/>
    <mergeCell ref="C2:C4"/>
    <mergeCell ref="C5:C17"/>
    <mergeCell ref="B2:B18"/>
    <mergeCell ref="C18:D18"/>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6"/>
  <sheetViews>
    <sheetView tabSelected="1" view="pageBreakPreview" zoomScale="90" zoomScaleSheetLayoutView="90" workbookViewId="0">
      <selection activeCell="D37" sqref="D37"/>
    </sheetView>
  </sheetViews>
  <sheetFormatPr defaultColWidth="9.125" defaultRowHeight="14.25"/>
  <cols>
    <col min="1" max="1" width="12.125" style="2225" customWidth="1"/>
    <col min="2" max="2" width="10.1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125" style="2225"/>
  </cols>
  <sheetData>
    <row r="1" spans="1:16" ht="18.75">
      <c r="A1" s="2224" t="s">
        <v>1928</v>
      </c>
      <c r="B1" s="1394"/>
      <c r="C1" s="1394"/>
      <c r="D1" s="1394"/>
      <c r="E1" s="1394"/>
      <c r="F1" s="1394"/>
      <c r="G1" s="1394"/>
      <c r="H1" s="1394"/>
      <c r="I1" s="1394"/>
      <c r="J1" s="1394"/>
      <c r="K1" s="1394"/>
      <c r="L1" s="1394"/>
      <c r="M1" s="1394"/>
      <c r="N1" s="1394"/>
      <c r="O1" s="1394"/>
      <c r="P1" s="1394"/>
    </row>
    <row r="2" spans="1:16" ht="15">
      <c r="A2" s="3185" t="s">
        <v>1929</v>
      </c>
      <c r="B2" s="3185"/>
      <c r="C2" s="3185"/>
      <c r="D2" s="969" t="s">
        <v>1905</v>
      </c>
      <c r="E2" s="2226" t="s">
        <v>1906</v>
      </c>
      <c r="F2" s="1394"/>
      <c r="G2" s="2227"/>
      <c r="H2" s="2228"/>
      <c r="I2" s="2229" t="s">
        <v>1930</v>
      </c>
      <c r="J2" s="1394"/>
      <c r="K2" s="1394"/>
      <c r="L2" s="1394"/>
      <c r="M2" s="1394"/>
      <c r="N2" s="1429"/>
      <c r="O2" s="1394"/>
      <c r="P2" s="1394"/>
    </row>
    <row r="3" spans="1:16" ht="15.75" thickBot="1">
      <c r="A3" s="3186" t="s">
        <v>1903</v>
      </c>
      <c r="B3" s="3186"/>
      <c r="C3" s="3186"/>
      <c r="D3" s="46">
        <f>'数据-基础表'!AY6</f>
        <v>24673.39</v>
      </c>
      <c r="E3" s="46">
        <f>'数据-基础表'!AZ5</f>
        <v>137390</v>
      </c>
      <c r="F3" s="1394"/>
      <c r="G3" s="1401"/>
      <c r="H3" s="1249" t="s">
        <v>1904</v>
      </c>
      <c r="I3" s="55">
        <f>ROUND('数据-基础表'!B3/'数据-基础表'!A3,2)</f>
        <v>5.57</v>
      </c>
      <c r="J3" s="1394"/>
      <c r="K3" s="1394"/>
      <c r="L3" s="1394"/>
      <c r="M3" s="1394"/>
      <c r="N3" s="1429"/>
      <c r="O3" s="1394"/>
      <c r="P3" s="1394"/>
    </row>
    <row r="4" spans="1:16" ht="15">
      <c r="A4" s="3187"/>
      <c r="B4" s="3188"/>
      <c r="C4" s="3189"/>
      <c r="D4" s="2230" t="s">
        <v>1905</v>
      </c>
      <c r="E4" s="2231" t="s">
        <v>1906</v>
      </c>
      <c r="F4" s="1394"/>
      <c r="G4" s="2232" t="s">
        <v>1931</v>
      </c>
      <c r="H4" s="1249" t="s">
        <v>1911</v>
      </c>
      <c r="I4" s="55">
        <f>ROUND(SUMIF('数据-基础表'!I9:AS9,"地上",'数据-基础表'!I5:AS5)/'数据-基础表'!A3,2)</f>
        <v>4.2300000000000004</v>
      </c>
      <c r="J4" s="1394"/>
      <c r="K4" s="1394"/>
      <c r="L4" s="1394"/>
      <c r="M4" s="1394"/>
      <c r="N4" s="1429"/>
      <c r="O4" s="1394"/>
      <c r="P4" s="1394"/>
    </row>
    <row r="5" spans="1:16">
      <c r="A5" s="47" t="s">
        <v>1907</v>
      </c>
      <c r="B5" s="3190" t="s">
        <v>1908</v>
      </c>
      <c r="C5" s="3190"/>
      <c r="D5" s="48">
        <f>ROUND($D$3*E5/$E$3,2)</f>
        <v>23379.05</v>
      </c>
      <c r="E5" s="49">
        <f>SUMIF('数据-基础表'!$11:$11,"住宅",'数据-基础表'!$5:$5)</f>
        <v>130182.69</v>
      </c>
      <c r="F5" s="1394"/>
      <c r="G5" s="1401"/>
      <c r="H5" s="1249" t="s">
        <v>1904</v>
      </c>
      <c r="I5" s="55">
        <f>ROUND(E31/D31,2)</f>
        <v>5.57</v>
      </c>
      <c r="J5" s="1394"/>
      <c r="K5" s="1394"/>
      <c r="L5" s="1394"/>
      <c r="M5" s="1394"/>
      <c r="N5" s="1394"/>
      <c r="O5" s="1394"/>
      <c r="P5" s="1394"/>
    </row>
    <row r="6" spans="1:16" ht="15" thickBot="1">
      <c r="A6" s="2233"/>
      <c r="B6" s="3190" t="s">
        <v>1909</v>
      </c>
      <c r="C6" s="3190"/>
      <c r="D6" s="48">
        <f>ROUND($D$3*E6/$E$3,2)</f>
        <v>1294.3399999999999</v>
      </c>
      <c r="E6" s="49">
        <f>E3-E5</f>
        <v>7207.3099999999977</v>
      </c>
      <c r="F6" s="1394"/>
      <c r="G6" s="2234" t="s">
        <v>1910</v>
      </c>
      <c r="H6" s="1401" t="s">
        <v>1911</v>
      </c>
      <c r="I6" s="941">
        <f>ROUND(F31/D31,2)</f>
        <v>5.57</v>
      </c>
      <c r="J6" s="1394"/>
      <c r="K6" s="1394"/>
      <c r="L6" s="1394"/>
      <c r="M6" s="1394"/>
      <c r="N6" s="1394"/>
      <c r="O6" s="1394"/>
      <c r="P6" s="1394"/>
    </row>
    <row r="7" spans="1:16" ht="15">
      <c r="A7" s="3182"/>
      <c r="B7" s="3183"/>
      <c r="C7" s="3184"/>
      <c r="D7" s="2230" t="s">
        <v>1905</v>
      </c>
      <c r="E7" s="2235" t="s">
        <v>1912</v>
      </c>
      <c r="F7" s="1394"/>
      <c r="G7" s="2227" t="s">
        <v>1913</v>
      </c>
      <c r="H7" s="64"/>
      <c r="I7" s="420"/>
      <c r="J7" s="1394"/>
      <c r="K7" s="1394"/>
      <c r="L7" s="1394"/>
      <c r="M7" s="1394"/>
      <c r="N7" s="1394"/>
      <c r="O7" s="1394"/>
      <c r="P7" s="1394"/>
    </row>
    <row r="8" spans="1:16">
      <c r="A8" s="47" t="s">
        <v>1914</v>
      </c>
      <c r="B8" s="50" t="s">
        <v>1915</v>
      </c>
      <c r="C8" s="48" t="s">
        <v>1916</v>
      </c>
      <c r="D8" s="48">
        <f t="shared" ref="D8:D15" si="0">ROUND($D$3*E8/$E$3,2)</f>
        <v>24673.39</v>
      </c>
      <c r="E8" s="51">
        <f>SUMIF('数据-基础表'!BB10:BK10,"地上",'数据-基础表'!BB5:BK5)</f>
        <v>137390</v>
      </c>
      <c r="F8" s="1394"/>
      <c r="G8" s="2236"/>
      <c r="H8" s="2236"/>
      <c r="I8" s="1394"/>
      <c r="J8" s="1394"/>
      <c r="K8" s="1394"/>
      <c r="L8" s="1394"/>
      <c r="M8" s="1394"/>
      <c r="N8" s="1394"/>
      <c r="O8" s="1394"/>
      <c r="P8" s="1394"/>
    </row>
    <row r="9" spans="1:16">
      <c r="A9" s="2237"/>
      <c r="B9" s="2238"/>
      <c r="C9" s="48" t="s">
        <v>1917</v>
      </c>
      <c r="D9" s="48">
        <f t="shared" si="0"/>
        <v>0</v>
      </c>
      <c r="E9" s="52">
        <v>0</v>
      </c>
      <c r="F9" s="1394"/>
      <c r="G9" s="2236"/>
      <c r="H9" s="2236"/>
      <c r="I9" s="1394"/>
      <c r="J9" s="1394"/>
      <c r="K9" s="1394"/>
      <c r="L9" s="1394"/>
      <c r="M9" s="1394"/>
      <c r="N9" s="1394"/>
      <c r="O9" s="1394"/>
      <c r="P9" s="1394"/>
    </row>
    <row r="10" spans="1:16">
      <c r="A10" s="2237"/>
      <c r="B10" s="2238"/>
      <c r="C10" s="48" t="s">
        <v>1926</v>
      </c>
      <c r="D10" s="48">
        <f t="shared" si="0"/>
        <v>0</v>
      </c>
      <c r="E10" s="51">
        <f>SUMPRODUCT(('数据-基础表'!BB10:BK10="地下")*('数据-基础表'!BB11:BK11="商业")*('数据-基础表'!BB5:BK5))</f>
        <v>0</v>
      </c>
      <c r="F10" s="1394"/>
      <c r="G10" s="2236"/>
      <c r="H10" s="2236"/>
      <c r="I10" s="1394"/>
      <c r="J10" s="1394"/>
      <c r="K10" s="1394"/>
      <c r="L10" s="1394"/>
      <c r="M10" s="1394"/>
      <c r="N10" s="1394"/>
      <c r="O10" s="1394"/>
      <c r="P10" s="1394"/>
    </row>
    <row r="11" spans="1:16">
      <c r="A11" s="2237"/>
      <c r="B11" s="2238"/>
      <c r="C11" s="48" t="s">
        <v>1918</v>
      </c>
      <c r="D11" s="48">
        <f t="shared" si="0"/>
        <v>0</v>
      </c>
      <c r="E11" s="51">
        <f>SUMPRODUCT(('数据-基础表'!BB10:BK10="地下")*('数据-基础表'!BB11:BK11="办公")*('数据-基础表'!BB5:BK5))+'数据-基础表'!BP5</f>
        <v>0</v>
      </c>
      <c r="F11" s="1394"/>
      <c r="G11" s="2236"/>
      <c r="H11" s="2236"/>
      <c r="I11" s="1394"/>
      <c r="J11" s="1394"/>
      <c r="K11" s="1394"/>
      <c r="L11" s="1394"/>
      <c r="M11" s="1394"/>
      <c r="N11" s="1394"/>
      <c r="O11" s="1394"/>
      <c r="P11" s="1394"/>
    </row>
    <row r="12" spans="1:16">
      <c r="A12" s="2237"/>
      <c r="B12" s="2238"/>
      <c r="C12" s="48" t="s">
        <v>1919</v>
      </c>
      <c r="D12" s="48">
        <f t="shared" si="0"/>
        <v>0</v>
      </c>
      <c r="E12" s="51">
        <f>SUMPRODUCT(('数据-基础表'!BB10:BK10="地下")*('数据-基础表'!BB11:BK11="仓储")*('数据-基础表'!BB5:BK5))</f>
        <v>0</v>
      </c>
      <c r="F12" s="1394"/>
      <c r="G12" s="2236"/>
      <c r="H12" s="2236"/>
      <c r="I12" s="1394"/>
      <c r="J12" s="1394"/>
      <c r="K12" s="1394"/>
      <c r="L12" s="1394"/>
      <c r="M12" s="1394"/>
      <c r="N12" s="1394"/>
      <c r="O12" s="1394"/>
      <c r="P12" s="1394"/>
    </row>
    <row r="13" spans="1:16">
      <c r="A13" s="2237"/>
      <c r="B13" s="2238"/>
      <c r="C13" s="48" t="s">
        <v>1920</v>
      </c>
      <c r="D13" s="48">
        <f t="shared" si="0"/>
        <v>0</v>
      </c>
      <c r="E13" s="51">
        <f>SUMPRODUCT(('数据-基础表'!BB10:BK10="地下")*('数据-基础表'!BB11:BK11="车库")*('数据-基础表'!BB5:BK5))</f>
        <v>0</v>
      </c>
      <c r="F13" s="1394"/>
      <c r="G13" s="2236"/>
      <c r="H13" s="2236"/>
      <c r="I13" s="1394"/>
      <c r="J13" s="1394"/>
      <c r="K13" s="1394"/>
      <c r="L13" s="1394"/>
      <c r="M13" s="1394"/>
      <c r="N13" s="1394"/>
      <c r="O13" s="1394"/>
      <c r="P13" s="1394"/>
    </row>
    <row r="14" spans="1:16">
      <c r="A14" s="2237"/>
      <c r="B14" s="2238"/>
      <c r="C14" s="48" t="s">
        <v>1932</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1927</v>
      </c>
      <c r="D15" s="48">
        <f t="shared" si="0"/>
        <v>0</v>
      </c>
      <c r="E15" s="51">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50" t="s">
        <v>1921</v>
      </c>
      <c r="D16" s="50">
        <f>SUM(D8:D15)</f>
        <v>24673.39</v>
      </c>
      <c r="E16" s="53">
        <f>SUM(E8:E15)</f>
        <v>137390</v>
      </c>
      <c r="F16" s="1394"/>
      <c r="G16" s="2236"/>
      <c r="H16" s="2239" t="s">
        <v>1933</v>
      </c>
      <c r="I16" s="2240"/>
      <c r="J16" s="1394"/>
      <c r="K16" s="3179" t="s">
        <v>1933</v>
      </c>
      <c r="L16" s="3180"/>
      <c r="M16" s="3180"/>
      <c r="N16" s="3180"/>
      <c r="O16" s="3180"/>
      <c r="P16" s="3181"/>
    </row>
    <row r="17" spans="1:19" ht="15">
      <c r="A17" s="2241" t="s">
        <v>1934</v>
      </c>
      <c r="B17" s="2242" t="s">
        <v>1935</v>
      </c>
      <c r="C17" s="2243" t="s">
        <v>1936</v>
      </c>
      <c r="D17" s="2244" t="s">
        <v>1924</v>
      </c>
      <c r="E17" s="2245" t="s">
        <v>1925</v>
      </c>
      <c r="F17" s="2246"/>
      <c r="G17" s="2247"/>
      <c r="H17" s="2248" t="s">
        <v>1937</v>
      </c>
      <c r="I17" s="2249" t="s">
        <v>1922</v>
      </c>
      <c r="J17" s="1394"/>
      <c r="K17" s="3176" t="s">
        <v>1938</v>
      </c>
      <c r="L17" s="3177"/>
      <c r="M17" s="3178"/>
      <c r="N17" s="3176" t="s">
        <v>1939</v>
      </c>
      <c r="O17" s="3177"/>
      <c r="P17" s="3178"/>
      <c r="R17" s="2227" t="s">
        <v>1940</v>
      </c>
      <c r="S17" s="64"/>
    </row>
    <row r="18" spans="1:19" ht="15">
      <c r="A18" s="2237"/>
      <c r="B18" s="2250"/>
      <c r="C18" s="2251"/>
      <c r="D18" s="2252"/>
      <c r="E18" s="2253" t="s">
        <v>1941</v>
      </c>
      <c r="F18" s="2254" t="s">
        <v>1942</v>
      </c>
      <c r="G18" s="2255" t="s">
        <v>1943</v>
      </c>
      <c r="H18" s="1264" t="s">
        <v>1944</v>
      </c>
      <c r="I18" s="2256" t="s">
        <v>1945</v>
      </c>
      <c r="J18" s="1394"/>
      <c r="K18" s="1264" t="s">
        <v>1946</v>
      </c>
      <c r="L18" s="2257" t="s">
        <v>1947</v>
      </c>
      <c r="M18" s="1048" t="s">
        <v>1948</v>
      </c>
      <c r="N18" s="1264" t="s">
        <v>1946</v>
      </c>
      <c r="O18" s="2257" t="s">
        <v>1947</v>
      </c>
      <c r="P18" s="1048" t="s">
        <v>1948</v>
      </c>
      <c r="R18" s="1249" t="s">
        <v>1949</v>
      </c>
      <c r="S18" s="1249" t="s">
        <v>1950</v>
      </c>
    </row>
    <row r="19" spans="1:19">
      <c r="A19" s="2258"/>
      <c r="B19" s="50" t="s">
        <v>1923</v>
      </c>
      <c r="C19" s="2970" t="s">
        <v>3078</v>
      </c>
      <c r="D19" s="48">
        <f>ROUND($D$3*E19/$E$3,2)</f>
        <v>23379.05</v>
      </c>
      <c r="E19" s="56">
        <f t="shared" ref="E19:E26" si="1">SUM(F19:G19)</f>
        <v>130182.69</v>
      </c>
      <c r="F19" s="57">
        <f>'数据-基础表'!I13</f>
        <v>130182.69</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59"/>
      <c r="O19" s="2260"/>
      <c r="P19" s="1405">
        <f>N19+O19</f>
        <v>0</v>
      </c>
      <c r="R19" s="1249">
        <f t="shared" ref="R19:S26" si="5">D19+H19</f>
        <v>23379.05</v>
      </c>
      <c r="S19" s="1250">
        <f t="shared" si="5"/>
        <v>130182.69</v>
      </c>
    </row>
    <row r="20" spans="1:19">
      <c r="A20" s="2261"/>
      <c r="B20" s="50" t="s">
        <v>1951</v>
      </c>
      <c r="C20" s="2970" t="s">
        <v>3217</v>
      </c>
      <c r="D20" s="48">
        <f t="shared" ref="D20:D26" si="6">ROUND($D$3*E20/$E$3,2)</f>
        <v>867.36</v>
      </c>
      <c r="E20" s="56">
        <f t="shared" si="1"/>
        <v>4829.75</v>
      </c>
      <c r="F20" s="57">
        <f>'数据-基础表'!K13</f>
        <v>4829.75</v>
      </c>
      <c r="G20" s="58"/>
      <c r="H20" s="723">
        <f t="shared" ref="H20:H26" si="7">ROUND($D$3*I20/$E$3,2)</f>
        <v>0</v>
      </c>
      <c r="I20" s="51">
        <f t="shared" si="2"/>
        <v>0</v>
      </c>
      <c r="J20" s="1394"/>
      <c r="K20" s="1393">
        <f t="shared" si="3"/>
        <v>0</v>
      </c>
      <c r="L20" s="1249">
        <f t="shared" si="4"/>
        <v>0</v>
      </c>
      <c r="M20" s="1405">
        <f t="shared" ref="M20:M26" si="8">K20+L20</f>
        <v>0</v>
      </c>
      <c r="N20" s="2259"/>
      <c r="O20" s="2260"/>
      <c r="P20" s="1405">
        <f t="shared" ref="P20:P26" si="9">N20+O20</f>
        <v>0</v>
      </c>
      <c r="R20" s="1249">
        <f t="shared" si="5"/>
        <v>867.36</v>
      </c>
      <c r="S20" s="1250">
        <f t="shared" si="5"/>
        <v>4829.75</v>
      </c>
    </row>
    <row r="21" spans="1:19">
      <c r="A21" s="2261"/>
      <c r="B21" s="50" t="s">
        <v>1951</v>
      </c>
      <c r="C21" s="2970" t="s">
        <v>3079</v>
      </c>
      <c r="D21" s="48">
        <f t="shared" si="6"/>
        <v>0</v>
      </c>
      <c r="E21" s="56">
        <f t="shared" si="1"/>
        <v>0</v>
      </c>
      <c r="F21" s="57">
        <f>'数据-基础表'!M13</f>
        <v>0</v>
      </c>
      <c r="G21" s="58"/>
      <c r="H21" s="723">
        <f t="shared" si="7"/>
        <v>0</v>
      </c>
      <c r="I21" s="51">
        <f t="shared" si="2"/>
        <v>0</v>
      </c>
      <c r="J21" s="1394"/>
      <c r="K21" s="1393">
        <f t="shared" si="3"/>
        <v>0</v>
      </c>
      <c r="L21" s="1249">
        <f t="shared" si="4"/>
        <v>0</v>
      </c>
      <c r="M21" s="1405">
        <f t="shared" si="8"/>
        <v>0</v>
      </c>
      <c r="N21" s="2259"/>
      <c r="O21" s="2260"/>
      <c r="P21" s="1405">
        <f t="shared" si="9"/>
        <v>0</v>
      </c>
      <c r="R21" s="1249">
        <f t="shared" si="5"/>
        <v>0</v>
      </c>
      <c r="S21" s="1250">
        <f t="shared" si="5"/>
        <v>0</v>
      </c>
    </row>
    <row r="22" spans="1:19">
      <c r="A22" s="2261"/>
      <c r="B22" s="50" t="s">
        <v>1951</v>
      </c>
      <c r="C22" s="2971" t="s">
        <v>3080</v>
      </c>
      <c r="D22" s="48">
        <f t="shared" si="6"/>
        <v>426.98</v>
      </c>
      <c r="E22" s="56">
        <f t="shared" si="1"/>
        <v>2377.56</v>
      </c>
      <c r="F22" s="61">
        <f>'数据-基础表'!O13</f>
        <v>2377.56</v>
      </c>
      <c r="G22" s="62"/>
      <c r="H22" s="723">
        <f t="shared" si="7"/>
        <v>0</v>
      </c>
      <c r="I22" s="51">
        <f t="shared" si="2"/>
        <v>0</v>
      </c>
      <c r="J22" s="1394"/>
      <c r="K22" s="1393">
        <f t="shared" si="3"/>
        <v>0</v>
      </c>
      <c r="L22" s="1249">
        <f t="shared" si="4"/>
        <v>0</v>
      </c>
      <c r="M22" s="1405">
        <f t="shared" si="8"/>
        <v>0</v>
      </c>
      <c r="N22" s="2259"/>
      <c r="O22" s="2260"/>
      <c r="P22" s="1405">
        <f t="shared" si="9"/>
        <v>0</v>
      </c>
      <c r="R22" s="1249">
        <f t="shared" si="5"/>
        <v>426.98</v>
      </c>
      <c r="S22" s="1250">
        <f t="shared" si="5"/>
        <v>2377.56</v>
      </c>
    </row>
    <row r="23" spans="1:19">
      <c r="A23" s="2261"/>
      <c r="B23" s="50" t="s">
        <v>1951</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c r="A24" s="2261"/>
      <c r="B24" s="50" t="s">
        <v>1951</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c r="A25" s="2261"/>
      <c r="B25" s="50" t="s">
        <v>1951</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c r="A26" s="2261"/>
      <c r="B26" s="50" t="s">
        <v>1951</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49">
        <f t="shared" si="5"/>
        <v>0</v>
      </c>
      <c r="S26" s="1250">
        <f t="shared" si="5"/>
        <v>0</v>
      </c>
    </row>
    <row r="27" spans="1:19" ht="15.75" thickBot="1">
      <c r="A27" s="2261"/>
      <c r="B27" s="48"/>
      <c r="C27" s="2264" t="s">
        <v>1952</v>
      </c>
      <c r="D27" s="1395">
        <f>SUM(D19:D26)</f>
        <v>24673.39</v>
      </c>
      <c r="E27" s="1396">
        <f>IF(SUM(E19:E26)='数据-基础表'!BA5,SUM(E19:E26),IF(F27="地上面积有误","面积有误","地下面积有误"))</f>
        <v>137390</v>
      </c>
      <c r="F27" s="1395">
        <f>IF(SUM(F19:F26)=E8,SUM(F19:F26),"地上面积有误")</f>
        <v>137390</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24673.39</v>
      </c>
      <c r="S27" s="1249">
        <f>IF(SUM(S19:S26)=$E$3,SUM(S19:S26),SUM(S19:S26)&amp;"误差"&amp;ROUND(SUM(S19:S26)-E3,2))</f>
        <v>137390</v>
      </c>
    </row>
    <row r="28" spans="1:19">
      <c r="A28" s="2261"/>
      <c r="B28" s="50" t="s">
        <v>1953</v>
      </c>
      <c r="C28" s="1261" t="s">
        <v>1954</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1"/>
      <c r="B29" s="50" t="s">
        <v>1953</v>
      </c>
      <c r="C29" s="2265" t="s">
        <v>1955</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1"/>
      <c r="B30" s="50"/>
      <c r="C30" s="2266" t="s">
        <v>1952</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7"/>
      <c r="B31" s="2268"/>
      <c r="C31" s="1009" t="s">
        <v>1956</v>
      </c>
      <c r="D31" s="729">
        <f>D27+D30</f>
        <v>24673.39</v>
      </c>
      <c r="E31" s="729">
        <f>E27+E30</f>
        <v>137390</v>
      </c>
      <c r="F31" s="730">
        <f>F27+F30</f>
        <v>137390</v>
      </c>
      <c r="G31" s="731">
        <f>G27+G30</f>
        <v>0</v>
      </c>
      <c r="H31" s="1394"/>
      <c r="I31" s="1394"/>
      <c r="J31" s="1394"/>
      <c r="K31" s="1394"/>
      <c r="L31" s="1394"/>
      <c r="M31" s="1394"/>
      <c r="N31" s="1394"/>
      <c r="O31" s="1394"/>
      <c r="P31" s="1394"/>
    </row>
    <row r="32" spans="1:19">
      <c r="A32" s="2232"/>
      <c r="B32" s="2232" t="s">
        <v>1957</v>
      </c>
      <c r="C32" s="2232"/>
      <c r="D32" s="2232"/>
      <c r="E32" s="1276">
        <f>SUMIF(C19:C26,"*住宅*",E19:E26)</f>
        <v>130182.69</v>
      </c>
      <c r="F32" s="2232"/>
      <c r="G32" s="2232"/>
      <c r="H32" s="1394"/>
      <c r="I32" s="1394"/>
      <c r="J32" s="1394"/>
      <c r="K32" s="1394"/>
      <c r="L32" s="1394"/>
      <c r="M32" s="1394"/>
      <c r="N32" s="1394"/>
      <c r="O32" s="1394"/>
      <c r="P32" s="1394"/>
    </row>
    <row r="33" spans="4:4">
      <c r="D33" s="2269"/>
    </row>
    <row r="36" spans="4:4">
      <c r="D36" s="2225">
        <f>D3-'数据-基础表'!A3</f>
        <v>-10999.75</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zoomScalePageLayoutView="90" workbookViewId="0">
      <pane xSplit="3" ySplit="5" topLeftCell="K6" activePane="bottomRight" state="frozen"/>
      <selection activeCell="C50" sqref="C50"/>
      <selection pane="topRight" activeCell="C50" sqref="C50"/>
      <selection pane="bottomLeft" activeCell="C50" sqref="C50"/>
      <selection pane="bottomRight" activeCell="N22" sqref="N22"/>
    </sheetView>
  </sheetViews>
  <sheetFormatPr defaultColWidth="13.875" defaultRowHeight="12.75"/>
  <cols>
    <col min="1" max="1" width="20.875" style="2343" customWidth="1"/>
    <col min="2" max="2" width="12" style="2273" customWidth="1"/>
    <col min="3" max="3" width="10.8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24" width="6.875" style="2273" customWidth="1"/>
    <col min="25" max="25" width="8.875" style="2273" customWidth="1"/>
    <col min="26" max="30" width="6.875" style="2273" hidden="1" customWidth="1"/>
    <col min="31" max="31" width="8" style="2273" customWidth="1"/>
    <col min="32" max="34" width="7.125" style="2273" customWidth="1"/>
    <col min="35" max="39" width="8" style="2273" customWidth="1"/>
    <col min="40" max="40" width="13.875" style="2272"/>
    <col min="41" max="41" width="11.625" style="2272" customWidth="1"/>
    <col min="42" max="42" width="9.875" style="2272" customWidth="1"/>
    <col min="43" max="67" width="13.875" style="2272"/>
    <col min="68" max="16384" width="13.875" style="2273"/>
  </cols>
  <sheetData>
    <row r="1" spans="1:67" ht="19.5" thickBot="1">
      <c r="A1" s="2270" t="s">
        <v>1958</v>
      </c>
      <c r="B1" s="732"/>
      <c r="C1" s="1583"/>
      <c r="D1" s="2271"/>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1959</v>
      </c>
      <c r="B2" s="1268">
        <f>项目基本情况!D3</f>
        <v>43482</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8" t="s">
        <v>1960</v>
      </c>
      <c r="B4" s="2279"/>
      <c r="C4" s="2280"/>
      <c r="D4" s="2281"/>
      <c r="E4" s="2280" t="s">
        <v>1961</v>
      </c>
      <c r="F4" s="2280"/>
      <c r="G4" s="2280"/>
      <c r="H4" s="2280"/>
      <c r="I4" s="2280"/>
      <c r="J4" s="2282"/>
      <c r="K4" s="2283"/>
      <c r="L4" s="2284"/>
      <c r="M4" s="2280"/>
      <c r="N4" s="2280" t="s">
        <v>1962</v>
      </c>
      <c r="O4" s="2280"/>
      <c r="P4" s="2280"/>
      <c r="Q4" s="2280"/>
      <c r="R4" s="2280"/>
      <c r="S4" s="2282"/>
      <c r="T4" s="2285" t="str">
        <f>'数据-汇总表'!I17</f>
        <v>按面积比例</v>
      </c>
      <c r="U4" s="2279" t="s">
        <v>1963</v>
      </c>
      <c r="V4" s="2280"/>
      <c r="W4" s="2280"/>
      <c r="X4" s="2280"/>
      <c r="Y4" s="2282"/>
      <c r="Z4" s="2243" t="s">
        <v>1964</v>
      </c>
      <c r="AA4" s="2243"/>
      <c r="AB4" s="2243"/>
      <c r="AC4" s="2243"/>
      <c r="AD4" s="2243"/>
      <c r="AE4" s="2241" t="s">
        <v>1965</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1966</v>
      </c>
      <c r="B5" s="2288" t="s">
        <v>1967</v>
      </c>
      <c r="C5" s="2289" t="s">
        <v>1968</v>
      </c>
      <c r="D5" s="2290" t="s">
        <v>1969</v>
      </c>
      <c r="E5" s="1270" t="s">
        <v>1970</v>
      </c>
      <c r="F5" s="2291" t="s">
        <v>1971</v>
      </c>
      <c r="G5" s="1270" t="s">
        <v>1972</v>
      </c>
      <c r="H5" s="1270" t="s">
        <v>1973</v>
      </c>
      <c r="I5" s="1270" t="s">
        <v>1974</v>
      </c>
      <c r="J5" s="2292" t="s">
        <v>1975</v>
      </c>
      <c r="K5" s="2293" t="s">
        <v>1976</v>
      </c>
      <c r="L5" s="2294" t="s">
        <v>1977</v>
      </c>
      <c r="M5" s="2295" t="s">
        <v>1978</v>
      </c>
      <c r="N5" s="2296" t="s">
        <v>3081</v>
      </c>
      <c r="O5" s="2294" t="s">
        <v>1979</v>
      </c>
      <c r="P5" s="2297" t="s">
        <v>1980</v>
      </c>
      <c r="Q5" s="69" t="s">
        <v>1981</v>
      </c>
      <c r="R5" s="2298" t="s">
        <v>1982</v>
      </c>
      <c r="S5" s="2299" t="s">
        <v>1983</v>
      </c>
      <c r="T5" s="2300" t="s">
        <v>1984</v>
      </c>
      <c r="U5" s="1269" t="s">
        <v>1985</v>
      </c>
      <c r="V5" s="1270" t="s">
        <v>1986</v>
      </c>
      <c r="W5" s="1270" t="s">
        <v>1987</v>
      </c>
      <c r="X5" s="71"/>
      <c r="Y5" s="70" t="s">
        <v>1988</v>
      </c>
      <c r="Z5" s="2301" t="s">
        <v>1985</v>
      </c>
      <c r="AA5" s="1270" t="s">
        <v>1986</v>
      </c>
      <c r="AB5" s="1270" t="s">
        <v>1987</v>
      </c>
      <c r="AC5" s="71"/>
      <c r="AD5" s="71" t="s">
        <v>1988</v>
      </c>
      <c r="AE5" s="1269" t="s">
        <v>1989</v>
      </c>
      <c r="AF5" s="1270" t="s">
        <v>1990</v>
      </c>
      <c r="AG5" s="70" t="s">
        <v>1991</v>
      </c>
      <c r="AH5" s="1269" t="s">
        <v>1992</v>
      </c>
      <c r="AI5" s="2301" t="s">
        <v>1993</v>
      </c>
      <c r="AJ5" s="2301" t="s">
        <v>1994</v>
      </c>
      <c r="AK5" s="1270" t="s">
        <v>1995</v>
      </c>
      <c r="AL5" s="1270" t="s">
        <v>1996</v>
      </c>
      <c r="AM5" s="70" t="s">
        <v>1997</v>
      </c>
      <c r="AN5" s="2302" t="s">
        <v>1998</v>
      </c>
      <c r="AO5" s="2073" t="s">
        <v>1999</v>
      </c>
      <c r="AP5" s="1251" t="s">
        <v>2000</v>
      </c>
      <c r="AQ5" s="2303" t="s">
        <v>2001</v>
      </c>
      <c r="AR5" s="2303" t="s">
        <v>2002</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4" t="str">
        <f>'数据-汇总表'!C19</f>
        <v>住宅</v>
      </c>
      <c r="B6" s="2305" t="str">
        <f>IF(A6=0,"","经营性")</f>
        <v>经营性</v>
      </c>
      <c r="C6" s="2306" t="s">
        <v>3075</v>
      </c>
      <c r="D6" s="1053">
        <f>SUMIF(项目基本情况!D$12:I$12,C6,项目基本情况!D$14:I$14)</f>
        <v>70</v>
      </c>
      <c r="E6" s="1050">
        <f>IF(B6="","",SUMIF(项目基本情况!D$12:I$12,C6,项目基本情况!D$13:I$13))</f>
        <v>68089</v>
      </c>
      <c r="F6" s="72">
        <f>SUMIF(项目基本情况!D$12:I$12,C6,项目基本情况!D$15:I$15)</f>
        <v>67.41</v>
      </c>
      <c r="G6" s="73">
        <f>IF(ISERROR(ROUND(POWER(1+H6,D6-F6)*(POWER(1+H6,F6)-1)/(POWER(1+H6,D6)-1),3)),0,ROUND(POWER(1+H6,D6-F6)*(POWER(1+H6,F6)-1)/(POWER(1+H6,D6)-1),3))</f>
        <v>0.99299999999999999</v>
      </c>
      <c r="H6" s="3451">
        <v>0.04</v>
      </c>
      <c r="I6" s="3451">
        <v>4.4999999999999998E-2</v>
      </c>
      <c r="J6" s="74">
        <v>8.5000000000000006E-2</v>
      </c>
      <c r="K6" s="1253">
        <f>SUMIF('数据-汇总表'!C$19:C$33,A6,'数据-汇总表'!E$19:E$33)</f>
        <v>130182.69</v>
      </c>
      <c r="L6" s="803">
        <v>8000</v>
      </c>
      <c r="M6" s="75">
        <f t="shared" ref="M6:M14" si="0">ROUND(K6*L6/10000,0)</f>
        <v>104146</v>
      </c>
      <c r="N6" s="801">
        <v>1</v>
      </c>
      <c r="O6" s="75" t="str">
        <f>IF($N$5="成新度","——",ROUND(M6*N6,0))</f>
        <v>——</v>
      </c>
      <c r="P6" s="76" t="str">
        <f>IF($N$5="成新度","——",M6-O6)</f>
        <v>——</v>
      </c>
      <c r="Q6" s="804">
        <v>0.1</v>
      </c>
      <c r="R6" s="77">
        <f ca="1">SUMIF('数据-汇总表'!C$19:C$33,A6,'数据-汇总表'!R$19:R$27)</f>
        <v>23379.05</v>
      </c>
      <c r="S6" s="54">
        <f>IF('数据-汇总表'!$I$17="按面积比例",SUMIF('数据-汇总表'!C$19:C$33,A6,'数据-汇总表'!K$19:K$33),SUMIF('数据-汇总表'!C$19:C$33,A6,'数据-汇总表'!N$19:N$33))</f>
        <v>0</v>
      </c>
      <c r="T6" s="1445">
        <f>ROUND($L$14*S6/10000,0)</f>
        <v>0</v>
      </c>
      <c r="U6" s="78">
        <v>150</v>
      </c>
      <c r="V6" s="79">
        <v>0.03</v>
      </c>
      <c r="W6" s="79">
        <v>0.05</v>
      </c>
      <c r="X6" s="1263"/>
      <c r="Y6" s="80">
        <f>N6</f>
        <v>1</v>
      </c>
      <c r="Z6" s="81"/>
      <c r="AA6" s="74"/>
      <c r="AB6" s="74"/>
      <c r="AC6" s="1263"/>
      <c r="AD6" s="82"/>
      <c r="AE6" s="1264">
        <f ca="1">IF(AN6="",0,SUMIF(INDIRECT("'"&amp;AN6&amp;"'"&amp;"!E:E"),$AE$5,INDIRECT("'"&amp;AN6&amp;"'"&amp;"!F:F")))</f>
        <v>67.41</v>
      </c>
      <c r="AF6" s="1806"/>
      <c r="AG6" s="147">
        <f>IF(AF6="",0,AE6-AF6)</f>
        <v>0</v>
      </c>
      <c r="AH6" s="83"/>
      <c r="AI6" s="85">
        <v>12</v>
      </c>
      <c r="AJ6" s="86"/>
      <c r="AK6" s="87">
        <v>1.4999999999999999E-2</v>
      </c>
      <c r="AL6" s="88">
        <v>1.5E-3</v>
      </c>
      <c r="AM6" s="89">
        <v>0.01</v>
      </c>
      <c r="AN6" s="2307" t="s">
        <v>3089</v>
      </c>
      <c r="AO6" s="55">
        <f ca="1">SUMIF(INDIRECT("'"&amp;AN6&amp;"'"&amp;"!A:A"),"总价",INDIRECT("'"&amp;AN6&amp;"'"&amp;"!B:B"))</f>
        <v>654960</v>
      </c>
      <c r="AP6" s="2308">
        <f>IF(C6="住宅",K6*L6,0)</f>
        <v>1041461520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t="str">
        <f>'数据-汇总表'!C20</f>
        <v>商业</v>
      </c>
      <c r="B7" s="2305" t="str">
        <f t="shared" ref="B7:B13" si="1">IF(A7=0,"","经营性")</f>
        <v>经营性</v>
      </c>
      <c r="C7" s="2306" t="s">
        <v>1373</v>
      </c>
      <c r="D7" s="1053">
        <f>SUMIF(项目基本情况!D$12:I$12,C7,项目基本情况!D$14:I$14)</f>
        <v>40</v>
      </c>
      <c r="E7" s="1050">
        <f>IF(B7="","",SUMIF(项目基本情况!D$12:I$12,C7,项目基本情况!D$13:I$13))</f>
        <v>57132</v>
      </c>
      <c r="F7" s="72">
        <f>SUMIF(项目基本情况!D$12:I$12,C7,项目基本情况!D$15:I$15)</f>
        <v>37.39</v>
      </c>
      <c r="G7" s="73">
        <f t="shared" ref="G7:G11" si="2">IF(ISERROR(ROUND(POWER(1+H7,D7-F7)*(POWER(1+H7,F7)-1)/(POWER(1+H7,D7)-1),3)),0,ROUND(POWER(1+H7,D7-F7)*(POWER(1+H7,F7)-1)/(POWER(1+H7,D7)-1),3))</f>
        <v>0.97799999999999998</v>
      </c>
      <c r="H7" s="802">
        <v>0.05</v>
      </c>
      <c r="I7" s="802">
        <v>0.06</v>
      </c>
      <c r="J7" s="74">
        <v>8.5000000000000006E-2</v>
      </c>
      <c r="K7" s="1253">
        <f>SUMIF('数据-汇总表'!C$19:C$33,A7,'数据-汇总表'!E$19:E$33)</f>
        <v>4829.75</v>
      </c>
      <c r="L7" s="803">
        <v>5000</v>
      </c>
      <c r="M7" s="75">
        <f t="shared" si="0"/>
        <v>2415</v>
      </c>
      <c r="N7" s="801">
        <v>1</v>
      </c>
      <c r="O7" s="75" t="str">
        <f t="shared" ref="O7:O14" si="3">IF($N$5="成新度","——",ROUND(M7*N7,0))</f>
        <v>——</v>
      </c>
      <c r="P7" s="76" t="str">
        <f t="shared" ref="P7:P14" si="4">IF($N$5="成新度","——",M7-O7)</f>
        <v>——</v>
      </c>
      <c r="Q7" s="804">
        <v>0.2</v>
      </c>
      <c r="R7" s="77">
        <f ca="1">SUMIF('数据-汇总表'!C$19:C$33,A7,'数据-汇总表'!R$19:R$27)</f>
        <v>867.36</v>
      </c>
      <c r="S7" s="54">
        <f>IF('数据-汇总表'!$I$17="按面积比例",SUMIF('数据-汇总表'!C$19:C$33,A7,'数据-汇总表'!K$19:K$33),SUMIF('数据-汇总表'!C$19:C$33,A7,'数据-汇总表'!N$19:N$33))</f>
        <v>0</v>
      </c>
      <c r="T7" s="1445">
        <f t="shared" ref="T7:T13" si="5">ROUND($L$14*S7/10000,0)</f>
        <v>0</v>
      </c>
      <c r="U7" s="78">
        <v>240</v>
      </c>
      <c r="V7" s="79">
        <v>0.03</v>
      </c>
      <c r="W7" s="79">
        <v>0.05</v>
      </c>
      <c r="X7" s="1263"/>
      <c r="Y7" s="80">
        <f t="shared" ref="Y7:Y9" si="6">N7</f>
        <v>1</v>
      </c>
      <c r="Z7" s="81"/>
      <c r="AA7" s="74"/>
      <c r="AB7" s="74"/>
      <c r="AC7" s="1263"/>
      <c r="AD7" s="82"/>
      <c r="AE7" s="1264">
        <f t="shared" ref="AE7:AE13" ca="1" si="7">IF(AN7="",0,SUMIF(INDIRECT("'"&amp;AN7&amp;"'"&amp;"!E:E"),$AE$5,INDIRECT("'"&amp;AN7&amp;"'"&amp;"!F:F")))</f>
        <v>37.39</v>
      </c>
      <c r="AF7" s="1806"/>
      <c r="AG7" s="147">
        <f t="shared" ref="AG7:AG13" si="8">IF(AF7="",0,AE7-AF7)</f>
        <v>0</v>
      </c>
      <c r="AH7" s="83"/>
      <c r="AI7" s="85">
        <v>12</v>
      </c>
      <c r="AJ7" s="86"/>
      <c r="AK7" s="87">
        <v>1.4999999999999999E-2</v>
      </c>
      <c r="AL7" s="88">
        <v>1.5E-3</v>
      </c>
      <c r="AM7" s="89">
        <v>0.01</v>
      </c>
      <c r="AN7" s="2307" t="s">
        <v>3219</v>
      </c>
      <c r="AO7" s="55">
        <f t="shared" ref="AO7:AO13" ca="1" si="9">SUMIF(INDIRECT("'"&amp;AN7&amp;"'"&amp;"!A:A"),"总价",INDIRECT("'"&amp;AN7&amp;"'"&amp;"!B:B"))</f>
        <v>22414</v>
      </c>
      <c r="AP7" s="2308">
        <f t="shared" ref="AP7:AP13" si="10">IF(C7="住宅",K7*L7,0)</f>
        <v>0</v>
      </c>
      <c r="AQ7" s="55">
        <f t="shared" ref="AQ7:AQ13" si="11">ROUND($L$14*$N$14*S7/10000,0)</f>
        <v>0</v>
      </c>
      <c r="AR7" s="55">
        <f t="shared" ref="AR7:AR13" si="12">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t="str">
        <f>'数据-汇总表'!C21</f>
        <v>独立商业</v>
      </c>
      <c r="B8" s="2305" t="str">
        <f t="shared" si="1"/>
        <v>经营性</v>
      </c>
      <c r="C8" s="2306" t="s">
        <v>1373</v>
      </c>
      <c r="D8" s="1053">
        <f>SUMIF(项目基本情况!D$12:I$12,C8,项目基本情况!D$14:I$14)</f>
        <v>40</v>
      </c>
      <c r="E8" s="1050">
        <f>IF(B8="","",SUMIF(项目基本情况!D$12:I$12,C8,项目基本情况!D$13:I$13))</f>
        <v>57132</v>
      </c>
      <c r="F8" s="72">
        <f>SUMIF(项目基本情况!D$12:I$12,C8,项目基本情况!D$15:I$15)</f>
        <v>37.39</v>
      </c>
      <c r="G8" s="73">
        <f t="shared" si="2"/>
        <v>0.97799999999999998</v>
      </c>
      <c r="H8" s="802">
        <v>0.05</v>
      </c>
      <c r="I8" s="802">
        <v>5.5E-2</v>
      </c>
      <c r="J8" s="74">
        <v>8.5000000000000006E-2</v>
      </c>
      <c r="K8" s="1253">
        <f>SUMIF('数据-汇总表'!C$19:C$33,A8,'数据-汇总表'!E$19:E$33)</f>
        <v>0</v>
      </c>
      <c r="L8" s="803"/>
      <c r="M8" s="75">
        <f>ROUND(K8*L8/10000,0)</f>
        <v>0</v>
      </c>
      <c r="N8" s="801">
        <v>1</v>
      </c>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
        <f t="shared" si="6"/>
        <v>1</v>
      </c>
      <c r="Z8" s="81"/>
      <c r="AA8" s="74"/>
      <c r="AB8" s="74"/>
      <c r="AC8" s="1263"/>
      <c r="AD8" s="82"/>
      <c r="AE8" s="1264">
        <f t="shared" ca="1" si="7"/>
        <v>0</v>
      </c>
      <c r="AF8" s="1806"/>
      <c r="AG8" s="147">
        <f t="shared" si="8"/>
        <v>0</v>
      </c>
      <c r="AH8" s="807"/>
      <c r="AI8" s="85">
        <v>12</v>
      </c>
      <c r="AJ8" s="86"/>
      <c r="AK8" s="808"/>
      <c r="AL8" s="809"/>
      <c r="AM8" s="810"/>
      <c r="AN8" s="2307"/>
      <c r="AO8" s="55" t="e">
        <f t="shared" ca="1" si="9"/>
        <v>#REF!</v>
      </c>
      <c r="AP8" s="2308">
        <f t="shared" si="10"/>
        <v>0</v>
      </c>
      <c r="AQ8" s="55">
        <f t="shared" si="11"/>
        <v>0</v>
      </c>
      <c r="AR8" s="55">
        <f t="shared" si="12"/>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t="str">
        <f>'数据-汇总表'!C22</f>
        <v>公寓</v>
      </c>
      <c r="B9" s="2305" t="str">
        <f t="shared" si="1"/>
        <v>经营性</v>
      </c>
      <c r="C9" s="2306" t="s">
        <v>1373</v>
      </c>
      <c r="D9" s="1053">
        <f>SUMIF(项目基本情况!D$12:I$12,C9,项目基本情况!D$14:I$14)</f>
        <v>40</v>
      </c>
      <c r="E9" s="1050">
        <f>IF(B9="","",SUMIF(项目基本情况!D$12:I$12,C9,项目基本情况!D$13:I$13))</f>
        <v>57132</v>
      </c>
      <c r="F9" s="72">
        <f>SUMIF(项目基本情况!D$12:I$12,C9,项目基本情况!D$15:I$15)</f>
        <v>37.39</v>
      </c>
      <c r="G9" s="73">
        <f t="shared" si="2"/>
        <v>0.97799999999999998</v>
      </c>
      <c r="H9" s="802">
        <v>0.05</v>
      </c>
      <c r="I9" s="802">
        <v>5.5E-2</v>
      </c>
      <c r="J9" s="74">
        <v>8.5000000000000006E-2</v>
      </c>
      <c r="K9" s="1253">
        <f>SUMIF('数据-汇总表'!C$19:C$33,A9,'数据-汇总表'!E$19:E$33)</f>
        <v>2377.56</v>
      </c>
      <c r="L9" s="803">
        <v>6000</v>
      </c>
      <c r="M9" s="75">
        <f t="shared" si="0"/>
        <v>1427</v>
      </c>
      <c r="N9" s="801">
        <v>1</v>
      </c>
      <c r="O9" s="75" t="str">
        <f t="shared" si="3"/>
        <v>——</v>
      </c>
      <c r="P9" s="76" t="str">
        <f t="shared" si="4"/>
        <v>——</v>
      </c>
      <c r="Q9" s="90">
        <v>0.1</v>
      </c>
      <c r="R9" s="77">
        <f ca="1">SUMIF('数据-汇总表'!C$19:C$33,A9,'数据-汇总表'!R$19:R$27)</f>
        <v>426.98</v>
      </c>
      <c r="S9" s="54">
        <f>IF('数据-汇总表'!$I$17="按面积比例",SUMIF('数据-汇总表'!C$19:C$33,A9,'数据-汇总表'!K$19:K$33),SUMIF('数据-汇总表'!C$19:C$33,A9,'数据-汇总表'!N$19:N$33))</f>
        <v>0</v>
      </c>
      <c r="T9" s="1445">
        <f t="shared" si="5"/>
        <v>0</v>
      </c>
      <c r="U9" s="78">
        <v>120</v>
      </c>
      <c r="V9" s="79">
        <v>0.03</v>
      </c>
      <c r="W9" s="79">
        <v>0.05</v>
      </c>
      <c r="X9" s="1263"/>
      <c r="Y9" s="80">
        <f t="shared" si="6"/>
        <v>1</v>
      </c>
      <c r="Z9" s="81"/>
      <c r="AA9" s="74"/>
      <c r="AB9" s="74"/>
      <c r="AC9" s="1263"/>
      <c r="AD9" s="82"/>
      <c r="AE9" s="1264">
        <f t="shared" ca="1" si="7"/>
        <v>37.39</v>
      </c>
      <c r="AF9" s="1806"/>
      <c r="AG9" s="147">
        <f t="shared" si="8"/>
        <v>0</v>
      </c>
      <c r="AH9" s="83"/>
      <c r="AI9" s="85">
        <v>12</v>
      </c>
      <c r="AJ9" s="86"/>
      <c r="AK9" s="87">
        <v>1.4999999999999999E-2</v>
      </c>
      <c r="AL9" s="88">
        <v>1.5E-3</v>
      </c>
      <c r="AM9" s="89">
        <v>0.01</v>
      </c>
      <c r="AN9" s="2307" t="s">
        <v>3102</v>
      </c>
      <c r="AO9" s="55">
        <f t="shared" ca="1" si="9"/>
        <v>5549</v>
      </c>
      <c r="AP9" s="2308">
        <f t="shared" si="10"/>
        <v>0</v>
      </c>
      <c r="AQ9" s="55">
        <f t="shared" si="11"/>
        <v>0</v>
      </c>
      <c r="AR9" s="55">
        <f t="shared" si="12"/>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1"/>
        <v/>
      </c>
      <c r="C10" s="2306"/>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7"/>
        <v>0</v>
      </c>
      <c r="AF10" s="1806"/>
      <c r="AG10" s="147">
        <f t="shared" si="8"/>
        <v>0</v>
      </c>
      <c r="AH10" s="83"/>
      <c r="AI10" s="85"/>
      <c r="AJ10" s="86"/>
      <c r="AK10" s="87"/>
      <c r="AL10" s="88"/>
      <c r="AM10" s="89"/>
      <c r="AN10" s="2307"/>
      <c r="AO10" s="55" t="e">
        <f t="shared" ca="1" si="9"/>
        <v>#REF!</v>
      </c>
      <c r="AP10" s="2308">
        <f t="shared" si="10"/>
        <v>0</v>
      </c>
      <c r="AQ10" s="55">
        <f t="shared" si="11"/>
        <v>0</v>
      </c>
      <c r="AR10" s="55">
        <f t="shared" si="12"/>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1"/>
        <v/>
      </c>
      <c r="C11" s="2306"/>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7"/>
        <v>0</v>
      </c>
      <c r="AF11" s="1806"/>
      <c r="AG11" s="147">
        <f t="shared" si="8"/>
        <v>0</v>
      </c>
      <c r="AH11" s="83"/>
      <c r="AI11" s="85"/>
      <c r="AJ11" s="86"/>
      <c r="AK11" s="94"/>
      <c r="AL11" s="95"/>
      <c r="AM11" s="96"/>
      <c r="AN11" s="2307"/>
      <c r="AO11" s="55" t="e">
        <f t="shared" ca="1" si="9"/>
        <v>#REF!</v>
      </c>
      <c r="AP11" s="2308">
        <f t="shared" si="10"/>
        <v>0</v>
      </c>
      <c r="AQ11" s="55">
        <f t="shared" si="11"/>
        <v>0</v>
      </c>
      <c r="AR11" s="55">
        <f t="shared" si="12"/>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1"/>
        <v/>
      </c>
      <c r="C12" s="2306"/>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7"/>
        <v>0</v>
      </c>
      <c r="AF12" s="1806"/>
      <c r="AG12" s="147">
        <f t="shared" si="8"/>
        <v>0</v>
      </c>
      <c r="AH12" s="83"/>
      <c r="AI12" s="85"/>
      <c r="AJ12" s="86"/>
      <c r="AK12" s="94"/>
      <c r="AL12" s="95"/>
      <c r="AM12" s="96"/>
      <c r="AN12" s="2307"/>
      <c r="AO12" s="55" t="e">
        <f t="shared" ca="1" si="9"/>
        <v>#REF!</v>
      </c>
      <c r="AP12" s="2308">
        <f t="shared" si="10"/>
        <v>0</v>
      </c>
      <c r="AQ12" s="55">
        <f t="shared" si="11"/>
        <v>0</v>
      </c>
      <c r="AR12" s="55">
        <f t="shared" si="12"/>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1"/>
        <v/>
      </c>
      <c r="C13" s="2306"/>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7"/>
        <v>0</v>
      </c>
      <c r="AF13" s="1806"/>
      <c r="AG13" s="147">
        <f t="shared" si="8"/>
        <v>0</v>
      </c>
      <c r="AH13" s="83"/>
      <c r="AI13" s="85"/>
      <c r="AJ13" s="86"/>
      <c r="AK13" s="87"/>
      <c r="AL13" s="88"/>
      <c r="AM13" s="89"/>
      <c r="AN13" s="2307"/>
      <c r="AO13" s="55" t="e">
        <f t="shared" ca="1" si="9"/>
        <v>#REF!</v>
      </c>
      <c r="AP13" s="2308">
        <f t="shared" si="10"/>
        <v>0</v>
      </c>
      <c r="AQ13" s="55">
        <f t="shared" si="11"/>
        <v>0</v>
      </c>
      <c r="AR13" s="55">
        <f t="shared" si="12"/>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2003</v>
      </c>
      <c r="B14" s="2305" t="s">
        <v>2004</v>
      </c>
      <c r="C14" s="2310" t="s">
        <v>2003</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2005</v>
      </c>
      <c r="B15" s="2305" t="s">
        <v>2004</v>
      </c>
      <c r="C15" s="2310" t="s">
        <v>2006</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2007</v>
      </c>
      <c r="B16" s="97"/>
      <c r="C16" s="1007"/>
      <c r="D16" s="2312"/>
      <c r="E16" s="97"/>
      <c r="F16" s="97"/>
      <c r="G16" s="98">
        <f>ROUND(SUMPRODUCT(G6:G13,K6:K13)/SUMPRODUCT((G6:G13&gt;0)*(K6:K13)),3)</f>
        <v>0.99199999999999999</v>
      </c>
      <c r="H16" s="99">
        <f>ROUND(SUMPRODUCT(H6:H13,K6:K13)/SUMPRODUCT((H6:H13&gt;0)*(K6:K13)),3)</f>
        <v>4.1000000000000002E-2</v>
      </c>
      <c r="I16" s="100"/>
      <c r="J16" s="100"/>
      <c r="K16" s="101">
        <f>SUM(K6:K15)</f>
        <v>137390</v>
      </c>
      <c r="L16" s="102">
        <f>ROUND(M16*10000/SUM(K6:K14),0)</f>
        <v>7860</v>
      </c>
      <c r="M16" s="102">
        <f>SUM(M6:M14)</f>
        <v>107988</v>
      </c>
      <c r="N16" s="103">
        <f>ROUND(SUMPRODUCT(M6:M14,N6:N14)/M16,3)</f>
        <v>1</v>
      </c>
      <c r="O16" s="102">
        <f>SUM(O6:O14)</f>
        <v>0</v>
      </c>
      <c r="P16" s="102">
        <f>SUM(P6:P14)</f>
        <v>0</v>
      </c>
      <c r="Q16" s="104">
        <f>ROUND(SUMPRODUCT(Q6:Q13,K6:K13)/SUMPRODUCT((Q6:Q13&gt;0)*(K6:K13)),2)</f>
        <v>0.1</v>
      </c>
      <c r="R16" s="1257">
        <f ca="1">SUM(R6:R13)</f>
        <v>24673.39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3"/>
      <c r="D17" s="2271"/>
      <c r="E17" s="2271"/>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2008</v>
      </c>
      <c r="B18" s="2278"/>
      <c r="C18" s="2275"/>
      <c r="D18" s="2276"/>
      <c r="E18" s="2275"/>
      <c r="F18" s="2275"/>
      <c r="G18" s="2275"/>
      <c r="H18" s="2275"/>
      <c r="I18" s="2275"/>
      <c r="J18" s="2275"/>
      <c r="K18" s="3062" t="s">
        <v>3357</v>
      </c>
      <c r="L18" s="3191" t="s">
        <v>3358</v>
      </c>
      <c r="M18" s="3191"/>
      <c r="N18" s="3191"/>
      <c r="O18" s="1583"/>
      <c r="P18" s="1583"/>
      <c r="Q18" s="1583"/>
      <c r="R18" s="1583"/>
      <c r="S18" s="1583"/>
      <c r="T18" s="1583"/>
      <c r="U18" s="2978" t="s">
        <v>3151</v>
      </c>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2009</v>
      </c>
      <c r="B19" s="112">
        <v>0</v>
      </c>
      <c r="C19" s="2275" t="s">
        <v>2010</v>
      </c>
      <c r="D19" s="2276"/>
      <c r="E19" s="2275"/>
      <c r="F19" s="2275"/>
      <c r="G19" s="2275"/>
      <c r="H19" s="2275"/>
      <c r="I19" s="2275"/>
      <c r="J19" s="2275"/>
      <c r="K19" s="3063"/>
      <c r="L19" s="3064" t="s">
        <v>3171</v>
      </c>
      <c r="M19" s="3064" t="s">
        <v>3173</v>
      </c>
      <c r="N19" s="3064" t="s">
        <v>3119</v>
      </c>
      <c r="O19" s="1583"/>
      <c r="P19" s="1583"/>
      <c r="Q19" s="1583"/>
      <c r="R19" s="1583"/>
      <c r="S19" s="1583"/>
      <c r="T19" s="1583"/>
      <c r="U19" s="1583">
        <v>1</v>
      </c>
      <c r="V19" s="1583">
        <v>1</v>
      </c>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2011</v>
      </c>
      <c r="B20" s="113">
        <v>2</v>
      </c>
      <c r="C20" s="2275" t="s">
        <v>2012</v>
      </c>
      <c r="D20" s="2276"/>
      <c r="E20" s="2275"/>
      <c r="F20" s="2275"/>
      <c r="G20" s="2275"/>
      <c r="H20" s="2275"/>
      <c r="I20" s="2275"/>
      <c r="J20" s="2275"/>
      <c r="K20" s="3065" t="s">
        <v>3359</v>
      </c>
      <c r="L20" s="3065" t="s">
        <v>3360</v>
      </c>
      <c r="M20" s="3065" t="s">
        <v>3361</v>
      </c>
      <c r="N20" s="3065" t="s">
        <v>3362</v>
      </c>
      <c r="O20" s="1583"/>
      <c r="P20" s="1583"/>
      <c r="Q20" s="1583"/>
      <c r="R20" s="1583"/>
      <c r="S20" s="1583"/>
      <c r="T20" s="1583">
        <f>9/16</f>
        <v>0.5625</v>
      </c>
      <c r="U20" s="1583">
        <v>2</v>
      </c>
      <c r="V20" s="1583">
        <v>0.55000000000000004</v>
      </c>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2013</v>
      </c>
      <c r="B21" s="113">
        <v>2</v>
      </c>
      <c r="C21" s="2275"/>
      <c r="D21" s="2276"/>
      <c r="E21" s="2275"/>
      <c r="F21" s="2275"/>
      <c r="G21" s="2275"/>
      <c r="H21" s="2275"/>
      <c r="I21" s="2275"/>
      <c r="J21" s="2275"/>
      <c r="K21" s="168"/>
      <c r="L21" s="168"/>
      <c r="M21" s="1583"/>
      <c r="N21" s="1583"/>
      <c r="O21" s="1583"/>
      <c r="P21" s="1583"/>
      <c r="Q21" s="1583"/>
      <c r="R21" s="1583"/>
      <c r="S21" s="1583"/>
      <c r="T21" s="1583"/>
      <c r="U21" s="1583">
        <v>3</v>
      </c>
      <c r="V21" s="1583">
        <v>0.4</v>
      </c>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2014</v>
      </c>
      <c r="B22" s="114">
        <f>B19+B20</f>
        <v>2</v>
      </c>
      <c r="C22" s="2275"/>
      <c r="D22" s="2276"/>
      <c r="E22" s="2275"/>
      <c r="F22" s="2275"/>
      <c r="G22" s="2275"/>
      <c r="H22" s="2275"/>
      <c r="I22" s="2275"/>
      <c r="J22" s="2275"/>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2015</v>
      </c>
      <c r="B23" s="114">
        <f>B19+B21</f>
        <v>2</v>
      </c>
      <c r="C23" s="2275"/>
      <c r="D23" s="2276"/>
      <c r="E23" s="2275"/>
      <c r="F23" s="2275"/>
      <c r="G23" s="2275"/>
      <c r="H23" s="2275"/>
      <c r="I23" s="2275"/>
      <c r="J23" s="2275"/>
      <c r="K23" s="168"/>
      <c r="L23" s="168"/>
      <c r="M23" s="1583"/>
      <c r="N23" s="1583"/>
      <c r="O23" s="1583"/>
      <c r="P23" s="1583"/>
      <c r="Q23" s="1583"/>
      <c r="R23" s="1583"/>
      <c r="S23" s="1583"/>
      <c r="T23" s="1583"/>
      <c r="U23" s="2979" t="s">
        <v>3152</v>
      </c>
      <c r="V23" s="1583">
        <f>ROUND((V19+V20)/2,2)</f>
        <v>0.78</v>
      </c>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2016</v>
      </c>
      <c r="B24" s="115">
        <f>B20-B21</f>
        <v>0</v>
      </c>
      <c r="C24" s="2275"/>
      <c r="D24" s="2276"/>
      <c r="E24" s="2275"/>
      <c r="F24" s="2275"/>
      <c r="G24" s="2275"/>
      <c r="H24" s="2275"/>
      <c r="I24" s="2275"/>
      <c r="J24" s="2275"/>
      <c r="K24" s="168"/>
      <c r="L24" s="168"/>
      <c r="M24" s="1583"/>
      <c r="N24" s="1583"/>
      <c r="O24" s="1583"/>
      <c r="P24" s="1583"/>
      <c r="Q24" s="1583"/>
      <c r="R24" s="1583"/>
      <c r="S24" s="1583"/>
      <c r="T24" s="1583"/>
      <c r="U24" s="2979" t="s">
        <v>3153</v>
      </c>
      <c r="V24" s="1583">
        <f>ROUND((V19+V20+V21)/3,2)</f>
        <v>0.65</v>
      </c>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2017</v>
      </c>
      <c r="B26" s="2318" t="s">
        <v>2018</v>
      </c>
      <c r="C26" s="2319" t="s">
        <v>2019</v>
      </c>
      <c r="D26" s="2276"/>
      <c r="E26" s="2275"/>
      <c r="F26" s="2275"/>
      <c r="G26" s="2275"/>
      <c r="H26" s="2275"/>
      <c r="I26" s="2275"/>
      <c r="J26" s="2275"/>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2020</v>
      </c>
      <c r="B27" s="116">
        <v>165</v>
      </c>
      <c r="C27" s="1766" t="s">
        <v>2021</v>
      </c>
      <c r="D27" s="2321"/>
      <c r="E27" s="1429"/>
      <c r="F27" s="1429"/>
      <c r="G27" s="2275"/>
      <c r="H27" s="2275"/>
      <c r="I27" s="2275"/>
      <c r="J27" s="2275"/>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2" customFormat="1" ht="27.75">
      <c r="A28" s="2323" t="s">
        <v>2022</v>
      </c>
      <c r="B28" s="119">
        <v>215</v>
      </c>
      <c r="C28" s="2324"/>
      <c r="D28" s="2321"/>
      <c r="E28" s="1429"/>
      <c r="F28" s="1429"/>
      <c r="G28" s="2275"/>
      <c r="H28" s="2275"/>
      <c r="I28" s="2275"/>
      <c r="J28" s="2275"/>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2" customFormat="1" ht="28.5" thickBot="1">
      <c r="A29" s="2325" t="s">
        <v>2023</v>
      </c>
      <c r="B29" s="121">
        <f ca="1">成本法!C9+成本法!C10</f>
        <v>2303</v>
      </c>
      <c r="C29" s="1766" t="s">
        <v>2024</v>
      </c>
      <c r="D29" s="2321"/>
      <c r="E29" s="1429"/>
      <c r="F29" s="1429"/>
      <c r="G29" s="2275"/>
      <c r="H29" s="2275"/>
      <c r="I29" s="2275"/>
      <c r="J29" s="2275"/>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2" customFormat="1" ht="27">
      <c r="A30" s="2326" t="s">
        <v>2025</v>
      </c>
      <c r="B30" s="724">
        <v>200</v>
      </c>
      <c r="C30" s="2324"/>
      <c r="D30" s="2321"/>
      <c r="E30" s="1429"/>
      <c r="F30" s="1429"/>
      <c r="G30" s="2275"/>
      <c r="H30" s="2275"/>
      <c r="I30" s="2275"/>
      <c r="J30" s="2275"/>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2" customFormat="1" ht="27">
      <c r="A31" s="2323" t="s">
        <v>2026</v>
      </c>
      <c r="B31" s="120">
        <f>B30-B32</f>
        <v>200</v>
      </c>
      <c r="C31" s="1766"/>
      <c r="D31" s="2321"/>
      <c r="E31" s="1429"/>
      <c r="F31" s="1429"/>
      <c r="G31" s="2275"/>
      <c r="H31" s="2275"/>
      <c r="I31" s="2275"/>
      <c r="J31" s="2275"/>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2" customFormat="1" ht="27.75" thickBot="1">
      <c r="A32" s="2327" t="s">
        <v>2027</v>
      </c>
      <c r="B32" s="725">
        <v>0</v>
      </c>
      <c r="C32" s="2324"/>
      <c r="D32" s="2276"/>
      <c r="E32" s="2275"/>
      <c r="F32" s="2275"/>
      <c r="G32" s="2275"/>
      <c r="H32" s="2275"/>
      <c r="I32" s="2275"/>
      <c r="J32" s="2275"/>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2" customFormat="1" ht="14.25">
      <c r="A33" s="2320" t="s">
        <v>2028</v>
      </c>
      <c r="B33" s="726">
        <v>0.03</v>
      </c>
      <c r="C33" s="1765" t="s">
        <v>2029</v>
      </c>
      <c r="D33" s="2276"/>
      <c r="E33" s="2275"/>
      <c r="F33" s="2275"/>
      <c r="G33" s="2275"/>
      <c r="H33" s="2275"/>
      <c r="I33" s="2275"/>
      <c r="J33" s="2275"/>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2" customFormat="1" ht="14.25">
      <c r="A34" s="2323" t="s">
        <v>2030</v>
      </c>
      <c r="B34" s="122">
        <v>0.03</v>
      </c>
      <c r="C34" s="1765" t="s">
        <v>2031</v>
      </c>
      <c r="D34" s="2276" t="s">
        <v>2032</v>
      </c>
      <c r="E34" s="732"/>
      <c r="F34" s="2275"/>
      <c r="G34" s="2275"/>
      <c r="H34" s="2275"/>
      <c r="I34" s="2275"/>
      <c r="J34" s="2275"/>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2" customFormat="1" ht="14.25">
      <c r="A35" s="2323" t="s">
        <v>2033</v>
      </c>
      <c r="B35" s="119">
        <v>200</v>
      </c>
      <c r="C35" s="1765" t="s">
        <v>2034</v>
      </c>
      <c r="D35" s="2321"/>
      <c r="E35" s="1429"/>
      <c r="F35" s="1429"/>
      <c r="G35" s="2275"/>
      <c r="H35" s="2275"/>
      <c r="I35" s="2275"/>
      <c r="J35" s="2275"/>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5" t="s">
        <v>2035</v>
      </c>
      <c r="B36" s="123">
        <v>1.4999999999999999E-2</v>
      </c>
      <c r="C36" s="1765" t="s">
        <v>2036</v>
      </c>
      <c r="D36" s="2276"/>
      <c r="E36" s="2275"/>
      <c r="F36" s="2275"/>
      <c r="G36" s="2275"/>
      <c r="H36" s="2275"/>
      <c r="I36" s="2275"/>
      <c r="J36" s="2275"/>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2037</v>
      </c>
      <c r="B37" s="124">
        <v>0.02</v>
      </c>
      <c r="C37" s="1765" t="s">
        <v>2038</v>
      </c>
      <c r="D37" s="2276"/>
      <c r="E37" s="2275"/>
      <c r="F37" s="2275"/>
      <c r="G37" s="2275"/>
      <c r="H37" s="2275"/>
      <c r="I37" s="2275"/>
      <c r="J37" s="2275"/>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2039</v>
      </c>
      <c r="B38" s="122">
        <v>0.02</v>
      </c>
      <c r="C38" s="1765" t="s">
        <v>2038</v>
      </c>
      <c r="D38" s="2276"/>
      <c r="E38" s="2275"/>
      <c r="F38" s="2275"/>
      <c r="G38" s="2275"/>
      <c r="H38" s="2275"/>
      <c r="I38" s="2275"/>
      <c r="J38" s="2275"/>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2040</v>
      </c>
      <c r="B39" s="362">
        <f ca="1">存贷款利率!I1</f>
        <v>1.4999999999999999E-2</v>
      </c>
      <c r="C39" s="1765"/>
      <c r="D39" s="2276"/>
      <c r="E39" s="2275"/>
      <c r="F39" s="2275"/>
      <c r="G39" s="2275"/>
      <c r="H39" s="2275"/>
      <c r="I39" s="2275"/>
      <c r="J39" s="2275"/>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2041</v>
      </c>
      <c r="B40" s="1302">
        <f ca="1">存贷款利率!G1</f>
        <v>4.7500000000000001E-2</v>
      </c>
      <c r="C40" s="1765" t="s">
        <v>2042</v>
      </c>
      <c r="D40" s="1583"/>
      <c r="E40" s="2276"/>
      <c r="F40" s="2275"/>
      <c r="G40" s="2275"/>
      <c r="H40" s="2275"/>
      <c r="I40" s="2275"/>
      <c r="J40" s="2275"/>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2043</v>
      </c>
      <c r="B41" s="125">
        <f>B42+B43</f>
        <v>5.6000000000000001E-2</v>
      </c>
      <c r="C41" s="1766"/>
      <c r="D41" s="1583"/>
      <c r="E41" s="2276"/>
      <c r="F41" s="2275"/>
      <c r="G41" s="2275"/>
      <c r="H41" s="2275"/>
      <c r="I41" s="2275"/>
      <c r="J41" s="2275"/>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2044</v>
      </c>
      <c r="B42" s="126">
        <v>0.05</v>
      </c>
      <c r="C42" s="2329">
        <f>IF(B2&lt;DATE(2016,5,1),0,B42)</f>
        <v>0.05</v>
      </c>
      <c r="D42" s="2276"/>
      <c r="E42" s="2275"/>
      <c r="F42" s="2275"/>
      <c r="G42" s="2275"/>
      <c r="H42" s="2275"/>
      <c r="I42" s="2275"/>
      <c r="J42" s="2275"/>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2045</v>
      </c>
      <c r="B43" s="127">
        <f>B42*(B44+B45+B46)+B47</f>
        <v>6.000000000000001E-3</v>
      </c>
      <c r="C43" s="1766"/>
      <c r="D43" s="2276"/>
      <c r="E43" s="2275"/>
      <c r="F43" s="2275"/>
      <c r="G43" s="2275"/>
      <c r="H43" s="2275"/>
      <c r="I43" s="2275"/>
      <c r="J43" s="2275"/>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2046</v>
      </c>
      <c r="B44" s="128">
        <v>7.0000000000000007E-2</v>
      </c>
      <c r="C44" s="1765" t="s">
        <v>2047</v>
      </c>
      <c r="D44" s="2276"/>
      <c r="E44" s="2275"/>
      <c r="F44" s="2275"/>
      <c r="G44" s="2275"/>
      <c r="H44" s="2275"/>
      <c r="I44" s="2275"/>
      <c r="J44" s="2275"/>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2048</v>
      </c>
      <c r="B45" s="126">
        <v>0.03</v>
      </c>
      <c r="C45" s="1766" t="s">
        <v>2049</v>
      </c>
      <c r="D45" s="2276"/>
      <c r="E45" s="2275"/>
      <c r="F45" s="2275"/>
      <c r="G45" s="2275"/>
      <c r="H45" s="2275"/>
      <c r="I45" s="2275"/>
      <c r="J45" s="2275"/>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2050</v>
      </c>
      <c r="B46" s="126">
        <v>0.02</v>
      </c>
      <c r="C46" s="1766" t="s">
        <v>2051</v>
      </c>
      <c r="D46" s="2276"/>
      <c r="E46" s="2275"/>
      <c r="F46" s="2275"/>
      <c r="G46" s="2275"/>
      <c r="H46" s="2275"/>
      <c r="I46" s="2275"/>
      <c r="J46" s="2275"/>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2052</v>
      </c>
      <c r="B47" s="129">
        <v>0</v>
      </c>
      <c r="C47" s="1766" t="s">
        <v>2053</v>
      </c>
      <c r="D47" s="2276"/>
      <c r="E47" s="2275"/>
      <c r="F47" s="2275"/>
      <c r="G47" s="2275"/>
      <c r="H47" s="2275"/>
      <c r="I47" s="2275"/>
      <c r="J47" s="2275"/>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2054</v>
      </c>
      <c r="B48" s="130">
        <v>0.03</v>
      </c>
      <c r="C48" s="1773" t="s">
        <v>2055</v>
      </c>
      <c r="D48" s="2276"/>
      <c r="E48" s="2275"/>
      <c r="F48" s="2275"/>
      <c r="G48" s="2275"/>
      <c r="H48" s="2275"/>
      <c r="I48" s="2275"/>
      <c r="J48" s="2275"/>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2056</v>
      </c>
      <c r="B49" s="126">
        <v>5.0000000000000001E-4</v>
      </c>
      <c r="C49" s="1773" t="s">
        <v>2057</v>
      </c>
      <c r="D49" s="2276"/>
      <c r="E49" s="2275"/>
      <c r="F49" s="2275"/>
      <c r="G49" s="2275"/>
      <c r="H49" s="2275"/>
      <c r="I49" s="2275"/>
      <c r="J49" s="2275"/>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2058</v>
      </c>
      <c r="B50" s="131">
        <v>1.2E-2</v>
      </c>
      <c r="C50" s="1429"/>
      <c r="D50" s="2276"/>
      <c r="E50" s="2275"/>
      <c r="F50" s="2275"/>
      <c r="G50" s="2275"/>
      <c r="H50" s="2275"/>
      <c r="I50" s="2275"/>
      <c r="J50" s="2275"/>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2059</v>
      </c>
      <c r="B51" s="132">
        <v>0.12</v>
      </c>
      <c r="C51" s="1429"/>
      <c r="D51" s="2276"/>
      <c r="E51" s="2275"/>
      <c r="F51" s="2275"/>
      <c r="G51" s="2275"/>
      <c r="H51" s="2275"/>
      <c r="I51" s="2275"/>
      <c r="J51" s="2275"/>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2060</v>
      </c>
      <c r="B52" s="133">
        <f>SUMIF(A54:A63,B53,B54:B63)</f>
        <v>3</v>
      </c>
      <c r="C52" s="1429"/>
      <c r="D52" s="2276"/>
      <c r="E52" s="2275"/>
      <c r="F52" s="2275"/>
      <c r="G52" s="2275"/>
      <c r="H52" s="2275"/>
      <c r="I52" s="2275"/>
      <c r="J52" s="2275"/>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2061</v>
      </c>
      <c r="B53" s="2334" t="s">
        <v>523</v>
      </c>
      <c r="C53" s="1429" t="s">
        <v>2062</v>
      </c>
      <c r="D53" s="2335" t="s">
        <v>2063</v>
      </c>
      <c r="E53" s="2275"/>
      <c r="F53" s="2275"/>
      <c r="G53" s="2275"/>
      <c r="H53" s="2275"/>
      <c r="I53" s="2275"/>
      <c r="J53" s="2275"/>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2064</v>
      </c>
      <c r="B54" s="84"/>
      <c r="C54" s="1429">
        <v>30</v>
      </c>
      <c r="D54" s="2276"/>
      <c r="E54" s="2275"/>
      <c r="F54" s="2275"/>
      <c r="G54" s="2275"/>
      <c r="H54" s="2275"/>
      <c r="I54" s="2275"/>
      <c r="J54" s="2275"/>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2065</v>
      </c>
      <c r="B55" s="84"/>
      <c r="C55" s="1429">
        <v>24</v>
      </c>
      <c r="D55" s="2276"/>
      <c r="E55" s="2275"/>
      <c r="F55" s="2275"/>
      <c r="G55" s="2275"/>
      <c r="H55" s="2275"/>
      <c r="I55" s="2337"/>
      <c r="J55" s="2275"/>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2066</v>
      </c>
      <c r="B56" s="84"/>
      <c r="C56" s="1429">
        <v>18</v>
      </c>
      <c r="D56" s="2276"/>
      <c r="E56" s="2275"/>
      <c r="F56" s="2275"/>
      <c r="G56" s="2275"/>
      <c r="H56" s="2275"/>
      <c r="I56" s="2275"/>
      <c r="J56" s="2275"/>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2067</v>
      </c>
      <c r="B57" s="84"/>
      <c r="C57" s="1429">
        <v>12</v>
      </c>
      <c r="D57" s="2276"/>
      <c r="E57" s="2275"/>
      <c r="F57" s="2275"/>
      <c r="G57" s="2275"/>
      <c r="H57" s="2275"/>
      <c r="I57" s="2275"/>
      <c r="J57" s="2275"/>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2068</v>
      </c>
      <c r="B58" s="84">
        <v>3</v>
      </c>
      <c r="C58" s="1429">
        <v>3</v>
      </c>
      <c r="D58" s="2276"/>
      <c r="E58" s="2275"/>
      <c r="F58" s="2275"/>
      <c r="G58" s="2275"/>
      <c r="H58" s="2275"/>
      <c r="I58" s="2275"/>
      <c r="J58" s="2275"/>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2069</v>
      </c>
      <c r="B59" s="84"/>
      <c r="C59" s="1429">
        <v>1.5</v>
      </c>
      <c r="D59" s="2276"/>
      <c r="E59" s="2275"/>
      <c r="F59" s="2275"/>
      <c r="G59" s="2275"/>
      <c r="H59" s="2275"/>
      <c r="I59" s="2275"/>
      <c r="J59" s="2275"/>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2070</v>
      </c>
      <c r="B60" s="84"/>
      <c r="C60" s="2275"/>
      <c r="D60" s="2276"/>
      <c r="E60" s="2275"/>
      <c r="F60" s="2275"/>
      <c r="G60" s="2275"/>
      <c r="H60" s="2275"/>
      <c r="I60" s="2275"/>
      <c r="J60" s="2275"/>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2071</v>
      </c>
      <c r="B61" s="84"/>
      <c r="C61" s="2275"/>
      <c r="D61" s="2276"/>
      <c r="E61" s="2275"/>
      <c r="F61" s="2275"/>
      <c r="G61" s="2275"/>
      <c r="H61" s="2275"/>
      <c r="I61" s="2275"/>
      <c r="J61" s="2275"/>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2072</v>
      </c>
      <c r="B62" s="84"/>
      <c r="C62" s="2275"/>
      <c r="D62" s="2276"/>
      <c r="E62" s="2275"/>
      <c r="F62" s="2275"/>
      <c r="G62" s="2275"/>
      <c r="H62" s="2275"/>
      <c r="I62" s="2275"/>
      <c r="J62" s="2275"/>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2073</v>
      </c>
      <c r="B63" s="134"/>
      <c r="C63" s="2275"/>
      <c r="D63" s="2276"/>
      <c r="E63" s="2275"/>
      <c r="F63" s="2275"/>
      <c r="G63" s="2275"/>
      <c r="H63" s="2275"/>
      <c r="I63" s="2275"/>
      <c r="J63" s="2275"/>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9"/>
      <c r="D64" s="2340"/>
      <c r="K64" s="798"/>
      <c r="L64" s="798"/>
    </row>
    <row r="65" spans="1:12" s="966" customFormat="1">
      <c r="A65" s="2339"/>
      <c r="D65" s="2340"/>
      <c r="K65" s="798"/>
      <c r="L65" s="798"/>
    </row>
    <row r="66" spans="1:12" s="966" customFormat="1">
      <c r="A66" s="2339"/>
      <c r="D66" s="2340"/>
      <c r="K66" s="798"/>
      <c r="L66" s="798"/>
    </row>
    <row r="67" spans="1:12" s="966" customFormat="1">
      <c r="A67" s="2339"/>
      <c r="D67" s="2340"/>
      <c r="K67" s="798"/>
      <c r="L67" s="798"/>
    </row>
    <row r="68" spans="1:12" s="966" customFormat="1">
      <c r="A68" s="2339"/>
      <c r="D68" s="2340"/>
      <c r="K68" s="798"/>
      <c r="L68" s="798"/>
    </row>
    <row r="69" spans="1:12" s="966" customFormat="1">
      <c r="A69" s="2339"/>
      <c r="D69" s="2340"/>
      <c r="K69" s="798"/>
      <c r="L69" s="798"/>
    </row>
    <row r="70" spans="1:12" s="966" customFormat="1">
      <c r="A70" s="2339"/>
      <c r="D70" s="2340"/>
      <c r="K70" s="798"/>
      <c r="L70" s="798"/>
    </row>
    <row r="71" spans="1:12" s="966" customFormat="1">
      <c r="A71" s="2339"/>
      <c r="D71" s="2340"/>
      <c r="K71" s="798"/>
      <c r="L71" s="798"/>
    </row>
    <row r="72" spans="1:12" s="966" customFormat="1">
      <c r="A72" s="2339"/>
      <c r="D72" s="2340"/>
      <c r="K72" s="798"/>
      <c r="L72" s="798"/>
    </row>
    <row r="73" spans="1:12" s="966" customFormat="1">
      <c r="A73" s="2339"/>
      <c r="D73" s="2340"/>
      <c r="K73" s="798"/>
      <c r="L73" s="798"/>
    </row>
    <row r="74" spans="1:12" s="966" customFormat="1">
      <c r="A74" s="2339"/>
      <c r="D74" s="2340"/>
      <c r="K74" s="798"/>
      <c r="L74" s="798"/>
    </row>
    <row r="75" spans="1:12" s="966" customFormat="1">
      <c r="A75" s="2339"/>
      <c r="D75" s="2340"/>
      <c r="K75" s="798"/>
      <c r="L75" s="798"/>
    </row>
    <row r="76" spans="1:12" s="966" customFormat="1">
      <c r="A76" s="2339"/>
      <c r="D76" s="2340"/>
      <c r="K76" s="798"/>
      <c r="L76" s="798"/>
    </row>
    <row r="77" spans="1:12" s="966" customFormat="1">
      <c r="A77" s="2339"/>
      <c r="D77" s="2340"/>
      <c r="K77" s="798"/>
      <c r="L77" s="798"/>
    </row>
    <row r="78" spans="1:12" s="966" customFormat="1">
      <c r="A78" s="2339"/>
      <c r="D78" s="2340"/>
      <c r="K78" s="798"/>
      <c r="L78" s="798"/>
    </row>
    <row r="79" spans="1:12" s="966" customFormat="1">
      <c r="A79" s="2339"/>
      <c r="D79" s="2340"/>
      <c r="K79" s="798"/>
      <c r="L79" s="798"/>
    </row>
    <row r="80" spans="1:12" s="966" customFormat="1">
      <c r="A80" s="2339"/>
      <c r="D80" s="2340"/>
      <c r="K80" s="798"/>
      <c r="L80" s="798"/>
    </row>
    <row r="81" spans="1:12" s="966" customFormat="1">
      <c r="A81" s="2339"/>
      <c r="D81" s="2340"/>
      <c r="K81" s="798"/>
      <c r="L81" s="798"/>
    </row>
    <row r="82" spans="1:12" s="966" customFormat="1">
      <c r="A82" s="2339"/>
      <c r="D82" s="2340"/>
      <c r="K82" s="798"/>
      <c r="L82" s="798"/>
    </row>
    <row r="83" spans="1:12" s="966" customFormat="1">
      <c r="A83" s="2339"/>
      <c r="D83" s="2340"/>
      <c r="K83" s="798"/>
      <c r="L83" s="798"/>
    </row>
    <row r="84" spans="1:12" s="966" customFormat="1">
      <c r="A84" s="2339"/>
      <c r="D84" s="2340"/>
      <c r="K84" s="798"/>
      <c r="L84" s="798"/>
    </row>
    <row r="85" spans="1:12" s="966" customFormat="1">
      <c r="A85" s="2339"/>
      <c r="D85" s="2340"/>
      <c r="K85" s="798"/>
      <c r="L85" s="798"/>
    </row>
    <row r="86" spans="1:12" s="966" customFormat="1">
      <c r="A86" s="2339"/>
      <c r="D86" s="2340"/>
      <c r="K86" s="798"/>
      <c r="L86" s="798"/>
    </row>
    <row r="87" spans="1:12" s="966" customFormat="1">
      <c r="A87" s="2339"/>
      <c r="D87" s="2340"/>
      <c r="K87" s="798"/>
      <c r="L87" s="798"/>
    </row>
    <row r="88" spans="1:12" s="966" customFormat="1">
      <c r="A88" s="2339"/>
      <c r="D88" s="2340"/>
      <c r="K88" s="798"/>
      <c r="L88" s="798"/>
    </row>
    <row r="89" spans="1:12" s="966" customFormat="1">
      <c r="A89" s="2339"/>
      <c r="D89" s="2340"/>
      <c r="K89" s="798"/>
      <c r="L89" s="798"/>
    </row>
    <row r="90" spans="1:12" s="966" customFormat="1">
      <c r="A90" s="2339"/>
      <c r="D90" s="2340"/>
      <c r="K90" s="798"/>
      <c r="L90" s="798"/>
    </row>
    <row r="91" spans="1:12" s="966" customFormat="1">
      <c r="A91" s="2339"/>
      <c r="D91" s="2340"/>
      <c r="K91" s="798"/>
      <c r="L91" s="798"/>
    </row>
    <row r="92" spans="1:12" s="966" customFormat="1">
      <c r="A92" s="2339"/>
      <c r="D92" s="2340"/>
      <c r="K92" s="798"/>
      <c r="L92" s="798"/>
    </row>
    <row r="93" spans="1:12" s="966" customFormat="1">
      <c r="A93" s="2339"/>
      <c r="D93" s="2340"/>
      <c r="K93" s="798"/>
      <c r="L93" s="798"/>
    </row>
    <row r="94" spans="1:12" s="966" customFormat="1">
      <c r="A94" s="2339"/>
      <c r="D94" s="2340"/>
      <c r="K94" s="798"/>
      <c r="L94" s="798"/>
    </row>
    <row r="95" spans="1:12" s="966" customFormat="1">
      <c r="A95" s="2339"/>
      <c r="D95" s="2340"/>
      <c r="K95" s="798"/>
      <c r="L95" s="798"/>
    </row>
    <row r="96" spans="1:12" s="966" customFormat="1">
      <c r="A96" s="2339"/>
      <c r="D96" s="2340"/>
      <c r="K96" s="798"/>
      <c r="L96" s="798"/>
    </row>
    <row r="97" spans="1:12" s="966" customFormat="1">
      <c r="A97" s="2339"/>
      <c r="D97" s="2340"/>
      <c r="K97" s="798"/>
      <c r="L97" s="798"/>
    </row>
    <row r="98" spans="1:12" s="966" customFormat="1">
      <c r="A98" s="2339"/>
      <c r="D98" s="2340"/>
      <c r="K98" s="798"/>
      <c r="L98" s="798"/>
    </row>
    <row r="99" spans="1:12" s="966" customFormat="1">
      <c r="A99" s="2339"/>
      <c r="D99" s="2340"/>
      <c r="K99" s="798"/>
      <c r="L99" s="798"/>
    </row>
    <row r="100" spans="1:12" s="966" customFormat="1">
      <c r="A100" s="2339"/>
      <c r="D100" s="2340"/>
      <c r="K100" s="798"/>
      <c r="L100" s="798"/>
    </row>
    <row r="101" spans="1:12" s="966" customFormat="1">
      <c r="A101" s="2339"/>
      <c r="D101" s="2340"/>
      <c r="K101" s="798"/>
      <c r="L101" s="798"/>
    </row>
    <row r="102" spans="1:12" s="966" customFormat="1">
      <c r="A102" s="2339"/>
      <c r="D102" s="2340"/>
      <c r="K102" s="798"/>
      <c r="L102" s="798"/>
    </row>
    <row r="103" spans="1:12" s="966" customFormat="1">
      <c r="A103" s="2339"/>
      <c r="D103" s="2340"/>
      <c r="K103" s="798"/>
      <c r="L103" s="798"/>
    </row>
    <row r="104" spans="1:12" s="966" customFormat="1">
      <c r="A104" s="2339"/>
      <c r="D104" s="2340"/>
      <c r="K104" s="798"/>
      <c r="L104" s="798"/>
    </row>
    <row r="105" spans="1:12" s="966" customFormat="1">
      <c r="A105" s="2339"/>
      <c r="D105" s="2340"/>
      <c r="K105" s="798"/>
      <c r="L105" s="798"/>
    </row>
    <row r="106" spans="1:12" s="966" customFormat="1">
      <c r="A106" s="2339"/>
      <c r="D106" s="2340"/>
      <c r="K106" s="798"/>
      <c r="L106" s="798"/>
    </row>
    <row r="107" spans="1:12" s="966" customFormat="1">
      <c r="A107" s="2339"/>
      <c r="D107" s="2340"/>
      <c r="K107" s="798"/>
      <c r="L107" s="798"/>
    </row>
    <row r="108" spans="1:12" s="966" customFormat="1">
      <c r="A108" s="2339"/>
      <c r="D108" s="2340"/>
      <c r="K108" s="798"/>
      <c r="L108" s="798"/>
    </row>
    <row r="109" spans="1:12" s="966" customFormat="1">
      <c r="A109" s="2339"/>
      <c r="D109" s="2340"/>
      <c r="K109" s="798"/>
      <c r="L109" s="798"/>
    </row>
    <row r="110" spans="1:12" s="966" customFormat="1">
      <c r="A110" s="2339"/>
      <c r="D110" s="2340"/>
      <c r="K110" s="798"/>
      <c r="L110" s="798"/>
    </row>
    <row r="111" spans="1:12" s="966" customFormat="1">
      <c r="A111" s="2339"/>
      <c r="D111" s="2340"/>
      <c r="K111" s="798"/>
      <c r="L111" s="798"/>
    </row>
    <row r="112" spans="1:12" s="966" customFormat="1">
      <c r="A112" s="2339"/>
      <c r="D112" s="2340"/>
      <c r="K112" s="798"/>
      <c r="L112" s="798"/>
    </row>
    <row r="113" spans="1:12" s="966" customFormat="1">
      <c r="A113" s="2339"/>
      <c r="D113" s="2340"/>
      <c r="K113" s="798"/>
      <c r="L113" s="798"/>
    </row>
    <row r="114" spans="1:12" s="966" customFormat="1">
      <c r="A114" s="2339"/>
      <c r="D114" s="2340"/>
      <c r="K114" s="798"/>
      <c r="L114" s="798"/>
    </row>
    <row r="115" spans="1:12" s="966" customFormat="1">
      <c r="A115" s="2339"/>
      <c r="D115" s="2340"/>
      <c r="K115" s="798"/>
      <c r="L115" s="798"/>
    </row>
    <row r="116" spans="1:12" s="966" customFormat="1">
      <c r="A116" s="2339"/>
      <c r="D116" s="2340"/>
      <c r="K116" s="798"/>
      <c r="L116" s="798"/>
    </row>
    <row r="117" spans="1:12" s="966" customFormat="1">
      <c r="A117" s="2339"/>
      <c r="D117" s="2340"/>
      <c r="K117" s="798"/>
      <c r="L117" s="798"/>
    </row>
    <row r="118" spans="1:12" s="966" customFormat="1">
      <c r="A118" s="2339"/>
      <c r="D118" s="2340"/>
      <c r="K118" s="798"/>
      <c r="L118" s="798"/>
    </row>
    <row r="119" spans="1:12" s="966" customFormat="1">
      <c r="A119" s="2339"/>
      <c r="D119" s="2340"/>
      <c r="K119" s="798"/>
      <c r="L119" s="798"/>
    </row>
    <row r="120" spans="1:12" s="966" customFormat="1">
      <c r="A120" s="2339"/>
      <c r="D120" s="2340"/>
      <c r="K120" s="798"/>
      <c r="L120" s="798"/>
    </row>
    <row r="121" spans="1:12" s="966" customFormat="1">
      <c r="A121" s="2339"/>
      <c r="D121" s="2340"/>
      <c r="K121" s="798"/>
      <c r="L121" s="798"/>
    </row>
    <row r="122" spans="1:12" s="966" customFormat="1">
      <c r="A122" s="2339"/>
      <c r="D122" s="2340"/>
      <c r="K122" s="798"/>
      <c r="L122" s="798"/>
    </row>
    <row r="123" spans="1:12" s="966" customFormat="1">
      <c r="A123" s="2339"/>
      <c r="D123" s="2340"/>
      <c r="K123" s="798"/>
      <c r="L123" s="798"/>
    </row>
    <row r="124" spans="1:12" s="966" customFormat="1">
      <c r="A124" s="2339"/>
      <c r="D124" s="2340"/>
      <c r="K124" s="798"/>
      <c r="L124" s="798"/>
    </row>
    <row r="125" spans="1:12" s="966" customFormat="1">
      <c r="A125" s="2339"/>
      <c r="D125" s="2340"/>
      <c r="K125" s="798"/>
      <c r="L125" s="798"/>
    </row>
    <row r="126" spans="1:12" s="966" customFormat="1">
      <c r="A126" s="2339"/>
      <c r="D126" s="2340"/>
      <c r="K126" s="798"/>
      <c r="L126" s="798"/>
    </row>
    <row r="127" spans="1:12" s="966" customFormat="1">
      <c r="A127" s="2339"/>
      <c r="D127" s="2340"/>
      <c r="K127" s="798"/>
      <c r="L127" s="798"/>
    </row>
    <row r="128" spans="1:12" s="966" customFormat="1">
      <c r="A128" s="2339"/>
      <c r="D128" s="2340"/>
      <c r="K128" s="798"/>
      <c r="L128" s="798"/>
    </row>
    <row r="129" spans="1:12" s="966" customFormat="1">
      <c r="A129" s="2339"/>
      <c r="D129" s="2340"/>
      <c r="K129" s="798"/>
      <c r="L129" s="798"/>
    </row>
    <row r="130" spans="1:12" s="966" customFormat="1">
      <c r="A130" s="2339"/>
      <c r="D130" s="2340"/>
      <c r="K130" s="798"/>
      <c r="L130" s="798"/>
    </row>
    <row r="131" spans="1:12" s="966" customFormat="1">
      <c r="A131" s="2339"/>
      <c r="D131" s="2340"/>
      <c r="K131" s="798"/>
      <c r="L131" s="798"/>
    </row>
    <row r="132" spans="1:12" s="966" customFormat="1">
      <c r="A132" s="2339"/>
      <c r="D132" s="2340"/>
      <c r="K132" s="798"/>
      <c r="L132" s="798"/>
    </row>
    <row r="133" spans="1:12" s="966"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mergeCells count="1">
    <mergeCell ref="L18:N18"/>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44',21);"/>
  </hyperlinks>
  <pageMargins left="0.7" right="0.7" top="0.75" bottom="0.75" header="0.3" footer="0.3"/>
  <pageSetup paperSize="9" scale="25" fitToHeight="0" orientation="portrait"/>
  <ignoredErrors>
    <ignoredError sqref="G16:H16" formulaRange="1"/>
  </ignoredErrors>
  <legacy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zoomScalePageLayoutView="8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875" style="2395" customWidth="1"/>
    <col min="10" max="10" width="2.625" style="2394" customWidth="1"/>
    <col min="11" max="11" width="11.875" style="2394" customWidth="1"/>
    <col min="12" max="12" width="16.875" style="2395" customWidth="1"/>
    <col min="13" max="13" width="2.625" style="2394" customWidth="1"/>
    <col min="14" max="14" width="11.875" style="2394" customWidth="1"/>
    <col min="15" max="15" width="16.875" style="2395" customWidth="1"/>
    <col min="16" max="16" width="2.625" style="2394" customWidth="1"/>
    <col min="17" max="17" width="11.875" style="2394" customWidth="1"/>
    <col min="18" max="18" width="16.875" style="2396" customWidth="1"/>
    <col min="19" max="29" width="9" style="2366"/>
    <col min="30" max="16384" width="9" style="2367"/>
  </cols>
  <sheetData>
    <row r="1" spans="1:29" s="2360" customFormat="1" ht="19.5" thickBot="1">
      <c r="A1" s="3192" t="s">
        <v>2074</v>
      </c>
      <c r="B1" s="3193"/>
      <c r="C1" s="3193"/>
      <c r="D1" s="3193"/>
      <c r="E1" s="3193"/>
      <c r="F1" s="3193"/>
      <c r="G1" s="3193"/>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2075</v>
      </c>
      <c r="D2" s="2364"/>
      <c r="E2" s="2365"/>
      <c r="F2" s="2284"/>
      <c r="G2" s="2363" t="s">
        <v>2076</v>
      </c>
      <c r="H2" s="2366"/>
      <c r="I2" s="2366"/>
      <c r="J2" s="2366"/>
      <c r="K2" s="2366"/>
      <c r="L2" s="2366"/>
      <c r="M2" s="2366"/>
      <c r="N2" s="2366"/>
      <c r="O2" s="2366"/>
      <c r="P2" s="2366"/>
      <c r="Q2" s="2366"/>
      <c r="R2" s="2366"/>
    </row>
    <row r="3" spans="1:29" ht="54">
      <c r="A3" s="415" t="s">
        <v>2077</v>
      </c>
      <c r="B3" s="1270" t="s">
        <v>2078</v>
      </c>
      <c r="C3" s="2368" t="s">
        <v>2079</v>
      </c>
      <c r="D3" s="2369"/>
      <c r="E3" s="431" t="s">
        <v>2077</v>
      </c>
      <c r="F3" s="2370" t="s">
        <v>2080</v>
      </c>
      <c r="G3" s="2371" t="s">
        <v>2081</v>
      </c>
      <c r="H3" s="2366"/>
      <c r="I3" s="2366"/>
      <c r="J3" s="2366"/>
      <c r="K3" s="2366"/>
      <c r="L3" s="2366"/>
      <c r="M3" s="2366"/>
      <c r="N3" s="2366"/>
      <c r="O3" s="2366"/>
      <c r="P3" s="2366"/>
      <c r="Q3" s="2366"/>
      <c r="R3" s="2366"/>
    </row>
    <row r="4" spans="1:29" ht="41.25">
      <c r="A4" s="431"/>
      <c r="B4" s="1797" t="s">
        <v>2082</v>
      </c>
      <c r="C4" s="2372" t="s">
        <v>2083</v>
      </c>
      <c r="D4" s="2369"/>
      <c r="E4" s="2373"/>
      <c r="F4" s="42" t="s">
        <v>2084</v>
      </c>
      <c r="G4" s="2374" t="s">
        <v>2085</v>
      </c>
      <c r="H4" s="2366"/>
      <c r="I4" s="2366"/>
      <c r="J4" s="2366"/>
      <c r="K4" s="2366"/>
      <c r="L4" s="2366"/>
      <c r="M4" s="2366"/>
      <c r="N4" s="2366"/>
      <c r="O4" s="2366"/>
      <c r="P4" s="2366"/>
      <c r="Q4" s="2366"/>
      <c r="R4" s="2366"/>
    </row>
    <row r="5" spans="1:29" ht="41.25">
      <c r="A5" s="431"/>
      <c r="B5" s="1797" t="s">
        <v>2086</v>
      </c>
      <c r="C5" s="2372" t="s">
        <v>2087</v>
      </c>
      <c r="D5" s="2369"/>
      <c r="E5" s="2373"/>
      <c r="F5" s="1797" t="s">
        <v>2088</v>
      </c>
      <c r="G5" s="2374" t="s">
        <v>2089</v>
      </c>
      <c r="H5" s="2366"/>
      <c r="I5" s="2366"/>
      <c r="J5" s="2366"/>
      <c r="K5" s="2366"/>
      <c r="L5" s="2366"/>
      <c r="M5" s="2366"/>
      <c r="N5" s="2366"/>
      <c r="O5" s="2366"/>
      <c r="P5" s="2366"/>
      <c r="Q5" s="2366"/>
      <c r="R5" s="2366"/>
    </row>
    <row r="6" spans="1:29" ht="54">
      <c r="A6" s="431"/>
      <c r="B6" s="1797" t="s">
        <v>2090</v>
      </c>
      <c r="C6" s="2374" t="s">
        <v>2085</v>
      </c>
      <c r="D6" s="2369"/>
      <c r="E6" s="2373"/>
      <c r="F6" s="1797" t="s">
        <v>2091</v>
      </c>
      <c r="G6" s="2374" t="s">
        <v>2092</v>
      </c>
      <c r="H6" s="2366"/>
      <c r="I6" s="2366"/>
      <c r="J6" s="2366"/>
      <c r="K6" s="2366"/>
      <c r="L6" s="2366"/>
      <c r="M6" s="2366"/>
      <c r="N6" s="2366"/>
      <c r="O6" s="2366"/>
      <c r="P6" s="2366"/>
      <c r="Q6" s="2366"/>
      <c r="R6" s="2366"/>
    </row>
    <row r="7" spans="1:29" ht="41.25" thickBot="1">
      <c r="A7" s="431"/>
      <c r="B7" s="1797" t="s">
        <v>2088</v>
      </c>
      <c r="C7" s="2374" t="s">
        <v>2089</v>
      </c>
      <c r="D7" s="2375"/>
      <c r="E7" s="2376"/>
      <c r="F7" s="2377" t="s">
        <v>2093</v>
      </c>
      <c r="G7" s="2378" t="s">
        <v>2094</v>
      </c>
      <c r="H7" s="2366"/>
      <c r="I7" s="2366"/>
      <c r="J7" s="2366"/>
      <c r="K7" s="2366"/>
      <c r="L7" s="2366"/>
      <c r="M7" s="2366"/>
      <c r="N7" s="2366"/>
      <c r="O7" s="2366"/>
      <c r="P7" s="2366"/>
      <c r="Q7" s="2366"/>
      <c r="R7" s="2366"/>
    </row>
    <row r="8" spans="1:29" ht="27">
      <c r="A8" s="431"/>
      <c r="B8" s="1797" t="s">
        <v>2091</v>
      </c>
      <c r="C8" s="2374" t="s">
        <v>2092</v>
      </c>
      <c r="D8" s="2375"/>
      <c r="E8" s="2375"/>
      <c r="F8" s="1135"/>
      <c r="G8" s="1135"/>
      <c r="H8" s="2366"/>
      <c r="I8" s="2366"/>
      <c r="J8" s="2366"/>
      <c r="K8" s="2366"/>
      <c r="L8" s="2366"/>
      <c r="M8" s="2366"/>
      <c r="N8" s="2366"/>
      <c r="O8" s="2366"/>
      <c r="P8" s="2366"/>
      <c r="Q8" s="2366"/>
      <c r="R8" s="2366"/>
    </row>
    <row r="9" spans="1:29" ht="27">
      <c r="A9" s="431"/>
      <c r="B9" s="1797" t="s">
        <v>2095</v>
      </c>
      <c r="C9" s="2372" t="s">
        <v>2096</v>
      </c>
      <c r="D9" s="2369"/>
      <c r="E9" s="2375"/>
      <c r="F9" s="1135"/>
      <c r="G9" s="1135"/>
      <c r="H9" s="2366"/>
      <c r="I9" s="2366"/>
      <c r="J9" s="2366"/>
      <c r="K9" s="2366"/>
      <c r="L9" s="2366"/>
      <c r="M9" s="2366"/>
      <c r="N9" s="2366"/>
      <c r="O9" s="2366"/>
      <c r="P9" s="2366"/>
      <c r="Q9" s="2366"/>
      <c r="R9" s="2366"/>
    </row>
    <row r="10" spans="1:29" s="117" customFormat="1" ht="15.75" thickBot="1">
      <c r="A10" s="2379"/>
      <c r="B10" s="2380" t="s">
        <v>2097</v>
      </c>
      <c r="C10" s="2381"/>
      <c r="D10" s="2369"/>
      <c r="E10" s="2369"/>
      <c r="F10" s="1135"/>
      <c r="G10" s="1135"/>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3"/>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3"/>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2098</v>
      </c>
      <c r="B13" s="2386"/>
      <c r="C13" s="2386"/>
      <c r="D13" s="2393"/>
      <c r="E13" s="2386"/>
      <c r="F13" s="2386"/>
      <c r="G13" s="2386"/>
    </row>
    <row r="14" spans="1:29" ht="15.75" thickBot="1">
      <c r="A14" s="2397"/>
      <c r="B14" s="2398"/>
      <c r="C14" s="2399" t="s">
        <v>2099</v>
      </c>
      <c r="D14" s="2369"/>
      <c r="E14" s="2400"/>
      <c r="F14" s="2400"/>
      <c r="G14" s="2363" t="s">
        <v>2100</v>
      </c>
    </row>
    <row r="15" spans="1:29" ht="57">
      <c r="A15" s="68" t="s">
        <v>2101</v>
      </c>
      <c r="B15" s="1269" t="s">
        <v>2078</v>
      </c>
      <c r="C15" s="2401" t="str">
        <f>C3</f>
        <v>估价对象周边居住用地比例、居住小区规模和社区发展完善程度，综合评价居住社区成熟度一般</v>
      </c>
      <c r="D15" s="2369"/>
      <c r="E15" s="2402" t="s">
        <v>2102</v>
      </c>
      <c r="F15" s="1269" t="s">
        <v>2103</v>
      </c>
      <c r="G15" s="135" t="str">
        <f>G3</f>
        <v>估价对象位于XX开发区，园区建设成熟度XX，产业集聚程度XX</v>
      </c>
    </row>
    <row r="16" spans="1:29" ht="42.75">
      <c r="A16" s="645"/>
      <c r="B16" s="2403" t="s">
        <v>2082</v>
      </c>
      <c r="C16" s="2404" t="str">
        <f>C4</f>
        <v>估价对象位于XX商圈，周边商业氛围成熟，人流量大，商业繁华度好</v>
      </c>
      <c r="D16" s="2369"/>
      <c r="E16" s="2405"/>
      <c r="F16" s="2406" t="s">
        <v>2084</v>
      </c>
      <c r="G16" s="136" t="str">
        <f>G4</f>
        <v>估价对象周边道路状况、公共交通通达情况、停车便捷程度，综合评价交通便捷度较好</v>
      </c>
    </row>
    <row r="17" spans="1:18" ht="42.75">
      <c r="A17" s="645"/>
      <c r="B17" s="2403" t="s">
        <v>2086</v>
      </c>
      <c r="C17" s="2404" t="str">
        <f>C5</f>
        <v>估价对象位于XX商圈，周边办公楼项目较多，入驻率高，办公集聚程度较好</v>
      </c>
      <c r="D17" s="2375"/>
      <c r="E17" s="2405"/>
      <c r="F17" s="2406" t="s">
        <v>2104</v>
      </c>
      <c r="G17" s="1571"/>
    </row>
    <row r="18" spans="1:18" ht="57">
      <c r="A18" s="645"/>
      <c r="B18" s="2406" t="s">
        <v>2090</v>
      </c>
      <c r="C18" s="136" t="str">
        <f>C6</f>
        <v>估价对象周边道路状况、公共交通通达情况、停车便捷程度，综合评价交通便捷度较好</v>
      </c>
      <c r="D18" s="2375"/>
      <c r="E18" s="2405"/>
      <c r="F18" s="2406" t="s">
        <v>2093</v>
      </c>
      <c r="G18" s="136" t="str">
        <f>G7</f>
        <v>该园区内是否有污染型企业，绿化情况，卫生条件，整体环境状况判断</v>
      </c>
    </row>
    <row r="19" spans="1:18" ht="28.5">
      <c r="A19" s="645"/>
      <c r="B19" s="2406" t="s">
        <v>2105</v>
      </c>
      <c r="C19" s="1571"/>
      <c r="D19" s="2369"/>
      <c r="E19" s="2405"/>
      <c r="F19" s="1797" t="s">
        <v>2088</v>
      </c>
      <c r="G19" s="136" t="str">
        <f>G5</f>
        <v>估价对象所在区域公共配套设施齐备情况</v>
      </c>
    </row>
    <row r="20" spans="1:18" ht="28.5">
      <c r="A20" s="645"/>
      <c r="B20" s="2406" t="s">
        <v>2106</v>
      </c>
      <c r="C20" s="2404" t="str">
        <f>C9</f>
        <v>区域自然环境：；人文环境；综合评价环境状况一般</v>
      </c>
      <c r="D20" s="2375"/>
      <c r="E20" s="2405"/>
      <c r="F20" s="1797" t="s">
        <v>2107</v>
      </c>
      <c r="G20" s="136" t="str">
        <f>G6</f>
        <v>估价对象所在区域基础设施水平</v>
      </c>
    </row>
    <row r="21" spans="1:18" ht="28.5">
      <c r="A21" s="645"/>
      <c r="B21" s="1797" t="s">
        <v>2088</v>
      </c>
      <c r="C21" s="136" t="str">
        <f>C7</f>
        <v>估价对象所在区域公共配套设施齐备情况</v>
      </c>
      <c r="D21" s="2369"/>
      <c r="E21" s="2405"/>
      <c r="F21" s="2406" t="s">
        <v>2108</v>
      </c>
      <c r="G21" s="2407"/>
    </row>
    <row r="22" spans="1:18" ht="13.5" customHeight="1">
      <c r="A22" s="645"/>
      <c r="B22" s="1797" t="s">
        <v>2091</v>
      </c>
      <c r="C22" s="136" t="str">
        <f>C8</f>
        <v>估价对象所在区域基础设施水平</v>
      </c>
      <c r="D22" s="2369"/>
      <c r="E22" s="2405"/>
      <c r="F22" s="2406" t="s">
        <v>2097</v>
      </c>
      <c r="G22" s="1571"/>
    </row>
    <row r="23" spans="1:18" s="2366" customFormat="1" ht="15.75" thickBot="1">
      <c r="A23" s="645"/>
      <c r="B23" s="2406" t="s">
        <v>2108</v>
      </c>
      <c r="C23" s="2407"/>
      <c r="D23" s="2394"/>
      <c r="E23" s="2408"/>
      <c r="F23" s="2409" t="s">
        <v>2109</v>
      </c>
      <c r="G23" s="2410"/>
      <c r="H23" s="2394"/>
      <c r="I23" s="2395"/>
      <c r="J23" s="2394"/>
      <c r="K23" s="2394"/>
      <c r="L23" s="2395"/>
      <c r="M23" s="2394"/>
      <c r="N23" s="2394"/>
      <c r="O23" s="2395"/>
      <c r="P23" s="2394"/>
      <c r="Q23" s="2394"/>
      <c r="R23" s="2396"/>
    </row>
    <row r="24" spans="1:18" s="2366" customFormat="1" ht="15.75" thickBot="1">
      <c r="A24" s="2411"/>
      <c r="B24" s="2409" t="s">
        <v>2110</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88"/>
  <sheetViews>
    <sheetView topLeftCell="A31" zoomScaleNormal="100" workbookViewId="0">
      <selection activeCell="D33" sqref="D33"/>
    </sheetView>
  </sheetViews>
  <sheetFormatPr defaultRowHeight="13.5"/>
  <cols>
    <col min="1" max="6" width="17.875" customWidth="1"/>
    <col min="7" max="7" width="37.75" customWidth="1"/>
  </cols>
  <sheetData>
    <row r="1" spans="1:7" ht="17.25" customHeight="1">
      <c r="A1" s="3194" t="s">
        <v>3224</v>
      </c>
      <c r="B1" s="3196" t="s">
        <v>3225</v>
      </c>
      <c r="C1" s="3196" t="s">
        <v>3226</v>
      </c>
      <c r="D1" s="3198" t="s">
        <v>3223</v>
      </c>
      <c r="E1" s="3199"/>
      <c r="F1" s="3200"/>
      <c r="G1" s="3201" t="s">
        <v>3227</v>
      </c>
    </row>
    <row r="2" spans="1:7" ht="17.25" customHeight="1">
      <c r="A2" s="3195"/>
      <c r="B2" s="3197"/>
      <c r="C2" s="3197"/>
      <c r="D2" s="2982" t="s">
        <v>3228</v>
      </c>
      <c r="E2" s="2983" t="s">
        <v>3229</v>
      </c>
      <c r="F2" s="2984" t="s">
        <v>3365</v>
      </c>
      <c r="G2" s="3202"/>
    </row>
    <row r="3" spans="1:7" ht="30.75" customHeight="1">
      <c r="A3" s="2985" t="s">
        <v>3230</v>
      </c>
      <c r="B3" s="2986" t="s">
        <v>3231</v>
      </c>
      <c r="C3" s="2987">
        <v>150840.42983000001</v>
      </c>
      <c r="D3" s="2988">
        <v>56634.981805590498</v>
      </c>
      <c r="E3" s="2989">
        <v>854284.49989695009</v>
      </c>
      <c r="F3" s="2990">
        <v>0.61974232841429888</v>
      </c>
      <c r="G3" s="2991" t="s">
        <v>3232</v>
      </c>
    </row>
    <row r="4" spans="1:7" ht="30.75" customHeight="1">
      <c r="A4" s="2992">
        <v>1</v>
      </c>
      <c r="B4" s="2993" t="s">
        <v>3233</v>
      </c>
      <c r="C4" s="2994">
        <v>150840.42983000001</v>
      </c>
      <c r="D4" s="2995">
        <v>56780.821910958904</v>
      </c>
      <c r="E4" s="2996">
        <v>828999.99990000005</v>
      </c>
      <c r="F4" s="2997"/>
      <c r="G4" s="2998"/>
    </row>
    <row r="5" spans="1:7" ht="30.75" customHeight="1">
      <c r="A5" s="2992">
        <v>2</v>
      </c>
      <c r="B5" s="2993" t="s">
        <v>3234</v>
      </c>
      <c r="C5" s="2994">
        <v>150840.42983000001</v>
      </c>
      <c r="D5" s="2999">
        <v>0</v>
      </c>
      <c r="E5" s="2996"/>
      <c r="F5" s="2997"/>
      <c r="G5" s="2998"/>
    </row>
    <row r="6" spans="1:7" ht="30.75" customHeight="1">
      <c r="A6" s="2992">
        <v>3</v>
      </c>
      <c r="B6" s="2993" t="s">
        <v>3235</v>
      </c>
      <c r="C6" s="2994">
        <v>150840.42983000001</v>
      </c>
      <c r="D6" s="2999">
        <v>0</v>
      </c>
      <c r="E6" s="2996"/>
      <c r="F6" s="2997"/>
      <c r="G6" s="2998" t="s">
        <v>3236</v>
      </c>
    </row>
    <row r="7" spans="1:7" ht="30.75" customHeight="1">
      <c r="A7" s="2992">
        <v>4</v>
      </c>
      <c r="B7" s="3000" t="s">
        <v>3237</v>
      </c>
      <c r="C7" s="2994">
        <v>150840.42983000001</v>
      </c>
      <c r="D7" s="2999">
        <v>0</v>
      </c>
      <c r="E7" s="3001"/>
      <c r="F7" s="2997"/>
      <c r="G7" s="3002" t="s">
        <v>3238</v>
      </c>
    </row>
    <row r="8" spans="1:7" ht="30.75" customHeight="1">
      <c r="A8" s="2992">
        <v>5</v>
      </c>
      <c r="B8" s="2993" t="s">
        <v>3239</v>
      </c>
      <c r="C8" s="3003">
        <v>3.0499999999999999E-2</v>
      </c>
      <c r="D8" s="2999">
        <v>1676.2415769728386</v>
      </c>
      <c r="E8" s="3001">
        <v>25284.499996950002</v>
      </c>
      <c r="F8" s="2997"/>
      <c r="G8" s="3002"/>
    </row>
    <row r="9" spans="1:7" ht="30.75" customHeight="1">
      <c r="A9" s="2992">
        <v>6</v>
      </c>
      <c r="B9" s="2993" t="s">
        <v>3240</v>
      </c>
      <c r="C9" s="3004">
        <v>0</v>
      </c>
      <c r="D9" s="2999">
        <v>0</v>
      </c>
      <c r="E9" s="3001">
        <v>0</v>
      </c>
      <c r="F9" s="2997"/>
      <c r="G9" s="3005"/>
    </row>
    <row r="10" spans="1:7" ht="30.75" customHeight="1">
      <c r="A10" s="2992">
        <v>7</v>
      </c>
      <c r="B10" s="2993" t="s">
        <v>3241</v>
      </c>
      <c r="C10" s="3003">
        <v>0.03</v>
      </c>
      <c r="D10" s="2999">
        <v>0</v>
      </c>
      <c r="E10" s="3001"/>
      <c r="F10" s="2997"/>
      <c r="G10" s="2998"/>
    </row>
    <row r="11" spans="1:7" ht="30.75" customHeight="1">
      <c r="A11" s="2985" t="s">
        <v>3242</v>
      </c>
      <c r="B11" s="2986" t="s">
        <v>3243</v>
      </c>
      <c r="C11" s="3006">
        <v>198280.42983000001</v>
      </c>
      <c r="D11" s="3007">
        <v>506.53752745223329</v>
      </c>
      <c r="E11" s="3008">
        <v>10043.647866825424</v>
      </c>
      <c r="F11" s="2990">
        <v>7.2861836021963821E-3</v>
      </c>
      <c r="G11" s="3009" t="s">
        <v>3244</v>
      </c>
    </row>
    <row r="12" spans="1:7" ht="30.75" customHeight="1">
      <c r="A12" s="2992">
        <v>1</v>
      </c>
      <c r="B12" s="3010" t="s">
        <v>3245</v>
      </c>
      <c r="C12" s="3011">
        <v>198280.42983000001</v>
      </c>
      <c r="D12" s="3012">
        <v>140</v>
      </c>
      <c r="E12" s="3001">
        <v>5370.9900943396224</v>
      </c>
      <c r="F12" s="3013">
        <v>3.8963950620170395E-3</v>
      </c>
      <c r="G12" s="2998" t="s">
        <v>3321</v>
      </c>
    </row>
    <row r="13" spans="1:7" ht="30.75" customHeight="1">
      <c r="A13" s="2992">
        <v>2</v>
      </c>
      <c r="B13" s="3010" t="s">
        <v>3246</v>
      </c>
      <c r="C13" s="3011">
        <v>198280.42983000001</v>
      </c>
      <c r="D13" s="3012">
        <v>36</v>
      </c>
      <c r="E13" s="3001">
        <v>724.43407766990288</v>
      </c>
      <c r="F13" s="3013">
        <v>5.2554209064072652E-4</v>
      </c>
      <c r="G13" s="2998" t="s">
        <v>3322</v>
      </c>
    </row>
    <row r="14" spans="1:7" ht="30.75" customHeight="1">
      <c r="A14" s="2992">
        <v>3</v>
      </c>
      <c r="B14" s="3010" t="s">
        <v>3247</v>
      </c>
      <c r="C14" s="3011">
        <v>198280.42983000001</v>
      </c>
      <c r="D14" s="3012">
        <v>5</v>
      </c>
      <c r="E14" s="3001">
        <v>97.6266990291262</v>
      </c>
      <c r="F14" s="3013">
        <v>7.0823475995421893E-5</v>
      </c>
      <c r="G14" s="2998" t="s">
        <v>3323</v>
      </c>
    </row>
    <row r="15" spans="1:7" ht="30.75" customHeight="1">
      <c r="A15" s="2992">
        <v>4</v>
      </c>
      <c r="B15" s="3010" t="s">
        <v>3248</v>
      </c>
      <c r="C15" s="3011">
        <v>198280.42983000001</v>
      </c>
      <c r="D15" s="3012">
        <v>24.999999999999996</v>
      </c>
      <c r="E15" s="3001">
        <v>2108.0522330097087</v>
      </c>
      <c r="F15" s="3013">
        <v>1.5292905343149644E-3</v>
      </c>
      <c r="G15" s="2998" t="s">
        <v>3324</v>
      </c>
    </row>
    <row r="16" spans="1:7" ht="30.75" customHeight="1">
      <c r="A16" s="2992">
        <v>5</v>
      </c>
      <c r="B16" s="3010" t="s">
        <v>3249</v>
      </c>
      <c r="C16" s="3011">
        <v>198280.42983000001</v>
      </c>
      <c r="D16" s="3012">
        <v>20</v>
      </c>
      <c r="E16" s="3001">
        <v>468.60825242718442</v>
      </c>
      <c r="F16" s="3013">
        <v>3.399527552102501E-4</v>
      </c>
      <c r="G16" s="2998" t="s">
        <v>3325</v>
      </c>
    </row>
    <row r="17" spans="1:7" ht="30.75" customHeight="1">
      <c r="A17" s="2992">
        <v>6</v>
      </c>
      <c r="B17" s="3014" t="s">
        <v>3250</v>
      </c>
      <c r="C17" s="3011">
        <v>198280.42983000001</v>
      </c>
      <c r="D17" s="3012">
        <v>65</v>
      </c>
      <c r="E17" s="3001">
        <v>1176.3098113207548</v>
      </c>
      <c r="F17" s="3013">
        <v>8.5335620802255859E-4</v>
      </c>
      <c r="G17" s="2998" t="s">
        <v>3326</v>
      </c>
    </row>
    <row r="18" spans="1:7" ht="30.75" customHeight="1">
      <c r="A18" s="2992">
        <v>7</v>
      </c>
      <c r="B18" s="3014" t="s">
        <v>3203</v>
      </c>
      <c r="C18" s="3011">
        <v>198280.42983000001</v>
      </c>
      <c r="D18" s="3012">
        <v>0</v>
      </c>
      <c r="E18" s="3001">
        <v>97.6266990291262</v>
      </c>
      <c r="F18" s="3013">
        <v>7.0823475995421893E-5</v>
      </c>
      <c r="G18" s="2998"/>
    </row>
    <row r="19" spans="1:7" ht="30.75" customHeight="1">
      <c r="A19" s="2985" t="s">
        <v>3251</v>
      </c>
      <c r="B19" s="3015" t="s">
        <v>3252</v>
      </c>
      <c r="C19" s="3016">
        <v>184829.99983000002</v>
      </c>
      <c r="D19" s="3007">
        <v>10284.312024934095</v>
      </c>
      <c r="E19" s="3008">
        <v>190084.9389820236</v>
      </c>
      <c r="F19" s="2990">
        <v>0.13789748344423849</v>
      </c>
      <c r="G19" s="2991" t="s">
        <v>3253</v>
      </c>
    </row>
    <row r="20" spans="1:7" ht="30.75" customHeight="1">
      <c r="A20" s="2992">
        <v>1</v>
      </c>
      <c r="B20" s="3017" t="s">
        <v>3254</v>
      </c>
      <c r="C20" s="3018">
        <v>184829.99983000002</v>
      </c>
      <c r="D20" s="3019">
        <v>3920.4271455668518</v>
      </c>
      <c r="E20" s="3020">
        <v>72461.254864864866</v>
      </c>
      <c r="F20" s="3021">
        <v>5.2567156275444935E-2</v>
      </c>
      <c r="G20" s="2998" t="s">
        <v>3327</v>
      </c>
    </row>
    <row r="21" spans="1:7" ht="30.75" customHeight="1">
      <c r="A21" s="3022">
        <v>1.1000000000000001</v>
      </c>
      <c r="B21" s="3017" t="s">
        <v>3255</v>
      </c>
      <c r="C21" s="3023"/>
      <c r="D21" s="3019"/>
      <c r="E21" s="3001">
        <v>0</v>
      </c>
      <c r="F21" s="3021">
        <v>0</v>
      </c>
      <c r="G21" s="2998"/>
    </row>
    <row r="22" spans="1:7" ht="30.75" customHeight="1">
      <c r="A22" s="3022">
        <v>1.2</v>
      </c>
      <c r="B22" s="3024" t="s">
        <v>1373</v>
      </c>
      <c r="C22" s="3023">
        <v>4829.7498300000007</v>
      </c>
      <c r="D22" s="3019">
        <v>4061.3414381881462</v>
      </c>
      <c r="E22" s="3001">
        <v>1588.5249549549549</v>
      </c>
      <c r="F22" s="3021">
        <v>1.1523984743335009E-3</v>
      </c>
      <c r="G22" s="2998"/>
    </row>
    <row r="23" spans="1:7" ht="30.75" customHeight="1">
      <c r="A23" s="3022">
        <v>1.3</v>
      </c>
      <c r="B23" s="3024" t="s">
        <v>3256</v>
      </c>
      <c r="C23" s="3023"/>
      <c r="D23" s="3019"/>
      <c r="E23" s="3001">
        <v>0</v>
      </c>
      <c r="F23" s="3021">
        <v>0</v>
      </c>
      <c r="G23" s="2998"/>
    </row>
    <row r="24" spans="1:7" ht="30.75" customHeight="1">
      <c r="A24" s="3022">
        <v>1.4</v>
      </c>
      <c r="B24" s="3024" t="s">
        <v>3257</v>
      </c>
      <c r="C24" s="3023">
        <v>2377.56</v>
      </c>
      <c r="D24" s="3019">
        <v>4688.8666666666668</v>
      </c>
      <c r="E24" s="3001">
        <v>1556.4282882882881</v>
      </c>
      <c r="F24" s="3021">
        <v>1.1291138859595607E-3</v>
      </c>
      <c r="G24" s="2998"/>
    </row>
    <row r="25" spans="1:7" ht="30.75" customHeight="1">
      <c r="A25" s="3022">
        <v>1.5</v>
      </c>
      <c r="B25" s="3024" t="s">
        <v>3119</v>
      </c>
      <c r="C25" s="3023">
        <v>130182.69</v>
      </c>
      <c r="D25" s="3019">
        <v>3935.7700466040919</v>
      </c>
      <c r="E25" s="3001">
        <v>49101.696846846848</v>
      </c>
      <c r="F25" s="3021">
        <v>3.5620920122779516E-2</v>
      </c>
      <c r="G25" s="2998"/>
    </row>
    <row r="26" spans="1:7" ht="30.75" customHeight="1">
      <c r="A26" s="3022">
        <v>1.6</v>
      </c>
      <c r="B26" s="3024" t="s">
        <v>3258</v>
      </c>
      <c r="C26" s="3023"/>
      <c r="D26" s="3019"/>
      <c r="E26" s="3001">
        <v>0</v>
      </c>
      <c r="F26" s="3021">
        <v>0</v>
      </c>
      <c r="G26" s="2998"/>
    </row>
    <row r="27" spans="1:7" ht="30.75" customHeight="1">
      <c r="A27" s="3022">
        <v>1.7</v>
      </c>
      <c r="B27" s="3017" t="s">
        <v>3259</v>
      </c>
      <c r="C27" s="3023">
        <v>47440</v>
      </c>
      <c r="D27" s="3019">
        <v>4518.9887724137934</v>
      </c>
      <c r="E27" s="3001">
        <v>20214.604774774773</v>
      </c>
      <c r="F27" s="3021">
        <v>1.4664723792372355E-2</v>
      </c>
      <c r="G27" s="2998"/>
    </row>
    <row r="28" spans="1:7" ht="30.75" customHeight="1">
      <c r="A28" s="2992">
        <v>2</v>
      </c>
      <c r="B28" s="3017" t="s">
        <v>3260</v>
      </c>
      <c r="C28" s="3018">
        <v>184829.99983000002</v>
      </c>
      <c r="D28" s="3019">
        <v>4405.2986796218584</v>
      </c>
      <c r="E28" s="3020">
        <v>81423.135420560735</v>
      </c>
      <c r="F28" s="3021">
        <v>5.9068569707653708E-2</v>
      </c>
      <c r="G28" s="2998" t="s">
        <v>3328</v>
      </c>
    </row>
    <row r="29" spans="1:7" ht="30.75" customHeight="1">
      <c r="A29" s="3022">
        <v>2.1</v>
      </c>
      <c r="B29" s="3017" t="s">
        <v>3255</v>
      </c>
      <c r="C29" s="3018"/>
      <c r="D29" s="3019"/>
      <c r="E29" s="3001">
        <v>0</v>
      </c>
      <c r="F29" s="3021">
        <v>0</v>
      </c>
      <c r="G29" s="2998"/>
    </row>
    <row r="30" spans="1:7" ht="30.75" customHeight="1">
      <c r="A30" s="3022">
        <v>2.2000000000000002</v>
      </c>
      <c r="B30" s="3017" t="s">
        <v>1373</v>
      </c>
      <c r="C30" s="3023">
        <v>4829.7498300000007</v>
      </c>
      <c r="D30" s="3019">
        <v>1519.9999999999998</v>
      </c>
      <c r="E30" s="3001">
        <v>64.684766355140184</v>
      </c>
      <c r="F30" s="3021">
        <v>4.6925687775799707E-5</v>
      </c>
      <c r="G30" s="2998"/>
    </row>
    <row r="31" spans="1:7" ht="30.75" customHeight="1">
      <c r="A31" s="3022">
        <v>2.2999999999999998</v>
      </c>
      <c r="B31" s="3017" t="s">
        <v>3256</v>
      </c>
      <c r="C31" s="3023"/>
      <c r="D31" s="3019"/>
      <c r="E31" s="3001">
        <v>0</v>
      </c>
      <c r="F31" s="3021">
        <v>0</v>
      </c>
      <c r="G31" s="2998"/>
    </row>
    <row r="32" spans="1:7" ht="30.75" customHeight="1">
      <c r="A32" s="3022">
        <v>2.4</v>
      </c>
      <c r="B32" s="3017" t="s">
        <v>3363</v>
      </c>
      <c r="C32" s="3023">
        <v>2377.56</v>
      </c>
      <c r="D32" s="3019">
        <v>8421.7920353982299</v>
      </c>
      <c r="E32" s="3001">
        <v>2557.7930841121492</v>
      </c>
      <c r="F32" s="3021">
        <v>1.8555558970587303E-3</v>
      </c>
      <c r="G32" s="2998"/>
    </row>
    <row r="33" spans="1:7" ht="30.75" customHeight="1">
      <c r="A33" s="3022">
        <v>2.5</v>
      </c>
      <c r="B33" s="3017" t="s">
        <v>3119</v>
      </c>
      <c r="C33" s="3023">
        <v>130182.69</v>
      </c>
      <c r="D33" s="3019">
        <v>6373</v>
      </c>
      <c r="E33" s="3001">
        <v>77847.199626168222</v>
      </c>
      <c r="F33" s="3021">
        <v>5.6474400229284169E-2</v>
      </c>
      <c r="G33" s="2998"/>
    </row>
    <row r="34" spans="1:7" ht="30.75" customHeight="1">
      <c r="A34" s="3022">
        <v>2.6</v>
      </c>
      <c r="B34" s="3017" t="s">
        <v>3258</v>
      </c>
      <c r="C34" s="3023"/>
      <c r="D34" s="3019"/>
      <c r="E34" s="3001">
        <v>0</v>
      </c>
      <c r="F34" s="3021">
        <v>0</v>
      </c>
      <c r="G34" s="2998"/>
    </row>
    <row r="35" spans="1:7" ht="30.75" customHeight="1">
      <c r="A35" s="3022">
        <v>2.7</v>
      </c>
      <c r="B35" s="3017" t="s">
        <v>3259</v>
      </c>
      <c r="C35" s="3023">
        <v>47440</v>
      </c>
      <c r="D35" s="3019">
        <v>112.62068965517241</v>
      </c>
      <c r="E35" s="3001">
        <v>953.45794392523362</v>
      </c>
      <c r="F35" s="3021">
        <v>6.9168789353501407E-4</v>
      </c>
      <c r="G35" s="2998"/>
    </row>
    <row r="36" spans="1:7" ht="30.75" customHeight="1">
      <c r="A36" s="2992">
        <v>3</v>
      </c>
      <c r="B36" s="3017" t="s">
        <v>3261</v>
      </c>
      <c r="C36" s="3018">
        <v>184829.99983000002</v>
      </c>
      <c r="D36" s="3019">
        <v>1442.6195450712307</v>
      </c>
      <c r="E36" s="3020">
        <v>26663.937027027026</v>
      </c>
      <c r="F36" s="3021">
        <v>1.9343404240408556E-2</v>
      </c>
      <c r="G36" s="2998" t="s">
        <v>3329</v>
      </c>
    </row>
    <row r="37" spans="1:7" ht="30.75" customHeight="1">
      <c r="A37" s="3022">
        <v>3.1</v>
      </c>
      <c r="B37" s="3017" t="s">
        <v>3255</v>
      </c>
      <c r="C37" s="3023"/>
      <c r="D37" s="3019"/>
      <c r="E37" s="3001">
        <v>0</v>
      </c>
      <c r="F37" s="3021">
        <v>0</v>
      </c>
      <c r="G37" s="2998"/>
    </row>
    <row r="38" spans="1:7" ht="30.75" customHeight="1">
      <c r="A38" s="3022">
        <v>3.2</v>
      </c>
      <c r="B38" s="3017" t="s">
        <v>1373</v>
      </c>
      <c r="C38" s="3023">
        <v>4829.7498300000007</v>
      </c>
      <c r="D38" s="3019">
        <v>683</v>
      </c>
      <c r="E38" s="3001">
        <v>243.17972972972973</v>
      </c>
      <c r="F38" s="3021">
        <v>1.7641520119356278E-4</v>
      </c>
      <c r="G38" s="2998"/>
    </row>
    <row r="39" spans="1:7" ht="30.75" customHeight="1">
      <c r="A39" s="3022">
        <v>3.3</v>
      </c>
      <c r="B39" s="3017" t="s">
        <v>3256</v>
      </c>
      <c r="C39" s="3023"/>
      <c r="D39" s="3019"/>
      <c r="E39" s="3001">
        <v>0</v>
      </c>
      <c r="F39" s="3021">
        <v>0</v>
      </c>
      <c r="G39" s="2998"/>
    </row>
    <row r="40" spans="1:7" ht="30.75" customHeight="1">
      <c r="A40" s="3022">
        <v>3.4</v>
      </c>
      <c r="B40" s="3017" t="s">
        <v>3363</v>
      </c>
      <c r="C40" s="3023">
        <v>2377.56</v>
      </c>
      <c r="D40" s="3019">
        <v>1845</v>
      </c>
      <c r="E40" s="3001">
        <v>644.67018018018007</v>
      </c>
      <c r="F40" s="3021">
        <v>4.6767721827134225E-4</v>
      </c>
      <c r="G40" s="2998"/>
    </row>
    <row r="41" spans="1:7" ht="30.75" customHeight="1">
      <c r="A41" s="3022">
        <v>3.5</v>
      </c>
      <c r="B41" s="3017" t="s">
        <v>3119</v>
      </c>
      <c r="C41" s="3023">
        <v>130182.69</v>
      </c>
      <c r="D41" s="3019">
        <v>1997.7558980174999</v>
      </c>
      <c r="E41" s="3001">
        <v>22141.09072072072</v>
      </c>
      <c r="F41" s="3021">
        <v>1.6062296715610436E-2</v>
      </c>
      <c r="G41" s="2998"/>
    </row>
    <row r="42" spans="1:7" ht="30.75" customHeight="1">
      <c r="A42" s="3022">
        <v>3.6</v>
      </c>
      <c r="B42" s="3017" t="s">
        <v>3258</v>
      </c>
      <c r="C42" s="3023"/>
      <c r="D42" s="3019"/>
      <c r="E42" s="3001">
        <v>0</v>
      </c>
      <c r="F42" s="3021">
        <v>0</v>
      </c>
      <c r="G42" s="2998"/>
    </row>
    <row r="43" spans="1:7" ht="30.75" customHeight="1">
      <c r="A43" s="3022">
        <v>3.7</v>
      </c>
      <c r="B43" s="3017" t="s">
        <v>3259</v>
      </c>
      <c r="C43" s="3023">
        <v>47440</v>
      </c>
      <c r="D43" s="3019">
        <v>700</v>
      </c>
      <c r="E43" s="3001">
        <v>3634.996396396396</v>
      </c>
      <c r="F43" s="3021">
        <v>2.6370151053332143E-3</v>
      </c>
      <c r="G43" s="2998"/>
    </row>
    <row r="44" spans="1:7" ht="30.75" customHeight="1">
      <c r="A44" s="2992">
        <v>4</v>
      </c>
      <c r="B44" s="3025" t="s">
        <v>3262</v>
      </c>
      <c r="C44" s="3026"/>
      <c r="D44" s="3019"/>
      <c r="E44" s="3001">
        <v>5384.6601941747567</v>
      </c>
      <c r="F44" s="3021">
        <v>3.9063120621528301E-3</v>
      </c>
      <c r="G44" s="2998" t="s">
        <v>3330</v>
      </c>
    </row>
    <row r="45" spans="1:7" ht="30.75" customHeight="1">
      <c r="A45" s="2992">
        <v>5</v>
      </c>
      <c r="B45" s="3025" t="s">
        <v>3263</v>
      </c>
      <c r="C45" s="3026"/>
      <c r="D45" s="3019"/>
      <c r="E45" s="3001">
        <v>3760.5891452991455</v>
      </c>
      <c r="F45" s="3021">
        <v>2.7281266058302167E-3</v>
      </c>
      <c r="G45" s="2998" t="s">
        <v>3331</v>
      </c>
    </row>
    <row r="46" spans="1:7" ht="30.75" customHeight="1">
      <c r="A46" s="2992">
        <v>6</v>
      </c>
      <c r="B46" s="3017" t="s">
        <v>3264</v>
      </c>
      <c r="C46" s="3027">
        <v>2E-3</v>
      </c>
      <c r="D46" s="3028">
        <v>25.945453121431708</v>
      </c>
      <c r="E46" s="3001">
        <v>391.36233009708741</v>
      </c>
      <c r="F46" s="3021">
        <v>2.8391455274826097E-4</v>
      </c>
      <c r="G46" s="2998" t="s">
        <v>3265</v>
      </c>
    </row>
    <row r="47" spans="1:7" ht="30.75" customHeight="1">
      <c r="A47" s="2985" t="s">
        <v>3266</v>
      </c>
      <c r="B47" s="3015" t="s">
        <v>3267</v>
      </c>
      <c r="C47" s="2987">
        <v>198280.42983000001</v>
      </c>
      <c r="D47" s="3007">
        <v>667.68676253398326</v>
      </c>
      <c r="E47" s="3008">
        <v>10071.415825242719</v>
      </c>
      <c r="F47" s="2990">
        <v>7.3063279208711576E-3</v>
      </c>
      <c r="G47" s="3029"/>
    </row>
    <row r="48" spans="1:7" ht="30.75" customHeight="1">
      <c r="A48" s="2992">
        <v>1</v>
      </c>
      <c r="B48" s="3017" t="s">
        <v>3268</v>
      </c>
      <c r="C48" s="3018">
        <v>198280.42983000001</v>
      </c>
      <c r="D48" s="2999">
        <v>345.6764366983885</v>
      </c>
      <c r="E48" s="3001">
        <v>4202.2799029126209</v>
      </c>
      <c r="F48" s="3031">
        <v>3.0485520128175504E-3</v>
      </c>
      <c r="G48" s="2998" t="s">
        <v>3332</v>
      </c>
    </row>
    <row r="49" spans="1:7" ht="30.75" customHeight="1">
      <c r="A49" s="2992">
        <v>2</v>
      </c>
      <c r="B49" s="3017" t="s">
        <v>3269</v>
      </c>
      <c r="C49" s="3018">
        <v>198280.42983000001</v>
      </c>
      <c r="D49" s="2999">
        <v>129.32098732147182</v>
      </c>
      <c r="E49" s="3001">
        <v>5869.1359223300969</v>
      </c>
      <c r="F49" s="3031">
        <v>4.2577759080536064E-3</v>
      </c>
      <c r="G49" s="2998" t="s">
        <v>3333</v>
      </c>
    </row>
    <row r="50" spans="1:7" ht="30.75" customHeight="1">
      <c r="A50" s="3032">
        <v>3</v>
      </c>
      <c r="B50" s="3033" t="s">
        <v>3270</v>
      </c>
      <c r="C50" s="3034">
        <v>198280.42983000001</v>
      </c>
      <c r="D50" s="2999">
        <v>86</v>
      </c>
      <c r="E50" s="3001">
        <v>0</v>
      </c>
      <c r="F50" s="3031">
        <v>0</v>
      </c>
      <c r="G50" s="2998" t="s">
        <v>3271</v>
      </c>
    </row>
    <row r="51" spans="1:7" ht="30.75" customHeight="1">
      <c r="A51" s="2985" t="s">
        <v>3272</v>
      </c>
      <c r="B51" s="3015" t="s">
        <v>3273</v>
      </c>
      <c r="C51" s="2987">
        <v>5200</v>
      </c>
      <c r="D51" s="3007">
        <v>394.30838070469821</v>
      </c>
      <c r="E51" s="3008">
        <v>5947.7645631067953</v>
      </c>
      <c r="F51" s="2990">
        <v>4.3148172062638405E-3</v>
      </c>
      <c r="G51" s="3029"/>
    </row>
    <row r="52" spans="1:7" ht="30.75" customHeight="1">
      <c r="A52" s="2992">
        <v>1</v>
      </c>
      <c r="B52" s="3025" t="s">
        <v>3274</v>
      </c>
      <c r="C52" s="3035"/>
      <c r="D52" s="2999"/>
      <c r="E52" s="3001">
        <v>0</v>
      </c>
      <c r="F52" s="3013">
        <v>0</v>
      </c>
      <c r="G52" s="3009"/>
    </row>
    <row r="53" spans="1:7" ht="30.75" customHeight="1">
      <c r="A53" s="2992">
        <v>2</v>
      </c>
      <c r="B53" s="3025" t="s">
        <v>3188</v>
      </c>
      <c r="C53" s="3035"/>
      <c r="D53" s="2999"/>
      <c r="E53" s="3001">
        <v>0</v>
      </c>
      <c r="F53" s="3013">
        <v>0</v>
      </c>
      <c r="G53" s="3009"/>
    </row>
    <row r="54" spans="1:7" ht="30.75" customHeight="1">
      <c r="A54" s="2992">
        <v>3</v>
      </c>
      <c r="B54" s="3017" t="s">
        <v>3275</v>
      </c>
      <c r="C54" s="3035">
        <v>5200</v>
      </c>
      <c r="D54" s="3036">
        <v>3785.1054891710232</v>
      </c>
      <c r="E54" s="3001">
        <v>1968.254854368932</v>
      </c>
      <c r="F54" s="3013">
        <v>1.4278742579392357E-3</v>
      </c>
      <c r="G54" s="3009"/>
    </row>
    <row r="55" spans="1:7" ht="30.75" customHeight="1">
      <c r="A55" s="2992">
        <v>4</v>
      </c>
      <c r="B55" s="3017" t="s">
        <v>3276</v>
      </c>
      <c r="C55" s="3035"/>
      <c r="D55" s="2999"/>
      <c r="E55" s="3001">
        <v>2912.6213592233007</v>
      </c>
      <c r="F55" s="3013">
        <v>2.1129667495688024E-3</v>
      </c>
      <c r="G55" s="3009"/>
    </row>
    <row r="56" spans="1:7" ht="30.75" customHeight="1">
      <c r="A56" s="2992">
        <v>5</v>
      </c>
      <c r="B56" s="3017" t="s">
        <v>3277</v>
      </c>
      <c r="C56" s="3035"/>
      <c r="D56" s="2999"/>
      <c r="E56" s="3001">
        <v>0</v>
      </c>
      <c r="F56" s="3013">
        <v>0</v>
      </c>
      <c r="G56" s="3009"/>
    </row>
    <row r="57" spans="1:7" ht="30.75" customHeight="1">
      <c r="A57" s="2992">
        <v>6</v>
      </c>
      <c r="B57" s="3017" t="s">
        <v>3278</v>
      </c>
      <c r="C57" s="3035"/>
      <c r="D57" s="2999"/>
      <c r="E57" s="3001">
        <v>0</v>
      </c>
      <c r="F57" s="3013">
        <v>0</v>
      </c>
      <c r="G57" s="3009"/>
    </row>
    <row r="58" spans="1:7" ht="30.75" customHeight="1">
      <c r="A58" s="2992">
        <v>7</v>
      </c>
      <c r="B58" s="3017" t="s">
        <v>3279</v>
      </c>
      <c r="C58" s="3035"/>
      <c r="D58" s="2999"/>
      <c r="E58" s="3001">
        <v>1066.8883495145631</v>
      </c>
      <c r="F58" s="3013">
        <v>7.7397619875580305E-4</v>
      </c>
      <c r="G58" s="2998" t="s">
        <v>3334</v>
      </c>
    </row>
    <row r="59" spans="1:7" ht="30.75" customHeight="1">
      <c r="A59" s="2992">
        <v>8</v>
      </c>
      <c r="B59" s="3017" t="s">
        <v>3280</v>
      </c>
      <c r="C59" s="3035"/>
      <c r="D59" s="2999"/>
      <c r="E59" s="3001">
        <v>0</v>
      </c>
      <c r="F59" s="3013">
        <v>0</v>
      </c>
      <c r="G59" s="2998"/>
    </row>
    <row r="60" spans="1:7" ht="30.75" customHeight="1">
      <c r="A60" s="2992">
        <v>9</v>
      </c>
      <c r="B60" s="3017" t="s">
        <v>3281</v>
      </c>
      <c r="C60" s="3035"/>
      <c r="D60" s="2999"/>
      <c r="E60" s="3001">
        <v>0</v>
      </c>
      <c r="F60" s="3013">
        <v>0</v>
      </c>
      <c r="G60" s="2998"/>
    </row>
    <row r="61" spans="1:7" ht="30.75" customHeight="1">
      <c r="A61" s="2992">
        <v>10</v>
      </c>
      <c r="B61" s="3017" t="s">
        <v>3282</v>
      </c>
      <c r="C61" s="3035"/>
      <c r="D61" s="2999"/>
      <c r="E61" s="3001">
        <v>0</v>
      </c>
      <c r="F61" s="3013">
        <v>0</v>
      </c>
      <c r="G61" s="2998"/>
    </row>
    <row r="62" spans="1:7" ht="30.75" customHeight="1">
      <c r="A62" s="2992">
        <v>11</v>
      </c>
      <c r="B62" s="3017" t="s">
        <v>3190</v>
      </c>
      <c r="C62" s="3035"/>
      <c r="D62" s="2999"/>
      <c r="E62" s="3001">
        <v>0</v>
      </c>
      <c r="F62" s="3013">
        <v>0</v>
      </c>
      <c r="G62" s="2998"/>
    </row>
    <row r="63" spans="1:7" ht="30.75" customHeight="1">
      <c r="A63" s="2992">
        <v>12</v>
      </c>
      <c r="B63" s="3017"/>
      <c r="C63" s="2994"/>
      <c r="D63" s="2999"/>
      <c r="E63" s="3001"/>
      <c r="F63" s="3013">
        <v>0</v>
      </c>
      <c r="G63" s="2998"/>
    </row>
    <row r="64" spans="1:7" ht="30.75" customHeight="1">
      <c r="A64" s="2992">
        <v>13</v>
      </c>
      <c r="B64" s="3017"/>
      <c r="C64" s="2994"/>
      <c r="D64" s="2999"/>
      <c r="E64" s="3001"/>
      <c r="F64" s="3013">
        <v>0</v>
      </c>
      <c r="G64" s="2998"/>
    </row>
    <row r="65" spans="1:7" ht="30.75" customHeight="1">
      <c r="A65" s="2985" t="s">
        <v>3283</v>
      </c>
      <c r="B65" s="2986" t="s">
        <v>3241</v>
      </c>
      <c r="C65" s="3037">
        <v>0.04</v>
      </c>
      <c r="D65" s="3007">
        <v>603.84532483876012</v>
      </c>
      <c r="E65" s="3008">
        <v>9108.4288349514554</v>
      </c>
      <c r="F65" s="2990">
        <v>6.607727162379372E-3</v>
      </c>
      <c r="G65" s="2991" t="s">
        <v>3284</v>
      </c>
    </row>
    <row r="66" spans="1:7" ht="30.75" customHeight="1">
      <c r="A66" s="2992">
        <v>1</v>
      </c>
      <c r="B66" s="2993" t="s">
        <v>3285</v>
      </c>
      <c r="C66" s="3038">
        <v>0.03</v>
      </c>
      <c r="D66" s="2999">
        <v>492.80034860840016</v>
      </c>
      <c r="E66" s="3001">
        <v>9108.4288349514554</v>
      </c>
      <c r="F66" s="3013">
        <v>6.607727162379372E-3</v>
      </c>
      <c r="G66" s="3029"/>
    </row>
    <row r="67" spans="1:7" ht="30.75" customHeight="1">
      <c r="A67" s="2992">
        <v>2</v>
      </c>
      <c r="B67" s="2993" t="s">
        <v>3286</v>
      </c>
      <c r="C67" s="3038">
        <v>0.01</v>
      </c>
      <c r="D67" s="2999">
        <v>0</v>
      </c>
      <c r="E67" s="3001">
        <v>0</v>
      </c>
      <c r="F67" s="3013">
        <v>0</v>
      </c>
      <c r="G67" s="2991" t="s">
        <v>3287</v>
      </c>
    </row>
    <row r="68" spans="1:7" ht="30.75" customHeight="1">
      <c r="A68" s="3039" t="s">
        <v>3288</v>
      </c>
      <c r="B68" s="2986" t="s">
        <v>3289</v>
      </c>
      <c r="C68" s="3040"/>
      <c r="D68" s="3007">
        <v>49.093009892842161</v>
      </c>
      <c r="E68" s="3008">
        <v>3600.8799999999997</v>
      </c>
      <c r="F68" s="2990">
        <v>2.6122653001543093E-3</v>
      </c>
      <c r="G68" s="2991" t="s">
        <v>3290</v>
      </c>
    </row>
    <row r="69" spans="1:7" ht="30.75" customHeight="1">
      <c r="A69" s="3039" t="s">
        <v>3291</v>
      </c>
      <c r="B69" s="2986" t="s">
        <v>3292</v>
      </c>
      <c r="C69" s="2990"/>
      <c r="D69" s="3007">
        <v>498.17635818652855</v>
      </c>
      <c r="E69" s="2989">
        <v>7514.5136000000002</v>
      </c>
      <c r="F69" s="2990">
        <v>5.4514182990873456E-3</v>
      </c>
      <c r="G69" s="3041"/>
    </row>
    <row r="70" spans="1:7" ht="30.75" customHeight="1">
      <c r="A70" s="3042">
        <v>1</v>
      </c>
      <c r="B70" s="2993" t="s">
        <v>3293</v>
      </c>
      <c r="C70" s="3043">
        <v>2.5999999999999999E-3</v>
      </c>
      <c r="D70" s="3007">
        <v>294.37693892840321</v>
      </c>
      <c r="E70" s="3001">
        <v>4440.3944000000001</v>
      </c>
      <c r="F70" s="3013">
        <v>3.2212926312788861E-3</v>
      </c>
      <c r="G70" s="2998" t="s">
        <v>3294</v>
      </c>
    </row>
    <row r="71" spans="1:7" ht="30.75" customHeight="1">
      <c r="A71" s="3042">
        <v>2</v>
      </c>
      <c r="B71" s="2993" t="s">
        <v>3295</v>
      </c>
      <c r="C71" s="3043">
        <v>1.8E-3</v>
      </c>
      <c r="D71" s="3007">
        <v>203.79941925812528</v>
      </c>
      <c r="E71" s="3001">
        <v>3074.1192000000001</v>
      </c>
      <c r="F71" s="3013">
        <v>2.2301256678084599E-3</v>
      </c>
      <c r="G71" s="2998" t="s">
        <v>3296</v>
      </c>
    </row>
    <row r="72" spans="1:7" ht="30.75" customHeight="1">
      <c r="A72" s="3042">
        <v>3</v>
      </c>
      <c r="B72" s="2993" t="s">
        <v>3297</v>
      </c>
      <c r="C72" s="3043"/>
      <c r="D72" s="3007">
        <v>0</v>
      </c>
      <c r="E72" s="3001">
        <v>0</v>
      </c>
      <c r="F72" s="3013">
        <v>0</v>
      </c>
      <c r="G72" s="2998" t="s">
        <v>3298</v>
      </c>
    </row>
    <row r="73" spans="1:7" ht="30.75" customHeight="1">
      <c r="A73" s="3039" t="s">
        <v>3299</v>
      </c>
      <c r="B73" s="2986" t="s">
        <v>3300</v>
      </c>
      <c r="C73" s="2986"/>
      <c r="D73" s="3007">
        <v>17053.811260174261</v>
      </c>
      <c r="E73" s="3008">
        <v>257240.42207243797</v>
      </c>
      <c r="F73" s="2990">
        <v>0.18661555741287641</v>
      </c>
      <c r="G73" s="2998" t="s">
        <v>3301</v>
      </c>
    </row>
    <row r="74" spans="1:7" ht="30.75" customHeight="1">
      <c r="A74" s="2985" t="s">
        <v>3302</v>
      </c>
      <c r="B74" s="3044" t="s">
        <v>3303</v>
      </c>
      <c r="C74" s="2987">
        <v>184829.99983000002</v>
      </c>
      <c r="D74" s="3007">
        <v>89359.100418942209</v>
      </c>
      <c r="E74" s="3008">
        <v>1347896.5116415378</v>
      </c>
      <c r="F74" s="2990">
        <v>0.97783410876236598</v>
      </c>
      <c r="G74" s="2998"/>
    </row>
    <row r="75" spans="1:7" ht="30.75" customHeight="1">
      <c r="A75" s="2985" t="s">
        <v>3230</v>
      </c>
      <c r="B75" s="2986" t="s">
        <v>3304</v>
      </c>
      <c r="C75" s="2990"/>
      <c r="D75" s="3007">
        <v>566.10949793923703</v>
      </c>
      <c r="E75" s="2989">
        <v>8539.2200000000012</v>
      </c>
      <c r="F75" s="2990">
        <v>6.1947935216901664E-3</v>
      </c>
      <c r="G75" s="2998"/>
    </row>
    <row r="76" spans="1:7" ht="30.75" customHeight="1">
      <c r="A76" s="3042">
        <v>1</v>
      </c>
      <c r="B76" s="2993" t="s">
        <v>3293</v>
      </c>
      <c r="C76" s="3043">
        <v>3.0000000000000001E-3</v>
      </c>
      <c r="D76" s="2999">
        <v>339.66569876354214</v>
      </c>
      <c r="E76" s="3001">
        <v>5123.5320000000002</v>
      </c>
      <c r="F76" s="3031">
        <v>3.7168761130140994E-3</v>
      </c>
      <c r="G76" s="2998" t="s">
        <v>3305</v>
      </c>
    </row>
    <row r="77" spans="1:7" ht="30.75" customHeight="1">
      <c r="A77" s="3042">
        <v>2</v>
      </c>
      <c r="B77" s="2993" t="s">
        <v>3295</v>
      </c>
      <c r="C77" s="3043">
        <v>1.5E-3</v>
      </c>
      <c r="D77" s="2999">
        <v>169.83284938177107</v>
      </c>
      <c r="E77" s="3001">
        <v>2561.7660000000001</v>
      </c>
      <c r="F77" s="3031">
        <v>1.8584380565070497E-3</v>
      </c>
      <c r="G77" s="2998" t="s">
        <v>3306</v>
      </c>
    </row>
    <row r="78" spans="1:7" ht="30.75" customHeight="1">
      <c r="A78" s="3042">
        <v>3</v>
      </c>
      <c r="B78" s="2993" t="s">
        <v>3297</v>
      </c>
      <c r="C78" s="3043">
        <v>5.0000000000000001E-4</v>
      </c>
      <c r="D78" s="2999">
        <v>56.610949793923695</v>
      </c>
      <c r="E78" s="3001">
        <v>853.92200000000003</v>
      </c>
      <c r="F78" s="3031">
        <v>6.1947935216901653E-4</v>
      </c>
      <c r="G78" s="2991" t="s">
        <v>3298</v>
      </c>
    </row>
    <row r="79" spans="1:7" ht="30.75" customHeight="1">
      <c r="A79" s="3042">
        <v>4</v>
      </c>
      <c r="B79" s="2993" t="s">
        <v>3307</v>
      </c>
      <c r="C79" s="2997"/>
      <c r="D79" s="2999"/>
      <c r="E79" s="3001"/>
      <c r="F79" s="3031">
        <v>0</v>
      </c>
      <c r="G79" s="2991" t="s">
        <v>3308</v>
      </c>
    </row>
    <row r="80" spans="1:7" ht="30.75" customHeight="1">
      <c r="A80" s="3042">
        <v>5</v>
      </c>
      <c r="B80" s="2993" t="s">
        <v>3309</v>
      </c>
      <c r="C80" s="3045">
        <v>0.1</v>
      </c>
      <c r="D80" s="2999"/>
      <c r="E80" s="3001">
        <v>0</v>
      </c>
      <c r="F80" s="3031">
        <v>0</v>
      </c>
      <c r="G80" s="2991" t="s">
        <v>3310</v>
      </c>
    </row>
    <row r="81" spans="1:7" ht="30.75" customHeight="1">
      <c r="A81" s="2985" t="s">
        <v>3242</v>
      </c>
      <c r="B81" s="2986" t="s">
        <v>3311</v>
      </c>
      <c r="C81" s="2986"/>
      <c r="D81" s="3007">
        <v>0</v>
      </c>
      <c r="E81" s="3008">
        <v>0</v>
      </c>
      <c r="F81" s="2990">
        <v>0</v>
      </c>
      <c r="G81" s="3029"/>
    </row>
    <row r="82" spans="1:7" ht="30.75" customHeight="1">
      <c r="A82" s="2985" t="s">
        <v>3251</v>
      </c>
      <c r="B82" s="2986" t="s">
        <v>3312</v>
      </c>
      <c r="C82" s="3037">
        <v>1.2890742572793865E-2</v>
      </c>
      <c r="D82" s="3007">
        <v>1459.5143611896563</v>
      </c>
      <c r="E82" s="2989">
        <v>22015.377358490565</v>
      </c>
      <c r="F82" s="2990">
        <v>1.5971097715943811E-2</v>
      </c>
      <c r="G82" s="3029"/>
    </row>
    <row r="83" spans="1:7" ht="30.75" customHeight="1">
      <c r="A83" s="2992">
        <v>1</v>
      </c>
      <c r="B83" s="2993" t="s">
        <v>3313</v>
      </c>
      <c r="C83" s="3003"/>
      <c r="D83" s="2999">
        <v>983.11094009811859</v>
      </c>
      <c r="E83" s="3001">
        <v>13498.113207547169</v>
      </c>
      <c r="F83" s="3013">
        <v>9.7922321070488486E-3</v>
      </c>
      <c r="G83" s="3029"/>
    </row>
    <row r="84" spans="1:7" ht="30.75" customHeight="1">
      <c r="A84" s="2992">
        <v>2</v>
      </c>
      <c r="B84" s="2993" t="s">
        <v>3314</v>
      </c>
      <c r="C84" s="3003"/>
      <c r="D84" s="2999">
        <v>507.08406052027652</v>
      </c>
      <c r="E84" s="3001">
        <v>6962.2641509433961</v>
      </c>
      <c r="F84" s="3013">
        <v>5.0507878774126713E-3</v>
      </c>
      <c r="G84" s="3029"/>
    </row>
    <row r="85" spans="1:7" ht="30.75" customHeight="1">
      <c r="A85" s="2992">
        <v>3</v>
      </c>
      <c r="B85" s="2993" t="s">
        <v>3315</v>
      </c>
      <c r="C85" s="3046"/>
      <c r="D85" s="2999"/>
      <c r="E85" s="3047">
        <v>1555</v>
      </c>
      <c r="F85" s="3013">
        <v>1.1280777314822909E-3</v>
      </c>
      <c r="G85" s="2991"/>
    </row>
    <row r="86" spans="1:7" ht="30.75" customHeight="1">
      <c r="A86" s="2985" t="s">
        <v>3316</v>
      </c>
      <c r="B86" s="3044" t="s">
        <v>3317</v>
      </c>
      <c r="C86" s="2986"/>
      <c r="D86" s="3007">
        <v>2025.6238591288934</v>
      </c>
      <c r="E86" s="2989">
        <v>30554.597358490566</v>
      </c>
      <c r="F86" s="2990">
        <v>2.2165891237633975E-2</v>
      </c>
      <c r="G86" s="3029"/>
    </row>
    <row r="87" spans="1:7" ht="30.75" customHeight="1" thickBot="1">
      <c r="A87" s="3048" t="s">
        <v>3318</v>
      </c>
      <c r="B87" s="3049" t="s">
        <v>3319</v>
      </c>
      <c r="C87" s="3050" t="s">
        <v>3320</v>
      </c>
      <c r="D87" s="3051">
        <v>91384.724278071109</v>
      </c>
      <c r="E87" s="3052">
        <v>1378451.1090000283</v>
      </c>
      <c r="F87" s="3053">
        <v>1</v>
      </c>
      <c r="G87" s="3054"/>
    </row>
    <row r="88" spans="1:7" ht="30.75" customHeight="1">
      <c r="A88" s="3030"/>
      <c r="B88" s="3055"/>
      <c r="C88" s="3030"/>
      <c r="D88" s="3056"/>
      <c r="E88" s="3057">
        <v>1265743.3584982946</v>
      </c>
      <c r="F88" s="3058">
        <v>0.75763981185853746</v>
      </c>
      <c r="G88" s="3059">
        <v>0.18661555741287641</v>
      </c>
    </row>
  </sheetData>
  <mergeCells count="5">
    <mergeCell ref="A1:A2"/>
    <mergeCell ref="B1:B2"/>
    <mergeCell ref="C1:C2"/>
    <mergeCell ref="D1:F1"/>
    <mergeCell ref="G1:G2"/>
  </mergeCells>
  <phoneticPr fontId="14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Y17"/>
  <sheetViews>
    <sheetView workbookViewId="0">
      <pane xSplit="1" ySplit="3" topLeftCell="B4" activePane="bottomRight" state="frozen"/>
      <selection pane="topRight" activeCell="B1" sqref="B1"/>
      <selection pane="bottomLeft" activeCell="A4" sqref="A4"/>
      <selection pane="bottomRight" activeCell="J32" sqref="J32"/>
    </sheetView>
  </sheetViews>
  <sheetFormatPr defaultRowHeight="13.5"/>
  <cols>
    <col min="5" max="8" width="0" hidden="1" customWidth="1"/>
    <col min="23" max="25" width="0" hidden="1" customWidth="1"/>
  </cols>
  <sheetData>
    <row r="1" spans="1:25">
      <c r="A1" s="3069" t="s">
        <v>3390</v>
      </c>
      <c r="B1" s="3070"/>
      <c r="C1" s="3080"/>
      <c r="D1" s="3080"/>
      <c r="E1" s="3080"/>
      <c r="F1" s="3080"/>
      <c r="G1" s="3080"/>
      <c r="H1" s="3080"/>
      <c r="I1" s="3080"/>
      <c r="J1" s="3080"/>
      <c r="K1" s="3080"/>
      <c r="L1" s="3080"/>
      <c r="M1" s="3081"/>
      <c r="N1" s="3082"/>
      <c r="O1" s="3082"/>
      <c r="P1" s="3083"/>
      <c r="Q1" s="3083"/>
      <c r="R1" s="3083"/>
      <c r="S1" s="3083"/>
      <c r="T1" s="3083"/>
      <c r="U1" s="3083"/>
      <c r="V1" s="3083"/>
      <c r="W1" s="3080"/>
      <c r="X1" s="3080"/>
      <c r="Y1" s="3080"/>
    </row>
    <row r="2" spans="1:25">
      <c r="A2" s="3203" t="s">
        <v>3391</v>
      </c>
      <c r="B2" s="3203" t="s">
        <v>3392</v>
      </c>
      <c r="C2" s="3203" t="s">
        <v>3393</v>
      </c>
      <c r="D2" s="3203" t="s">
        <v>3394</v>
      </c>
      <c r="E2" s="3204" t="s">
        <v>3395</v>
      </c>
      <c r="F2" s="3205"/>
      <c r="G2" s="3205"/>
      <c r="H2" s="3205"/>
      <c r="I2" s="3205"/>
      <c r="J2" s="3205"/>
      <c r="K2" s="3206"/>
      <c r="L2" s="3204" t="s">
        <v>3395</v>
      </c>
      <c r="M2" s="3205"/>
      <c r="N2" s="3205"/>
      <c r="O2" s="3205"/>
      <c r="P2" s="3205"/>
      <c r="Q2" s="3205"/>
      <c r="R2" s="3206"/>
      <c r="S2" s="3071" t="s">
        <v>3395</v>
      </c>
      <c r="T2" s="3071" t="s">
        <v>3396</v>
      </c>
      <c r="U2" s="3071" t="s">
        <v>3396</v>
      </c>
      <c r="V2" s="3071" t="s">
        <v>3396</v>
      </c>
      <c r="W2" s="3066" t="s">
        <v>3397</v>
      </c>
      <c r="X2" s="3066" t="s">
        <v>3397</v>
      </c>
      <c r="Y2" s="3066" t="s">
        <v>3397</v>
      </c>
    </row>
    <row r="3" spans="1:25">
      <c r="A3" s="3203"/>
      <c r="B3" s="3203"/>
      <c r="C3" s="3203"/>
      <c r="D3" s="3203"/>
      <c r="E3" s="3068" t="s">
        <v>3399</v>
      </c>
      <c r="F3" s="3068" t="s">
        <v>3372</v>
      </c>
      <c r="G3" s="3068" t="s">
        <v>3373</v>
      </c>
      <c r="H3" s="3068" t="s">
        <v>3374</v>
      </c>
      <c r="I3" s="3068" t="s">
        <v>3375</v>
      </c>
      <c r="J3" s="3068" t="s">
        <v>3376</v>
      </c>
      <c r="K3" s="3068" t="s">
        <v>3400</v>
      </c>
      <c r="L3" s="3068" t="s">
        <v>3401</v>
      </c>
      <c r="M3" s="3068" t="s">
        <v>3377</v>
      </c>
      <c r="N3" s="3072" t="s">
        <v>3378</v>
      </c>
      <c r="O3" s="3072" t="s">
        <v>3369</v>
      </c>
      <c r="P3" s="3072" t="s">
        <v>3370</v>
      </c>
      <c r="Q3" s="3072" t="s">
        <v>3371</v>
      </c>
      <c r="R3" s="3072" t="s">
        <v>3402</v>
      </c>
      <c r="S3" s="3072" t="s">
        <v>3398</v>
      </c>
      <c r="T3" s="3072" t="s">
        <v>3400</v>
      </c>
      <c r="U3" s="3072" t="s">
        <v>3402</v>
      </c>
      <c r="V3" s="3072" t="s">
        <v>3398</v>
      </c>
      <c r="W3" s="3068" t="s">
        <v>3400</v>
      </c>
      <c r="X3" s="3067" t="s">
        <v>3402</v>
      </c>
      <c r="Y3" s="3067" t="s">
        <v>3398</v>
      </c>
    </row>
    <row r="4" spans="1:25">
      <c r="A4" s="3076" t="s">
        <v>3075</v>
      </c>
      <c r="B4" s="3073"/>
      <c r="C4" s="3073" t="s">
        <v>3075</v>
      </c>
      <c r="D4" s="3077">
        <v>122369.05420765345</v>
      </c>
      <c r="E4" s="3077">
        <v>0</v>
      </c>
      <c r="F4" s="3077">
        <v>0</v>
      </c>
      <c r="G4" s="3077">
        <v>0</v>
      </c>
      <c r="H4" s="3077">
        <v>0</v>
      </c>
      <c r="I4" s="3077">
        <v>114720.58823529411</v>
      </c>
      <c r="J4" s="3077">
        <v>112542.93628808865</v>
      </c>
      <c r="K4" s="3077">
        <v>113329.20353982301</v>
      </c>
      <c r="L4" s="3077">
        <v>112677.74936061382</v>
      </c>
      <c r="M4" s="3077">
        <v>113482.5327510917</v>
      </c>
      <c r="N4" s="3077">
        <v>114031.4465408805</v>
      </c>
      <c r="O4" s="3077">
        <v>115977.52808988764</v>
      </c>
      <c r="P4" s="3077">
        <v>120000</v>
      </c>
      <c r="Q4" s="3077">
        <v>123910.77231695085</v>
      </c>
      <c r="R4" s="3077">
        <v>116395.41231908448</v>
      </c>
      <c r="S4" s="3077">
        <v>115806.51845808688</v>
      </c>
      <c r="T4" s="3077">
        <v>130904.17927378125</v>
      </c>
      <c r="U4" s="3077">
        <v>130904.17927378122</v>
      </c>
      <c r="V4" s="3077">
        <v>130904.17927378124</v>
      </c>
      <c r="W4" s="3077">
        <v>0</v>
      </c>
      <c r="X4" s="3077">
        <v>0</v>
      </c>
      <c r="Y4" s="3077">
        <v>0</v>
      </c>
    </row>
    <row r="5" spans="1:25">
      <c r="A5" s="3073"/>
      <c r="B5" s="3073"/>
      <c r="C5" s="3073" t="s">
        <v>3379</v>
      </c>
      <c r="D5" s="3077">
        <v>133527.27669516276</v>
      </c>
      <c r="E5" s="3078"/>
      <c r="F5" s="3078"/>
      <c r="G5" s="3075"/>
      <c r="H5" s="3075"/>
      <c r="I5" s="3075"/>
      <c r="J5" s="3075"/>
      <c r="K5" s="3077">
        <v>0</v>
      </c>
      <c r="L5" s="3075"/>
      <c r="M5" s="3075"/>
      <c r="N5" s="3075"/>
      <c r="O5" s="3075"/>
      <c r="P5" s="3078"/>
      <c r="Q5" s="3078">
        <v>132000</v>
      </c>
      <c r="R5" s="3077">
        <v>132000</v>
      </c>
      <c r="S5" s="3077">
        <v>132000</v>
      </c>
      <c r="T5" s="3078">
        <v>133794</v>
      </c>
      <c r="U5" s="3078">
        <v>133794</v>
      </c>
      <c r="V5" s="3077">
        <v>133794</v>
      </c>
      <c r="W5" s="3078"/>
      <c r="X5" s="3078"/>
      <c r="Y5" s="3077">
        <v>0</v>
      </c>
    </row>
    <row r="6" spans="1:25">
      <c r="A6" s="3073"/>
      <c r="B6" s="3073"/>
      <c r="C6" s="3073" t="s">
        <v>3380</v>
      </c>
      <c r="D6" s="3077">
        <v>133961</v>
      </c>
      <c r="E6" s="3078"/>
      <c r="F6" s="3078"/>
      <c r="G6" s="3075"/>
      <c r="H6" s="3075"/>
      <c r="I6" s="3075"/>
      <c r="J6" s="3075"/>
      <c r="K6" s="3077">
        <v>0</v>
      </c>
      <c r="L6" s="3075"/>
      <c r="M6" s="3075"/>
      <c r="N6" s="3075"/>
      <c r="O6" s="3075"/>
      <c r="P6" s="3078"/>
      <c r="Q6" s="3078"/>
      <c r="R6" s="3077">
        <v>0</v>
      </c>
      <c r="S6" s="3077">
        <v>0</v>
      </c>
      <c r="T6" s="3078">
        <v>133961</v>
      </c>
      <c r="U6" s="3078">
        <v>133961</v>
      </c>
      <c r="V6" s="3077">
        <v>133961</v>
      </c>
      <c r="W6" s="3078"/>
      <c r="X6" s="3078"/>
      <c r="Y6" s="3077">
        <v>0</v>
      </c>
    </row>
    <row r="7" spans="1:25">
      <c r="A7" s="3073"/>
      <c r="B7" s="3073"/>
      <c r="C7" s="3073" t="s">
        <v>3381</v>
      </c>
      <c r="D7" s="3077">
        <v>124278.96373254982</v>
      </c>
      <c r="E7" s="3078"/>
      <c r="F7" s="3078"/>
      <c r="G7" s="3075"/>
      <c r="H7" s="3075"/>
      <c r="I7" s="3075"/>
      <c r="J7" s="3075"/>
      <c r="K7" s="3077">
        <v>0</v>
      </c>
      <c r="L7" s="3075"/>
      <c r="M7" s="3075"/>
      <c r="N7" s="3075"/>
      <c r="O7" s="3075"/>
      <c r="P7" s="3078"/>
      <c r="Q7" s="3078">
        <v>122000</v>
      </c>
      <c r="R7" s="3077">
        <v>122000</v>
      </c>
      <c r="S7" s="3077">
        <v>122000</v>
      </c>
      <c r="T7" s="3078">
        <v>124588</v>
      </c>
      <c r="U7" s="3078">
        <v>124588</v>
      </c>
      <c r="V7" s="3077">
        <v>124587.99999999999</v>
      </c>
      <c r="W7" s="3078"/>
      <c r="X7" s="3078"/>
      <c r="Y7" s="3077">
        <v>0</v>
      </c>
    </row>
    <row r="8" spans="1:25">
      <c r="A8" s="3073"/>
      <c r="B8" s="3073"/>
      <c r="C8" s="3073" t="s">
        <v>3382</v>
      </c>
      <c r="D8" s="3077">
        <v>119337.61885118642</v>
      </c>
      <c r="E8" s="3078"/>
      <c r="F8" s="3078"/>
      <c r="G8" s="3075"/>
      <c r="H8" s="3075"/>
      <c r="I8" s="3075"/>
      <c r="J8" s="3075"/>
      <c r="K8" s="3077">
        <v>0</v>
      </c>
      <c r="L8" s="3075"/>
      <c r="M8" s="3075"/>
      <c r="N8" s="3075">
        <v>118000</v>
      </c>
      <c r="O8" s="3075">
        <v>118000</v>
      </c>
      <c r="P8" s="3078">
        <v>120000</v>
      </c>
      <c r="Q8" s="3078">
        <v>120000</v>
      </c>
      <c r="R8" s="3077">
        <v>118974.35897435897</v>
      </c>
      <c r="S8" s="3077">
        <v>118974.35897435897</v>
      </c>
      <c r="T8" s="3074">
        <v>124280</v>
      </c>
      <c r="U8" s="3078">
        <v>124280</v>
      </c>
      <c r="V8" s="3077">
        <v>124280</v>
      </c>
      <c r="W8" s="3078"/>
      <c r="X8" s="3078"/>
      <c r="Y8" s="3077">
        <v>0</v>
      </c>
    </row>
    <row r="9" spans="1:25">
      <c r="A9" s="3073"/>
      <c r="B9" s="3073"/>
      <c r="C9" s="3073" t="s">
        <v>3383</v>
      </c>
      <c r="D9" s="3077">
        <v>119642.44931225934</v>
      </c>
      <c r="E9" s="3078"/>
      <c r="F9" s="3078"/>
      <c r="G9" s="3075"/>
      <c r="H9" s="3075"/>
      <c r="I9" s="3075">
        <v>117000</v>
      </c>
      <c r="J9" s="3075">
        <v>119000</v>
      </c>
      <c r="K9" s="3077">
        <v>118142.85714285714</v>
      </c>
      <c r="L9" s="3075">
        <v>119000</v>
      </c>
      <c r="M9" s="3075">
        <v>120000</v>
      </c>
      <c r="N9" s="3075"/>
      <c r="O9" s="3075"/>
      <c r="P9" s="3078"/>
      <c r="Q9" s="3078"/>
      <c r="R9" s="3077">
        <v>119555.55555555556</v>
      </c>
      <c r="S9" s="3077">
        <v>118937.5</v>
      </c>
      <c r="T9" s="3078">
        <v>130615</v>
      </c>
      <c r="U9" s="3078">
        <v>130615</v>
      </c>
      <c r="V9" s="3077">
        <v>130615.00000000001</v>
      </c>
      <c r="W9" s="3078"/>
      <c r="X9" s="3078"/>
      <c r="Y9" s="3077">
        <v>0</v>
      </c>
    </row>
    <row r="10" spans="1:25">
      <c r="A10" s="3073"/>
      <c r="B10" s="3073"/>
      <c r="C10" s="3073" t="s">
        <v>3384</v>
      </c>
      <c r="D10" s="3077">
        <v>114143.36607152382</v>
      </c>
      <c r="E10" s="3078"/>
      <c r="F10" s="3078"/>
      <c r="G10" s="3075"/>
      <c r="H10" s="3075"/>
      <c r="I10" s="3075">
        <v>112000</v>
      </c>
      <c r="J10" s="3075">
        <v>112000</v>
      </c>
      <c r="K10" s="3077">
        <v>112000</v>
      </c>
      <c r="L10" s="3075">
        <v>115000</v>
      </c>
      <c r="M10" s="3075">
        <v>115000</v>
      </c>
      <c r="N10" s="3075">
        <v>115000</v>
      </c>
      <c r="O10" s="3075"/>
      <c r="P10" s="3078"/>
      <c r="Q10" s="3078"/>
      <c r="R10" s="3077">
        <v>115000</v>
      </c>
      <c r="S10" s="3077">
        <v>113615.38461538461</v>
      </c>
      <c r="T10" s="3078">
        <v>118675</v>
      </c>
      <c r="U10" s="3078">
        <v>118675</v>
      </c>
      <c r="V10" s="3077">
        <v>118674.99999999999</v>
      </c>
      <c r="W10" s="3078"/>
      <c r="X10" s="3078"/>
      <c r="Y10" s="3077">
        <v>0</v>
      </c>
    </row>
    <row r="11" spans="1:25">
      <c r="A11" s="3073"/>
      <c r="B11" s="3073"/>
      <c r="C11" s="3073" t="s">
        <v>3385</v>
      </c>
      <c r="D11" s="3077">
        <v>107043.47477127299</v>
      </c>
      <c r="E11" s="3078"/>
      <c r="F11" s="3078"/>
      <c r="G11" s="3075"/>
      <c r="H11" s="3075"/>
      <c r="I11" s="3075"/>
      <c r="J11" s="3075">
        <v>105000</v>
      </c>
      <c r="K11" s="3077">
        <v>105000</v>
      </c>
      <c r="L11" s="3075">
        <v>105000</v>
      </c>
      <c r="M11" s="3075">
        <v>106000</v>
      </c>
      <c r="N11" s="3075">
        <v>106000</v>
      </c>
      <c r="O11" s="3075">
        <v>106000</v>
      </c>
      <c r="P11" s="3078"/>
      <c r="Q11" s="3078"/>
      <c r="R11" s="3077">
        <v>105722.22222222222</v>
      </c>
      <c r="S11" s="3077">
        <v>105590.90909090909</v>
      </c>
      <c r="T11" s="3078">
        <v>145311</v>
      </c>
      <c r="U11" s="3078">
        <v>145311</v>
      </c>
      <c r="V11" s="3077">
        <v>145311</v>
      </c>
      <c r="W11" s="3078"/>
      <c r="X11" s="3078"/>
      <c r="Y11" s="3077">
        <v>0</v>
      </c>
    </row>
    <row r="12" spans="1:25">
      <c r="A12" s="3073"/>
      <c r="B12" s="3073"/>
      <c r="C12" s="3073" t="s">
        <v>3386</v>
      </c>
      <c r="D12" s="3077">
        <v>0</v>
      </c>
      <c r="E12" s="3078"/>
      <c r="F12" s="3078"/>
      <c r="G12" s="3078"/>
      <c r="H12" s="3078"/>
      <c r="I12" s="3078"/>
      <c r="J12" s="3078"/>
      <c r="K12" s="3077">
        <v>0</v>
      </c>
      <c r="L12" s="3078"/>
      <c r="M12" s="3078"/>
      <c r="N12" s="3078"/>
      <c r="O12" s="3078"/>
      <c r="P12" s="3078"/>
      <c r="Q12" s="3078"/>
      <c r="R12" s="3077">
        <v>0</v>
      </c>
      <c r="S12" s="3077">
        <v>0</v>
      </c>
      <c r="T12" s="3078"/>
      <c r="U12" s="3078"/>
      <c r="V12" s="3077">
        <v>0</v>
      </c>
      <c r="W12" s="3078"/>
      <c r="X12" s="3078"/>
      <c r="Y12" s="3077">
        <v>0</v>
      </c>
    </row>
    <row r="13" spans="1:25">
      <c r="A13" s="3073"/>
      <c r="B13" s="3073"/>
      <c r="C13" s="3073" t="s">
        <v>3387</v>
      </c>
      <c r="D13" s="3077">
        <v>120191.46445973298</v>
      </c>
      <c r="E13" s="3078"/>
      <c r="F13" s="3078"/>
      <c r="G13" s="3078"/>
      <c r="H13" s="3078"/>
      <c r="I13" s="3078"/>
      <c r="J13" s="3078"/>
      <c r="K13" s="3077">
        <v>0</v>
      </c>
      <c r="L13" s="3075"/>
      <c r="M13" s="3075"/>
      <c r="N13" s="3075">
        <v>118000</v>
      </c>
      <c r="O13" s="3075">
        <v>118000</v>
      </c>
      <c r="P13" s="3078">
        <v>120000</v>
      </c>
      <c r="Q13" s="3078">
        <v>120000</v>
      </c>
      <c r="R13" s="3077">
        <v>118857.94594594595</v>
      </c>
      <c r="S13" s="3077">
        <v>118857.94594594595</v>
      </c>
      <c r="T13" s="3078">
        <v>126955</v>
      </c>
      <c r="U13" s="3078">
        <v>126955</v>
      </c>
      <c r="V13" s="3077">
        <v>126955</v>
      </c>
      <c r="W13" s="3078"/>
      <c r="X13" s="3078"/>
      <c r="Y13" s="3077">
        <v>0</v>
      </c>
    </row>
    <row r="14" spans="1:25">
      <c r="A14" s="3076" t="s">
        <v>3403</v>
      </c>
      <c r="B14" s="3073"/>
      <c r="C14" s="3073" t="s">
        <v>3388</v>
      </c>
      <c r="D14" s="3077">
        <v>129998.71012298323</v>
      </c>
      <c r="E14" s="3078"/>
      <c r="F14" s="3078"/>
      <c r="G14" s="3078"/>
      <c r="H14" s="3078"/>
      <c r="I14" s="3078"/>
      <c r="J14" s="3078"/>
      <c r="K14" s="3077">
        <v>0</v>
      </c>
      <c r="L14" s="3078"/>
      <c r="M14" s="3078"/>
      <c r="N14" s="3078"/>
      <c r="O14" s="3078"/>
      <c r="P14" s="3078"/>
      <c r="Q14" s="3078"/>
      <c r="R14" s="3077">
        <v>0</v>
      </c>
      <c r="S14" s="3077">
        <v>0</v>
      </c>
      <c r="T14" s="3078">
        <v>129000</v>
      </c>
      <c r="U14" s="3078">
        <v>131429</v>
      </c>
      <c r="V14" s="3077">
        <v>129998.71012298323</v>
      </c>
      <c r="W14" s="3078"/>
      <c r="X14" s="3078"/>
      <c r="Y14" s="3077">
        <v>0</v>
      </c>
    </row>
    <row r="15" spans="1:25">
      <c r="A15" s="3076" t="s">
        <v>3368</v>
      </c>
      <c r="B15" s="3073"/>
      <c r="C15" s="3073" t="s">
        <v>3364</v>
      </c>
      <c r="D15" s="3077">
        <v>176000.75153993478</v>
      </c>
      <c r="E15" s="3078"/>
      <c r="F15" s="3078"/>
      <c r="G15" s="3078"/>
      <c r="H15" s="3078"/>
      <c r="I15" s="3078"/>
      <c r="J15" s="3078"/>
      <c r="K15" s="3077">
        <v>0</v>
      </c>
      <c r="L15" s="3078"/>
      <c r="M15" s="3078"/>
      <c r="N15" s="3078"/>
      <c r="O15" s="3078"/>
      <c r="P15" s="3078"/>
      <c r="Q15" s="3078"/>
      <c r="R15" s="3077">
        <v>0</v>
      </c>
      <c r="S15" s="3077">
        <v>0</v>
      </c>
      <c r="T15" s="3078">
        <v>176000</v>
      </c>
      <c r="U15" s="3078">
        <v>176001</v>
      </c>
      <c r="V15" s="3077">
        <v>176000.75153993478</v>
      </c>
      <c r="W15" s="3078"/>
      <c r="X15" s="3078"/>
      <c r="Y15" s="3077">
        <v>0</v>
      </c>
    </row>
    <row r="16" spans="1:25">
      <c r="A16" s="3084" t="s">
        <v>3389</v>
      </c>
      <c r="B16" s="3085"/>
      <c r="C16" s="3073"/>
      <c r="D16" s="3077">
        <v>0</v>
      </c>
      <c r="E16" s="3078"/>
      <c r="F16" s="3078"/>
      <c r="G16" s="3078"/>
      <c r="H16" s="3078"/>
      <c r="I16" s="3078"/>
      <c r="J16" s="3078"/>
      <c r="K16" s="3077">
        <v>0</v>
      </c>
      <c r="L16" s="3078"/>
      <c r="M16" s="3078"/>
      <c r="N16" s="3078"/>
      <c r="O16" s="3078"/>
      <c r="P16" s="3078"/>
      <c r="Q16" s="3078"/>
      <c r="R16" s="3077">
        <v>0</v>
      </c>
      <c r="S16" s="3077">
        <v>0</v>
      </c>
      <c r="T16" s="3078"/>
      <c r="U16" s="3078"/>
      <c r="V16" s="3077">
        <v>0</v>
      </c>
      <c r="W16" s="3078"/>
      <c r="X16" s="3078"/>
      <c r="Y16" s="3077">
        <v>0</v>
      </c>
    </row>
    <row r="17" spans="1:25">
      <c r="A17" s="3207" t="s">
        <v>3404</v>
      </c>
      <c r="B17" s="3208"/>
      <c r="C17" s="3208"/>
      <c r="D17" s="3077">
        <v>124387.75511604112</v>
      </c>
      <c r="E17" s="3077">
        <v>0</v>
      </c>
      <c r="F17" s="3077">
        <v>0</v>
      </c>
      <c r="G17" s="3077">
        <v>0</v>
      </c>
      <c r="H17" s="3077">
        <v>0</v>
      </c>
      <c r="I17" s="3077">
        <v>114720.58823529411</v>
      </c>
      <c r="J17" s="3077">
        <v>112542.93628808865</v>
      </c>
      <c r="K17" s="3077">
        <v>113329.20353982301</v>
      </c>
      <c r="L17" s="3077">
        <v>112677.74936061382</v>
      </c>
      <c r="M17" s="3077">
        <v>113482.5327510917</v>
      </c>
      <c r="N17" s="3077">
        <v>114031.4465408805</v>
      </c>
      <c r="O17" s="3077">
        <v>115977.52808988764</v>
      </c>
      <c r="P17" s="3077">
        <v>120000</v>
      </c>
      <c r="Q17" s="3077">
        <v>123910.77231695085</v>
      </c>
      <c r="R17" s="3077">
        <v>116395.41231908448</v>
      </c>
      <c r="S17" s="3077">
        <v>115806.51845808688</v>
      </c>
      <c r="T17" s="3077">
        <v>132312.64019806936</v>
      </c>
      <c r="U17" s="3077">
        <v>136935.21125341993</v>
      </c>
      <c r="V17" s="3077">
        <v>134286.69560729424</v>
      </c>
      <c r="W17" s="3077">
        <v>0</v>
      </c>
      <c r="X17" s="3077">
        <v>0</v>
      </c>
      <c r="Y17" s="3077">
        <v>0</v>
      </c>
    </row>
  </sheetData>
  <mergeCells count="7">
    <mergeCell ref="A2:A3"/>
    <mergeCell ref="E2:K2"/>
    <mergeCell ref="L2:R2"/>
    <mergeCell ref="A17:C17"/>
    <mergeCell ref="B2:B3"/>
    <mergeCell ref="C2:C3"/>
    <mergeCell ref="D2:D3"/>
  </mergeCells>
  <phoneticPr fontId="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workbookViewId="0">
      <selection activeCell="B19" sqref="B1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94" t="str">
        <f>项目基本情况!B1</f>
        <v>广东省深圳市龙华新区民治街道腾龙路与建设路交汇处“金茂府”居住项目房地产抵押价值预评估</v>
      </c>
      <c r="C37" s="3094"/>
      <c r="D37" s="3094"/>
      <c r="E37" s="3094"/>
      <c r="F37" s="3094"/>
      <c r="G37" s="3094"/>
      <c r="H37" s="3094"/>
      <c r="I37" s="3094"/>
    </row>
    <row r="38" spans="1:9">
      <c r="A38" s="1018"/>
      <c r="B38" s="1018"/>
    </row>
    <row r="39" spans="1:9">
      <c r="A39" s="1016" t="s">
        <v>818</v>
      </c>
      <c r="B39" s="1016" t="s">
        <v>820</v>
      </c>
    </row>
    <row r="40" spans="1:9">
      <c r="A40" s="1016"/>
      <c r="B40" s="1944" t="str">
        <f>项目基本情况!B5</f>
        <v>中信信托有限责任公司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王鹏（注册号：1120050019)、郑燚（注册号：1120070131)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workbookViewId="0">
      <selection activeCell="C26" sqref="C26"/>
    </sheetView>
  </sheetViews>
  <sheetFormatPr defaultColWidth="9" defaultRowHeight="13.5"/>
  <cols>
    <col min="1" max="1" width="23.375" style="1740" customWidth="1"/>
    <col min="2" max="9" width="15.875" style="1740" customWidth="1"/>
    <col min="10" max="16384" width="9" style="1740"/>
  </cols>
  <sheetData>
    <row r="1" spans="1:10" ht="16.5">
      <c r="A1" s="1745" t="s">
        <v>1361</v>
      </c>
      <c r="B1" s="1745">
        <f>SUM(B14:B23)</f>
        <v>137390</v>
      </c>
      <c r="C1" s="1744"/>
      <c r="D1" s="1744"/>
      <c r="E1" s="1744"/>
      <c r="F1" s="1744"/>
      <c r="G1" s="1742"/>
    </row>
    <row r="2" spans="1:10" ht="16.5">
      <c r="A2" s="1745" t="s">
        <v>1349</v>
      </c>
      <c r="B2" s="1745">
        <f>SUM(C14:C23)</f>
        <v>24673.39</v>
      </c>
      <c r="C2" s="1744"/>
      <c r="D2" s="1744"/>
      <c r="E2" s="1744"/>
      <c r="F2" s="1744"/>
      <c r="G2" s="1742"/>
    </row>
    <row r="3" spans="1:10" ht="16.5">
      <c r="A3" s="1745" t="s">
        <v>1358</v>
      </c>
      <c r="B3" s="1746">
        <f>项目基本情况!D3</f>
        <v>43482</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1024870</v>
      </c>
      <c r="C5" s="1745">
        <f ca="1">ROUND(B5*10000/$B$1,0)</f>
        <v>74596</v>
      </c>
      <c r="D5" s="1745">
        <f ca="1">ROUND(B5*10000/$B$2,0)</f>
        <v>415375</v>
      </c>
      <c r="E5" s="1744"/>
      <c r="F5" s="1742"/>
      <c r="G5" s="1742"/>
    </row>
    <row r="6" spans="1:10" ht="16.5">
      <c r="A6" s="1745" t="s">
        <v>1352</v>
      </c>
      <c r="B6" s="1745">
        <f ca="1">SUM(G14:G23)</f>
        <v>1024870</v>
      </c>
      <c r="C6" s="1745">
        <f ca="1">ROUND(B6*10000/$B$1,0)</f>
        <v>74596</v>
      </c>
      <c r="D6" s="1745">
        <f ca="1">ROUND(B6*10000/$B$2,0)</f>
        <v>415375</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'结果表（住宅）'!B118</f>
        <v>130182.69</v>
      </c>
      <c r="C14" s="1743">
        <f>'结果表（住宅）'!C118</f>
        <v>23379.05</v>
      </c>
      <c r="D14" s="1743">
        <f ca="1">'结果表（住宅）'!H118</f>
        <v>965598</v>
      </c>
      <c r="E14" s="1743">
        <f ca="1">ROUND(D14*10000/B14,0)</f>
        <v>74173</v>
      </c>
      <c r="F14" s="1743">
        <f ca="1">ROUND(D14*10000/C14,0)</f>
        <v>413018</v>
      </c>
      <c r="G14" s="1743">
        <f ca="1">'结果表（住宅）'!D122</f>
        <v>965598</v>
      </c>
      <c r="H14" s="1743" t="str">
        <f>'结果表（住宅）'!D124</f>
        <v>——</v>
      </c>
      <c r="I14" s="1743" t="str">
        <f>'结果表（住宅）'!D126</f>
        <v>——</v>
      </c>
      <c r="J14" s="1742"/>
    </row>
    <row r="15" spans="1:10" ht="16.5">
      <c r="A15" s="1741" t="s">
        <v>1345</v>
      </c>
      <c r="B15" s="1748">
        <f>'结果表 (商业)'!B118</f>
        <v>4829.75</v>
      </c>
      <c r="C15" s="1748">
        <f>'结果表 (商业)'!C118</f>
        <v>867.36</v>
      </c>
      <c r="D15" s="1748">
        <f ca="1">'结果表 (商业)'!H118</f>
        <v>45221</v>
      </c>
      <c r="E15" s="1743">
        <f t="shared" ref="E15:E23" ca="1" si="0">ROUND(D15*10000/B15,0)</f>
        <v>93630</v>
      </c>
      <c r="F15" s="1743">
        <f t="shared" ref="F15:F23" ca="1" si="1">ROUND(D15*10000/C15,0)</f>
        <v>521364</v>
      </c>
      <c r="G15" s="1749">
        <f ca="1">D15</f>
        <v>45221</v>
      </c>
      <c r="H15" s="1749"/>
      <c r="I15" s="1748"/>
      <c r="J15" s="1742"/>
    </row>
    <row r="16" spans="1:10" ht="16.5">
      <c r="A16" s="1741" t="s">
        <v>1344</v>
      </c>
      <c r="B16" s="1748">
        <f>'结果表 (公寓)'!B118</f>
        <v>2377.56</v>
      </c>
      <c r="C16" s="1748">
        <f>'结果表 (公寓)'!C118</f>
        <v>426.98</v>
      </c>
      <c r="D16" s="1748">
        <f ca="1">'结果表 (公寓)'!H118</f>
        <v>14051</v>
      </c>
      <c r="E16" s="1743">
        <f t="shared" ca="1" si="0"/>
        <v>59098</v>
      </c>
      <c r="F16" s="1743">
        <f t="shared" ca="1" si="1"/>
        <v>329079</v>
      </c>
      <c r="G16" s="1749">
        <f ca="1">D16</f>
        <v>14051</v>
      </c>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view="pageBreakPreview" zoomScaleSheetLayoutView="100" workbookViewId="0">
      <selection activeCell="I24" sqref="I24"/>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2111</v>
      </c>
      <c r="B1" s="2417"/>
      <c r="C1" s="2418" t="s">
        <v>3075</v>
      </c>
      <c r="D1" s="2417"/>
      <c r="E1" s="2417"/>
      <c r="F1" s="2419" t="s">
        <v>2112</v>
      </c>
      <c r="G1" s="2070" t="s">
        <v>3082</v>
      </c>
      <c r="H1" s="2420" t="str">
        <f>IF(G1="现房","——","估价对象范围")</f>
        <v>——</v>
      </c>
      <c r="I1" s="2421" t="s">
        <v>3083</v>
      </c>
    </row>
    <row r="2" spans="1:12" ht="21.75" customHeight="1" thickBot="1">
      <c r="A2" s="3281" t="str">
        <f>项目基本情况!S2</f>
        <v>广东省深圳市龙华新区民治街道腾龙路与建设路交汇处“金茂府”居住项目房地产</v>
      </c>
      <c r="B2" s="3282"/>
      <c r="C2" s="3282"/>
      <c r="D2" s="3282"/>
      <c r="E2" s="3282"/>
      <c r="F2" s="3282"/>
      <c r="G2" s="3282"/>
      <c r="H2" s="3282"/>
      <c r="I2" s="3283"/>
    </row>
    <row r="3" spans="1:12" ht="12.75">
      <c r="A3" s="3284" t="s">
        <v>2113</v>
      </c>
      <c r="B3" s="3285"/>
      <c r="C3" s="3285"/>
      <c r="D3" s="3285"/>
      <c r="E3" s="3285"/>
      <c r="F3" s="3285"/>
      <c r="G3" s="3285"/>
      <c r="H3" s="3285"/>
      <c r="I3" s="3285"/>
    </row>
    <row r="4" spans="1:12" ht="14.25">
      <c r="A4" s="2424" t="s">
        <v>2114</v>
      </c>
      <c r="B4" s="2425" t="s">
        <v>2115</v>
      </c>
      <c r="C4" s="2426" t="s">
        <v>3090</v>
      </c>
      <c r="D4" s="2426" t="s">
        <v>3089</v>
      </c>
      <c r="E4" s="3265" t="s">
        <v>2116</v>
      </c>
      <c r="F4" s="3278"/>
      <c r="G4" s="3278"/>
      <c r="H4" s="3278"/>
      <c r="I4" s="3266"/>
      <c r="K4" s="2427" t="str">
        <f>IF(ISNUMBER(FIND("比较法",'结果表（住宅）'!C4)),"比较法",IF(ISNUMBER(FIND("成本法",'结果表（住宅）'!C4)),"成本法",IF(ISNUMBER(FIND("假设开发法",'结果表（住宅）'!C4)),"假设开发法",IF(ISNUMBER(FIND("收益法",'结果表（住宅）'!C4)),"收益法","基准地价系数修正法"))))</f>
        <v>比较法</v>
      </c>
      <c r="L4" s="2427" t="str">
        <f>IF(ISNUMBER(FIND("比较法",'结果表（住宅）'!D4)),"比较法",IF(ISNUMBER(FIND("成本法",'结果表（住宅）'!D4)),"成本法",IF(ISNUMBER(FIND("假设开发法",'结果表（住宅）'!D4)),"假设开发法",IF(ISNUMBER(FIND("收益法",'结果表（住宅）'!D4)),"收益法","基准地价系数修正法"))))</f>
        <v>收益法</v>
      </c>
    </row>
    <row r="5" spans="1:12" ht="12.75">
      <c r="A5" s="3256" t="s">
        <v>2117</v>
      </c>
      <c r="B5" s="3160">
        <v>25</v>
      </c>
      <c r="C5" s="3286"/>
      <c r="D5" s="3274"/>
      <c r="E5" s="140" t="s">
        <v>2118</v>
      </c>
      <c r="F5" s="2428"/>
      <c r="G5" s="2428"/>
      <c r="H5" s="2428"/>
      <c r="I5" s="1833"/>
    </row>
    <row r="6" spans="1:12" ht="12.75">
      <c r="A6" s="3256"/>
      <c r="B6" s="3160"/>
      <c r="C6" s="3288"/>
      <c r="D6" s="3274"/>
      <c r="E6" s="140" t="s">
        <v>2119</v>
      </c>
      <c r="F6" s="2428"/>
      <c r="G6" s="2428"/>
      <c r="H6" s="2428"/>
      <c r="I6" s="1833"/>
    </row>
    <row r="7" spans="1:12" ht="12.75">
      <c r="A7" s="3256"/>
      <c r="B7" s="3160"/>
      <c r="C7" s="3287"/>
      <c r="D7" s="3274"/>
      <c r="E7" s="140" t="s">
        <v>2120</v>
      </c>
      <c r="F7" s="2428"/>
      <c r="G7" s="2428"/>
      <c r="H7" s="2428"/>
      <c r="I7" s="1833"/>
    </row>
    <row r="8" spans="1:12" ht="12.75">
      <c r="A8" s="3256" t="s">
        <v>2121</v>
      </c>
      <c r="B8" s="3160">
        <v>15</v>
      </c>
      <c r="C8" s="3286"/>
      <c r="D8" s="3274"/>
      <c r="E8" s="140" t="s">
        <v>2122</v>
      </c>
      <c r="F8" s="2428"/>
      <c r="G8" s="2428"/>
      <c r="H8" s="2428"/>
      <c r="I8" s="1833"/>
    </row>
    <row r="9" spans="1:12" ht="12.75">
      <c r="A9" s="3256"/>
      <c r="B9" s="3160"/>
      <c r="C9" s="3287"/>
      <c r="D9" s="3274"/>
      <c r="E9" s="140" t="s">
        <v>2123</v>
      </c>
      <c r="F9" s="2428"/>
      <c r="G9" s="2428"/>
      <c r="H9" s="2428"/>
      <c r="I9" s="1833"/>
    </row>
    <row r="10" spans="1:12" ht="12.75">
      <c r="A10" s="3256" t="s">
        <v>2124</v>
      </c>
      <c r="B10" s="3160">
        <v>15</v>
      </c>
      <c r="C10" s="3286"/>
      <c r="D10" s="3274"/>
      <c r="E10" s="140" t="s">
        <v>2125</v>
      </c>
      <c r="F10" s="2428"/>
      <c r="G10" s="2428"/>
      <c r="H10" s="2428"/>
      <c r="I10" s="1833"/>
    </row>
    <row r="11" spans="1:12" ht="12.75">
      <c r="A11" s="3256"/>
      <c r="B11" s="3160"/>
      <c r="C11" s="3287"/>
      <c r="D11" s="3274"/>
      <c r="E11" s="140" t="s">
        <v>2126</v>
      </c>
      <c r="F11" s="2428"/>
      <c r="G11" s="2428"/>
      <c r="H11" s="2428"/>
      <c r="I11" s="1833"/>
    </row>
    <row r="12" spans="1:12" ht="12.75">
      <c r="A12" s="3256" t="s">
        <v>2127</v>
      </c>
      <c r="B12" s="3160">
        <v>15</v>
      </c>
      <c r="C12" s="3286"/>
      <c r="D12" s="3274"/>
      <c r="E12" s="140" t="s">
        <v>2128</v>
      </c>
      <c r="F12" s="2428"/>
      <c r="G12" s="2428"/>
      <c r="H12" s="2428"/>
      <c r="I12" s="1833"/>
    </row>
    <row r="13" spans="1:12" ht="12.75">
      <c r="A13" s="3256"/>
      <c r="B13" s="3160"/>
      <c r="C13" s="3287"/>
      <c r="D13" s="3274"/>
      <c r="E13" s="140" t="s">
        <v>2129</v>
      </c>
      <c r="F13" s="2428"/>
      <c r="G13" s="2428"/>
      <c r="H13" s="2428"/>
      <c r="I13" s="1833"/>
    </row>
    <row r="14" spans="1:12" ht="12.75">
      <c r="A14" s="3256" t="s">
        <v>2130</v>
      </c>
      <c r="B14" s="3160">
        <v>30</v>
      </c>
      <c r="C14" s="3286">
        <v>7</v>
      </c>
      <c r="D14" s="3274">
        <v>3</v>
      </c>
      <c r="E14" s="140" t="s">
        <v>2131</v>
      </c>
      <c r="F14" s="2428"/>
      <c r="G14" s="2428"/>
      <c r="H14" s="2428"/>
      <c r="I14" s="1833"/>
    </row>
    <row r="15" spans="1:12" ht="12.75">
      <c r="A15" s="3256"/>
      <c r="B15" s="3160"/>
      <c r="C15" s="3288"/>
      <c r="D15" s="3274"/>
      <c r="E15" s="140" t="s">
        <v>2132</v>
      </c>
      <c r="F15" s="2428"/>
      <c r="G15" s="2428"/>
      <c r="H15" s="2428"/>
      <c r="I15" s="1833"/>
    </row>
    <row r="16" spans="1:12" ht="12.75">
      <c r="A16" s="3256"/>
      <c r="B16" s="3160"/>
      <c r="C16" s="3287"/>
      <c r="D16" s="3274"/>
      <c r="E16" s="140" t="s">
        <v>2133</v>
      </c>
      <c r="F16" s="2428"/>
      <c r="G16" s="2428"/>
      <c r="H16" s="2428"/>
      <c r="I16" s="1833"/>
    </row>
    <row r="17" spans="1:35" ht="15">
      <c r="A17" s="2429" t="s">
        <v>2134</v>
      </c>
      <c r="B17" s="64"/>
      <c r="C17" s="141">
        <f>SUM(C5:C16)</f>
        <v>7</v>
      </c>
      <c r="D17" s="141">
        <f>SUM(D5:D16)</f>
        <v>3</v>
      </c>
      <c r="E17" s="138"/>
      <c r="F17" s="138"/>
      <c r="G17" s="138"/>
      <c r="H17" s="138"/>
      <c r="I17" s="138"/>
      <c r="K17" s="2427"/>
      <c r="L17" s="2430" t="s">
        <v>2135</v>
      </c>
      <c r="M17" s="2430" t="s">
        <v>2136</v>
      </c>
    </row>
    <row r="18" spans="1:35" ht="15.75" thickBot="1">
      <c r="A18" s="2431" t="s">
        <v>2137</v>
      </c>
      <c r="B18" s="2432"/>
      <c r="C18" s="142">
        <f>ROUND(C17/SUM(C17:D17),2)</f>
        <v>0.7</v>
      </c>
      <c r="D18" s="142">
        <f>1-C18</f>
        <v>0.30000000000000004</v>
      </c>
      <c r="E18" s="138"/>
      <c r="F18" s="138"/>
      <c r="G18" s="138"/>
      <c r="H18" s="138"/>
      <c r="I18" s="138"/>
      <c r="K18" s="2427" t="s">
        <v>2138</v>
      </c>
      <c r="L18" s="2427">
        <f>IF(C1="",'数据-汇总表'!E3,SUMIF(项目类型,C1,'数据-汇总表'!E17:E26)+SUMIF(项目类型,C1,'数据-汇总表'!I17:I26))</f>
        <v>130182.69</v>
      </c>
      <c r="M18" s="2427">
        <f>IF(C1="",'数据-汇总表'!E3,SUMIF(项目类型,C1,'数据-汇总表'!E17:E26))</f>
        <v>130182.69</v>
      </c>
    </row>
    <row r="19" spans="1:35" ht="15">
      <c r="A19" s="2433" t="s">
        <v>2139</v>
      </c>
      <c r="B19" s="2434" t="s">
        <v>2140</v>
      </c>
      <c r="C19" s="143">
        <f ca="1">SUMIF(INDIRECT("'"&amp;C4&amp;"'"&amp;"!A:A"),'结果表（住宅）'!B19,INDIRECT("'"&amp;C4&amp;"'"&amp;"!B:B"))</f>
        <v>1098729</v>
      </c>
      <c r="D19" s="144">
        <f ca="1">SUMIF(INDIRECT("'"&amp;D4&amp;"'"&amp;"!A:A"),'结果表（住宅）'!B19,INDIRECT("'"&amp;D4&amp;"'"&amp;"!B:B"))</f>
        <v>654960</v>
      </c>
      <c r="E19" s="2433" t="s">
        <v>2141</v>
      </c>
      <c r="F19" s="2434" t="s">
        <v>2140</v>
      </c>
      <c r="G19" s="145">
        <f ca="1">ROUND(C19*$C$18+D19*$D$18,0)</f>
        <v>965598</v>
      </c>
      <c r="H19" s="2435" t="s">
        <v>2142</v>
      </c>
      <c r="I19" s="138"/>
      <c r="K19" s="2427" t="s">
        <v>2143</v>
      </c>
      <c r="L19" s="2427">
        <f>IF(C1="",'数据-汇总表'!D3,SUMIF(项目类型,C1,'数据-汇总表'!D17:D26)+SUMIF(项目类型,C1,'数据-汇总表'!H17:H27))</f>
        <v>23379.05</v>
      </c>
      <c r="M19" s="2427">
        <f>IF(C1="",'数据-汇总表'!D3,SUMIF(项目类型,C1,'数据-汇总表'!D17:D26))</f>
        <v>23379.05</v>
      </c>
    </row>
    <row r="20" spans="1:35" ht="15">
      <c r="A20" s="2436"/>
      <c r="B20" s="1249" t="s">
        <v>2144</v>
      </c>
      <c r="C20" s="146">
        <f ca="1">SUMIF(INDIRECT("'"&amp;C4&amp;"'"&amp;"!A:A"),'结果表（住宅）'!B20,INDIRECT("'"&amp;C4&amp;"'"&amp;"!B:B"))</f>
        <v>84399</v>
      </c>
      <c r="D20" s="147">
        <f ca="1">SUMIF(INDIRECT("'"&amp;D4&amp;"'"&amp;"!A:A"),'结果表（住宅）'!B20,INDIRECT("'"&amp;D4&amp;"'"&amp;"!B:B"))</f>
        <v>50311</v>
      </c>
      <c r="E20" s="2436"/>
      <c r="F20" s="1249" t="s">
        <v>2144</v>
      </c>
      <c r="G20" s="148">
        <f ca="1">ROUND(C20*$C$18+D20*$D$18,0)</f>
        <v>74173</v>
      </c>
      <c r="H20" s="982" t="s">
        <v>2145</v>
      </c>
      <c r="I20" s="138"/>
    </row>
    <row r="21" spans="1:35" ht="15" customHeight="1" thickBot="1">
      <c r="A21" s="1002"/>
      <c r="B21" s="2437" t="s">
        <v>2146</v>
      </c>
      <c r="C21" s="789">
        <f ca="1">ROUND(C19*10000/L19,0)</f>
        <v>469963</v>
      </c>
      <c r="D21" s="790">
        <f ca="1">ROUND(D19*10000/L19,0)</f>
        <v>280148</v>
      </c>
      <c r="E21" s="1002"/>
      <c r="F21" s="2437" t="s">
        <v>2146</v>
      </c>
      <c r="G21" s="149">
        <f ca="1">ROUND(G19*10000/L19,0)</f>
        <v>413018</v>
      </c>
      <c r="H21" s="2438" t="s">
        <v>2145</v>
      </c>
      <c r="I21" s="138"/>
    </row>
    <row r="22" spans="1:35" ht="15" thickBot="1">
      <c r="A22" s="2279" t="s">
        <v>2147</v>
      </c>
      <c r="B22" s="2439"/>
      <c r="C22" s="2440"/>
      <c r="D22" s="791">
        <f ca="1">IF(C19&lt;D19,D19/C19-1,C19/D19-1)</f>
        <v>0.67755130084279958</v>
      </c>
      <c r="E22" s="138"/>
      <c r="F22" s="138"/>
      <c r="G22" s="138"/>
      <c r="H22" s="138"/>
      <c r="I22" s="138"/>
    </row>
    <row r="23" spans="1:35" ht="13.5" thickBot="1">
      <c r="A23" s="2417"/>
      <c r="B23" s="2417"/>
      <c r="C23" s="2417"/>
      <c r="D23" s="2417"/>
      <c r="E23" s="138"/>
      <c r="F23" s="138"/>
      <c r="G23" s="138"/>
      <c r="H23" s="138"/>
      <c r="I23" s="138"/>
    </row>
    <row r="24" spans="1:35" ht="14.25">
      <c r="A24" s="3295" t="s">
        <v>2148</v>
      </c>
      <c r="B24" s="2434" t="s">
        <v>2140</v>
      </c>
      <c r="C24" s="145">
        <f>IF(B30=0,0,D30)</f>
        <v>0</v>
      </c>
      <c r="D24" s="2441"/>
      <c r="E24" s="138"/>
      <c r="F24" s="138"/>
      <c r="G24" s="138"/>
      <c r="H24" s="138"/>
      <c r="I24" s="138"/>
    </row>
    <row r="25" spans="1:35" ht="14.25">
      <c r="A25" s="3296"/>
      <c r="B25" s="1249" t="s">
        <v>2144</v>
      </c>
      <c r="C25" s="150">
        <f>IF(B30=0,0,C30)</f>
        <v>0</v>
      </c>
      <c r="D25" s="2442"/>
      <c r="E25" s="138"/>
      <c r="F25" s="138"/>
      <c r="G25" s="138"/>
      <c r="H25" s="138"/>
      <c r="I25" s="138"/>
    </row>
    <row r="26" spans="1:35" ht="13.5" customHeight="1">
      <c r="A26" s="2443" t="s">
        <v>2149</v>
      </c>
      <c r="B26" s="151" t="s">
        <v>2150</v>
      </c>
      <c r="C26" s="151" t="s">
        <v>2151</v>
      </c>
      <c r="D26" s="152" t="s">
        <v>2152</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2153</v>
      </c>
      <c r="B30" s="151"/>
      <c r="C30" s="151"/>
      <c r="D30" s="151"/>
      <c r="E30" s="2923" t="s">
        <v>3032</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2154</v>
      </c>
      <c r="B32" s="2447"/>
      <c r="C32" s="153">
        <f ca="1">IF(D32="总价",G19-C24,G20-C25)</f>
        <v>965598</v>
      </c>
      <c r="D32" s="2448" t="s">
        <v>2155</v>
      </c>
      <c r="E32" s="138"/>
      <c r="F32" s="138"/>
      <c r="G32" s="138"/>
      <c r="H32" s="138"/>
      <c r="I32" s="138"/>
    </row>
    <row r="33" spans="1:15" ht="15">
      <c r="A33" s="959" t="s">
        <v>2156</v>
      </c>
      <c r="B33" s="2449"/>
      <c r="C33" s="2450" t="s">
        <v>3084</v>
      </c>
      <c r="D33" s="2451" t="s">
        <v>3089</v>
      </c>
      <c r="E33" s="2452" t="s">
        <v>2157</v>
      </c>
      <c r="F33" s="2453" t="str">
        <f>IF(D32="楼面单价","取值（单价）","取值（总价）")</f>
        <v>取值（总价）</v>
      </c>
      <c r="G33" s="138"/>
      <c r="H33" s="138"/>
      <c r="I33" s="138"/>
    </row>
    <row r="34" spans="1:15" ht="15">
      <c r="A34" s="2454"/>
      <c r="B34" s="2455" t="s">
        <v>2158</v>
      </c>
      <c r="C34" s="157">
        <f ca="1">IF(C33="自定义",F34,C32-C35)</f>
        <v>210500</v>
      </c>
      <c r="D34" s="1057">
        <f ca="1">IF(C33="自定义",ROUND(C34/C32,3),IF(C33="收益比率",SUMIF(INDIRECT("'"&amp;D33&amp;"'"&amp;"!b:b"),"土地收益比率",INDIRECT("'"&amp;D33&amp;"'"&amp;"!c:c")),SUMIF(INDIRECT("'"&amp;D33&amp;"'"&amp;"!b:b"),"土地成本比率",INDIRECT("'"&amp;D33&amp;"'"&amp;"!c:c"))))</f>
        <v>0.21799999999999997</v>
      </c>
      <c r="E34" s="2456" t="s">
        <v>2159</v>
      </c>
      <c r="F34" s="1738"/>
      <c r="G34" s="138"/>
      <c r="H34" s="138"/>
      <c r="I34" s="138"/>
    </row>
    <row r="35" spans="1:15" ht="15.75" thickBot="1">
      <c r="A35" s="2457"/>
      <c r="B35" s="2458" t="s">
        <v>2160</v>
      </c>
      <c r="C35" s="1443">
        <f ca="1">IF(C33="自定义",F35,ROUND(C32*D35,0))</f>
        <v>755098</v>
      </c>
      <c r="D35" s="1444">
        <f ca="1">IF(C33="自定义",ROUND(C35/C32,3),IF(C33="收益比率",SUMIF(INDIRECT("'"&amp;D33&amp;"'"&amp;"!b:b"),"建筑物收益比率",INDIRECT("'"&amp;D33&amp;"'"&amp;"!c:c")),SUMIF(INDIRECT("'"&amp;D33&amp;"'"&amp;"!b:b"),"建筑物成本比率",INDIRECT("'"&amp;D33&amp;"'"&amp;"!c:c"))))</f>
        <v>0.78200000000000003</v>
      </c>
      <c r="E35" s="2459" t="s">
        <v>2161</v>
      </c>
      <c r="F35" s="163"/>
      <c r="G35" s="138"/>
      <c r="H35" s="138"/>
      <c r="I35" s="138"/>
    </row>
    <row r="36" spans="1:15" ht="15.75" thickBot="1">
      <c r="A36" s="3275" t="s">
        <v>2162</v>
      </c>
      <c r="B36" s="2460" t="s">
        <v>2163</v>
      </c>
      <c r="C36" s="154"/>
      <c r="D36" s="2461"/>
      <c r="E36" s="2462"/>
      <c r="F36" s="2463"/>
      <c r="G36" s="138"/>
      <c r="H36" s="138"/>
      <c r="I36" s="138"/>
    </row>
    <row r="37" spans="1:15" ht="15.75" thickBot="1">
      <c r="A37" s="3276"/>
      <c r="B37" s="2265" t="s">
        <v>2164</v>
      </c>
      <c r="C37" s="156"/>
      <c r="D37" s="1394"/>
      <c r="E37" s="1394"/>
      <c r="F37" s="2463"/>
      <c r="G37" s="138"/>
      <c r="H37" s="138"/>
      <c r="I37" s="138"/>
    </row>
    <row r="38" spans="1:15" ht="15.75" thickBot="1">
      <c r="A38" s="3277"/>
      <c r="B38" s="2464" t="s">
        <v>2165</v>
      </c>
      <c r="C38" s="727"/>
      <c r="D38" s="2465" t="s">
        <v>2166</v>
      </c>
      <c r="E38" s="1394"/>
      <c r="F38" s="2463"/>
      <c r="G38" s="138"/>
      <c r="H38" s="138"/>
      <c r="I38" s="138"/>
    </row>
    <row r="39" spans="1:15" ht="15">
      <c r="A39" s="2436" t="s">
        <v>2167</v>
      </c>
      <c r="B39" s="2466" t="s">
        <v>2168</v>
      </c>
      <c r="C39" s="2467" t="s">
        <v>2169</v>
      </c>
      <c r="D39" s="2467" t="s">
        <v>2170</v>
      </c>
      <c r="E39" s="2468" t="s">
        <v>2171</v>
      </c>
      <c r="F39" s="2463"/>
      <c r="G39" s="138"/>
      <c r="H39" s="138"/>
      <c r="I39" s="138"/>
    </row>
    <row r="40" spans="1:15" ht="14.25">
      <c r="A40" s="2469" t="s">
        <v>2172</v>
      </c>
      <c r="B40" s="158"/>
      <c r="C40" s="159"/>
      <c r="D40" s="159"/>
      <c r="E40" s="160"/>
      <c r="F40" s="2463"/>
      <c r="G40" s="138"/>
      <c r="H40" s="138"/>
      <c r="I40" s="138"/>
    </row>
    <row r="41" spans="1:15" ht="14.25">
      <c r="A41" s="2469" t="s">
        <v>2173</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2174</v>
      </c>
      <c r="B44" s="2474"/>
      <c r="C44" s="2474"/>
      <c r="D44" s="2475"/>
      <c r="E44" s="2475"/>
      <c r="F44" s="2476"/>
      <c r="G44" s="2476"/>
      <c r="H44" s="2476"/>
      <c r="I44" s="2476"/>
      <c r="J44" s="2477" t="s">
        <v>2175</v>
      </c>
      <c r="K44" s="2478"/>
      <c r="L44" s="2478"/>
      <c r="M44" s="2478"/>
      <c r="N44" s="2478"/>
      <c r="O44" s="2478"/>
    </row>
    <row r="45" spans="1:15" ht="14.25" customHeight="1" thickBot="1">
      <c r="A45" s="3292" t="s">
        <v>2176</v>
      </c>
      <c r="B45" s="3293"/>
      <c r="C45" s="3294"/>
      <c r="D45" s="164">
        <f ca="1">ROUND(H101*F45,0)</f>
        <v>965598</v>
      </c>
      <c r="E45" s="165" t="s">
        <v>2177</v>
      </c>
      <c r="F45" s="166">
        <v>1</v>
      </c>
      <c r="G45" s="167" t="s">
        <v>2178</v>
      </c>
      <c r="H45" s="138"/>
      <c r="I45" s="138"/>
      <c r="J45" s="3211" t="s">
        <v>2179</v>
      </c>
      <c r="K45" s="3211"/>
      <c r="L45" s="3211"/>
      <c r="M45" s="3211"/>
      <c r="N45" s="3211"/>
      <c r="O45" s="3211"/>
    </row>
    <row r="46" spans="1:15" ht="14.25" customHeight="1">
      <c r="A46" s="3289" t="s">
        <v>2180</v>
      </c>
      <c r="B46" s="3290"/>
      <c r="C46" s="3290"/>
      <c r="D46" s="3290"/>
      <c r="E46" s="3290"/>
      <c r="F46" s="3290"/>
      <c r="G46" s="3291"/>
      <c r="H46" s="2479"/>
      <c r="I46" s="168"/>
      <c r="J46" s="1811">
        <v>1</v>
      </c>
      <c r="K46" s="3211" t="s">
        <v>2181</v>
      </c>
      <c r="L46" s="3211"/>
      <c r="M46" s="3212"/>
      <c r="N46" s="3212"/>
      <c r="O46" s="3212"/>
    </row>
    <row r="47" spans="1:15" ht="12" customHeight="1">
      <c r="A47" s="169" t="s">
        <v>2182</v>
      </c>
      <c r="B47" s="170"/>
      <c r="C47" s="171"/>
      <c r="D47" s="172" t="s">
        <v>2183</v>
      </c>
      <c r="E47" s="24" t="s">
        <v>2184</v>
      </c>
      <c r="F47" s="173" t="s">
        <v>2185</v>
      </c>
      <c r="G47" s="174" t="s">
        <v>2186</v>
      </c>
      <c r="H47" s="2479"/>
      <c r="I47" s="168"/>
      <c r="J47" s="1811">
        <v>2</v>
      </c>
      <c r="K47" s="3211" t="s">
        <v>2187</v>
      </c>
      <c r="L47" s="3211"/>
      <c r="M47" s="3213">
        <f>'数据-取费表'!B2</f>
        <v>43482</v>
      </c>
      <c r="N47" s="3213"/>
      <c r="O47" s="3213"/>
    </row>
    <row r="48" spans="1:15" ht="25.5">
      <c r="A48" s="3279" t="s">
        <v>2188</v>
      </c>
      <c r="B48" s="3280"/>
      <c r="C48" s="3280"/>
      <c r="D48" s="140">
        <f>IF(H48="情况1",0,IF(H48="情况2",D52,IF(H48="情况3",D53,IF(H48="情况4",D54))))</f>
        <v>0</v>
      </c>
      <c r="E48" s="1800" t="str">
        <f>IF(H48="情况4","(销售额-原购置价)×税（费）率","销售额×税（费）率")</f>
        <v>销售额×税（费）率</v>
      </c>
      <c r="F48" s="175" t="str">
        <f>IF(H48="情况1","免征",'数据-取费表'!B41)</f>
        <v>免征</v>
      </c>
      <c r="G48" s="2480" t="s">
        <v>2189</v>
      </c>
      <c r="H48" s="2481" t="s">
        <v>2190</v>
      </c>
      <c r="I48" s="2479"/>
      <c r="J48" s="1811">
        <v>3</v>
      </c>
      <c r="K48" s="3211" t="s">
        <v>2191</v>
      </c>
      <c r="L48" s="3211"/>
      <c r="M48" s="3214">
        <f ca="1">H101</f>
        <v>965598</v>
      </c>
      <c r="N48" s="3214"/>
      <c r="O48" s="3214"/>
    </row>
    <row r="49" spans="1:35" ht="25.5" customHeight="1">
      <c r="A49" s="176" t="s">
        <v>2192</v>
      </c>
      <c r="B49" s="3259" t="s">
        <v>2193</v>
      </c>
      <c r="C49" s="3259"/>
      <c r="D49" s="177">
        <v>0</v>
      </c>
      <c r="E49" s="23" t="s">
        <v>2194</v>
      </c>
      <c r="F49" s="28" t="s">
        <v>34</v>
      </c>
      <c r="G49" s="3240"/>
      <c r="H49" s="138"/>
      <c r="I49" s="2482"/>
      <c r="J49" s="1811">
        <v>4</v>
      </c>
      <c r="K49" s="3211" t="str">
        <f>IF(项目基本情况!E8="房地产抵押价值","房地产抵押价值","抵押担保权已注销时的房地产抵押价值")</f>
        <v>房地产抵押价值</v>
      </c>
      <c r="L49" s="3211"/>
      <c r="M49" s="3214">
        <f ca="1">IF(项目基本情况!E8="房地产抵押价值",H107,H109)</f>
        <v>965598</v>
      </c>
      <c r="N49" s="3214"/>
      <c r="O49" s="3214"/>
    </row>
    <row r="50" spans="1:35" ht="25.5" customHeight="1">
      <c r="A50" s="178"/>
      <c r="B50" s="3259" t="s">
        <v>2195</v>
      </c>
      <c r="C50" s="3259"/>
      <c r="D50" s="179"/>
      <c r="E50" s="31"/>
      <c r="F50" s="180"/>
      <c r="G50" s="3241"/>
      <c r="H50" s="138"/>
      <c r="I50" s="2482"/>
      <c r="J50" s="3211" t="s">
        <v>2196</v>
      </c>
      <c r="K50" s="3211"/>
      <c r="L50" s="3211"/>
      <c r="M50" s="3211"/>
      <c r="N50" s="3211"/>
      <c r="O50" s="3211"/>
    </row>
    <row r="51" spans="1:35" ht="12" customHeight="1">
      <c r="A51" s="181"/>
      <c r="B51" s="3259" t="s">
        <v>2197</v>
      </c>
      <c r="C51" s="3259"/>
      <c r="D51" s="182"/>
      <c r="E51" s="30"/>
      <c r="F51" s="180"/>
      <c r="G51" s="3242"/>
      <c r="H51" s="138"/>
      <c r="I51" s="2482"/>
      <c r="J51" s="2483" t="s">
        <v>2198</v>
      </c>
      <c r="K51" s="3211" t="s">
        <v>2199</v>
      </c>
      <c r="L51" s="3211"/>
      <c r="M51" s="2483" t="s">
        <v>2200</v>
      </c>
      <c r="N51" s="2483" t="s">
        <v>2201</v>
      </c>
      <c r="O51" s="2483" t="s">
        <v>2202</v>
      </c>
    </row>
    <row r="52" spans="1:35" ht="24" customHeight="1">
      <c r="A52" s="183" t="s">
        <v>2203</v>
      </c>
      <c r="B52" s="3259" t="s">
        <v>2204</v>
      </c>
      <c r="C52" s="3259"/>
      <c r="D52" s="182">
        <f ca="1">ROUND(D45*'数据-取费表'!B41/(1+'数据-取费表'!C42),0)</f>
        <v>51499</v>
      </c>
      <c r="E52" s="11" t="s">
        <v>2205</v>
      </c>
      <c r="F52" s="184">
        <f>'数据-取费表'!B41</f>
        <v>5.6000000000000001E-2</v>
      </c>
      <c r="G52" s="2484"/>
      <c r="H52" s="138"/>
      <c r="I52" s="2482"/>
      <c r="J52" s="1811">
        <v>1</v>
      </c>
      <c r="K52" s="3234" t="s">
        <v>2206</v>
      </c>
      <c r="L52" s="3234"/>
      <c r="M52" s="1753">
        <f>D48</f>
        <v>0</v>
      </c>
      <c r="N52" s="1811" t="str">
        <f>E48</f>
        <v>销售额×税（费）率</v>
      </c>
      <c r="O52" s="1754" t="str">
        <f>F48</f>
        <v>免征</v>
      </c>
    </row>
    <row r="53" spans="1:35" ht="12" customHeight="1">
      <c r="A53" s="183" t="s">
        <v>2207</v>
      </c>
      <c r="B53" s="3260" t="s">
        <v>2208</v>
      </c>
      <c r="C53" s="3261"/>
      <c r="D53" s="182">
        <f ca="1">ROUND(D45*'数据-取费表'!B41/(1+'数据-取费表'!C42),0)</f>
        <v>51499</v>
      </c>
      <c r="E53" s="11" t="s">
        <v>2205</v>
      </c>
      <c r="F53" s="184">
        <f>'数据-取费表'!B41</f>
        <v>5.6000000000000001E-2</v>
      </c>
      <c r="G53" s="2484"/>
      <c r="H53" s="138"/>
      <c r="I53" s="2482"/>
      <c r="J53" s="1811">
        <v>2</v>
      </c>
      <c r="K53" s="3234" t="s">
        <v>2209</v>
      </c>
      <c r="L53" s="3234"/>
      <c r="M53" s="1753">
        <f t="shared" ref="M53:O54" ca="1" si="0">D55</f>
        <v>483</v>
      </c>
      <c r="N53" s="1811" t="str">
        <f t="shared" si="0"/>
        <v>销售额×税（费）率</v>
      </c>
      <c r="O53" s="1754">
        <f t="shared" si="0"/>
        <v>5.0000000000000001E-4</v>
      </c>
    </row>
    <row r="54" spans="1:35" ht="12" customHeight="1">
      <c r="A54" s="183" t="s">
        <v>2210</v>
      </c>
      <c r="B54" s="3260" t="s">
        <v>2211</v>
      </c>
      <c r="C54" s="3261"/>
      <c r="D54" s="182">
        <f ca="1">C68</f>
        <v>51499</v>
      </c>
      <c r="E54" s="30" t="s">
        <v>2212</v>
      </c>
      <c r="F54" s="184">
        <f>'数据-取费表'!B41</f>
        <v>5.6000000000000001E-2</v>
      </c>
      <c r="G54" s="2484"/>
      <c r="H54" s="2485"/>
      <c r="I54" s="2482"/>
      <c r="J54" s="1811">
        <v>3</v>
      </c>
      <c r="K54" s="3234" t="s">
        <v>2213</v>
      </c>
      <c r="L54" s="3234"/>
      <c r="M54" s="1753">
        <f t="shared" ca="1" si="0"/>
        <v>546528</v>
      </c>
      <c r="N54" s="1811" t="str">
        <f t="shared" si="0"/>
        <v>增值额×税（费）率</v>
      </c>
      <c r="O54" s="1755" t="str">
        <f t="shared" si="0"/>
        <v>——</v>
      </c>
    </row>
    <row r="55" spans="1:35" ht="24" customHeight="1">
      <c r="A55" s="3298" t="s">
        <v>2214</v>
      </c>
      <c r="B55" s="3280"/>
      <c r="C55" s="3280"/>
      <c r="D55" s="185">
        <f ca="1">IF(H55="个人住宅",0,ROUND(D45*I55,0))</f>
        <v>483</v>
      </c>
      <c r="E55" s="11" t="s">
        <v>2215</v>
      </c>
      <c r="F55" s="184">
        <f>IF(H55="正常",I55,"免征")</f>
        <v>5.0000000000000001E-4</v>
      </c>
      <c r="G55" s="2484"/>
      <c r="H55" s="2481" t="s">
        <v>2216</v>
      </c>
      <c r="I55" s="186">
        <f>'数据-取费表'!B49</f>
        <v>5.0000000000000001E-4</v>
      </c>
      <c r="J55" s="1811" t="str">
        <f>IF(H59="非个人房产","",4)</f>
        <v/>
      </c>
      <c r="K55" s="3234" t="str">
        <f>IF(H59="非个人房产","——","个人所得税")</f>
        <v>——</v>
      </c>
      <c r="L55" s="3234"/>
      <c r="M55" s="1756" t="str">
        <f>D59</f>
        <v>——</v>
      </c>
      <c r="N55" s="1809" t="str">
        <f>E59</f>
        <v>——</v>
      </c>
      <c r="O55" s="1757" t="str">
        <f>F59</f>
        <v>——</v>
      </c>
    </row>
    <row r="56" spans="1:35" ht="24.75">
      <c r="A56" s="3298" t="s">
        <v>2217</v>
      </c>
      <c r="B56" s="3280"/>
      <c r="C56" s="3280"/>
      <c r="D56" s="185">
        <f ca="1">IF(H56="个人住宅",D57,D58)</f>
        <v>546528</v>
      </c>
      <c r="E56" s="11" t="s">
        <v>2218</v>
      </c>
      <c r="F56" s="184" t="str">
        <f>IF(H56="正常",F58,"免征")</f>
        <v>——</v>
      </c>
      <c r="G56" s="2486" t="s">
        <v>2219</v>
      </c>
      <c r="H56" s="2487" t="s">
        <v>2216</v>
      </c>
      <c r="I56" s="2488"/>
      <c r="J56" s="1811" t="str">
        <f>IF(项目基本情况!K6="上海银行",IF(J55="",4,J55+1),"")</f>
        <v/>
      </c>
      <c r="K56" s="3217" t="str">
        <f>IF(项目基本情况!K6="上海银行","其他处置费用","")</f>
        <v/>
      </c>
      <c r="L56" s="3218"/>
      <c r="M56" s="1753" t="str">
        <f>IF(项目基本情况!K6="上海银行",M69,"")</f>
        <v/>
      </c>
      <c r="N56" s="3220" t="str">
        <f>IF(项目基本情况!K6="上海银行","包含处置中涉及的律师、诉讼、拍卖、评估等费用","")</f>
        <v/>
      </c>
      <c r="O56" s="3221"/>
    </row>
    <row r="57" spans="1:35" ht="12.75">
      <c r="A57" s="183" t="s">
        <v>2192</v>
      </c>
      <c r="B57" s="3265" t="s">
        <v>2220</v>
      </c>
      <c r="C57" s="3266"/>
      <c r="D57" s="187">
        <v>0</v>
      </c>
      <c r="E57" s="23" t="s">
        <v>2194</v>
      </c>
      <c r="F57" s="155"/>
      <c r="G57" s="2484"/>
      <c r="H57" s="2488"/>
      <c r="I57" s="2488"/>
      <c r="J57" s="3234">
        <f>IF(AND(J55="",J56=""),4,IF(项目基本情况!K6="上海银行",'结果表（住宅）'!J56+1,'结果表（住宅）'!J55+1))</f>
        <v>4</v>
      </c>
      <c r="K57" s="3234" t="s">
        <v>2221</v>
      </c>
      <c r="L57" s="2489" t="s">
        <v>2222</v>
      </c>
      <c r="M57" s="1758"/>
      <c r="N57" s="1759">
        <f ca="1">SUMIF(M52:M56,"&lt;9e307")</f>
        <v>547011</v>
      </c>
      <c r="O57" s="2490"/>
      <c r="P57" s="1752">
        <f ca="1">N57/M49</f>
        <v>0.56649972348741406</v>
      </c>
    </row>
    <row r="58" spans="1:35" ht="24.75">
      <c r="A58" s="183" t="s">
        <v>2203</v>
      </c>
      <c r="B58" s="3265" t="s">
        <v>2223</v>
      </c>
      <c r="C58" s="3278"/>
      <c r="D58" s="185">
        <f ca="1">IF(H58="转让取得",C81,C97)</f>
        <v>546528</v>
      </c>
      <c r="E58" s="11" t="s">
        <v>2218</v>
      </c>
      <c r="F58" s="24" t="s">
        <v>34</v>
      </c>
      <c r="G58" s="2484"/>
      <c r="H58" s="2487" t="s">
        <v>2224</v>
      </c>
      <c r="I58" s="2488"/>
      <c r="J58" s="3234"/>
      <c r="K58" s="3234"/>
      <c r="L58" s="2489" t="s">
        <v>2225</v>
      </c>
      <c r="M58" s="1760"/>
      <c r="N58" s="2491" t="str">
        <f ca="1">NUMBERSTRING(INT(N57*10000),2)&amp;"元整"</f>
        <v>伍拾肆亿柒仟零壹拾壹万元整</v>
      </c>
      <c r="O58" s="2492"/>
    </row>
    <row r="59" spans="1:35" ht="24.75" thickBot="1">
      <c r="A59" s="3238" t="s">
        <v>2226</v>
      </c>
      <c r="B59" s="3239"/>
      <c r="C59" s="3239"/>
      <c r="D59" s="188" t="str">
        <f>IF(H59="非个人房产","——",IF(H59="个人住宅",0,ROUND(D45*I59,0)))</f>
        <v>——</v>
      </c>
      <c r="E59" s="189" t="str">
        <f>IF(H59="非个人房产","——","销售额×税（费）率")</f>
        <v>——</v>
      </c>
      <c r="F59" s="190" t="str">
        <f>IF(H59="非个人房产","——",IF(H59="个人住宅","免征",I59))</f>
        <v>——</v>
      </c>
      <c r="G59" s="2493" t="s">
        <v>2219</v>
      </c>
      <c r="H59" s="2487" t="s">
        <v>2227</v>
      </c>
      <c r="I59" s="191">
        <v>0.01</v>
      </c>
      <c r="J59" s="3236">
        <f>J57+1</f>
        <v>5</v>
      </c>
      <c r="K59" s="3234" t="s">
        <v>2228</v>
      </c>
      <c r="L59" s="1811" t="s">
        <v>2222</v>
      </c>
      <c r="M59" s="1761"/>
      <c r="N59" s="1762">
        <f ca="1">M49-N57</f>
        <v>418587</v>
      </c>
      <c r="O59" s="2494"/>
    </row>
    <row r="60" spans="1:35" ht="12" customHeight="1">
      <c r="A60" s="2495"/>
      <c r="B60" s="2417"/>
      <c r="C60" s="2417"/>
      <c r="D60" s="2417"/>
      <c r="E60" s="2165"/>
      <c r="F60" s="2488"/>
      <c r="G60" s="2488"/>
      <c r="H60" s="2496"/>
      <c r="I60" s="138"/>
      <c r="J60" s="3237"/>
      <c r="K60" s="3234"/>
      <c r="L60" s="2489" t="s">
        <v>2225</v>
      </c>
      <c r="M60" s="1760"/>
      <c r="N60" s="2491" t="str">
        <f ca="1">NUMBERSTRING(INT(N59*10000),2)&amp;"元整"</f>
        <v>肆拾壹亿捌仟伍佰捌拾柒万元整</v>
      </c>
      <c r="O60" s="2492"/>
    </row>
    <row r="61" spans="1:35" ht="13.5" thickBot="1">
      <c r="A61" s="3297" t="s">
        <v>2229</v>
      </c>
      <c r="B61" s="3297"/>
      <c r="C61" s="3297"/>
      <c r="D61" s="3297"/>
      <c r="E61" s="3297"/>
      <c r="F61" s="2488"/>
      <c r="G61" s="2488"/>
      <c r="H61" s="2496"/>
      <c r="I61" s="138"/>
      <c r="J61" s="1811">
        <f>J59+1</f>
        <v>6</v>
      </c>
      <c r="K61" s="3234" t="s">
        <v>2230</v>
      </c>
      <c r="L61" s="3234"/>
      <c r="M61" s="1763"/>
      <c r="N61" s="1764">
        <f ca="1">ROUND(N59*10000/'数据-汇总表'!E3,0)</f>
        <v>30467</v>
      </c>
      <c r="O61" s="2497"/>
    </row>
    <row r="62" spans="1:35" ht="12.75">
      <c r="A62" s="3254" t="s">
        <v>2231</v>
      </c>
      <c r="B62" s="3255"/>
      <c r="C62" s="1803"/>
      <c r="D62" s="1803" t="s">
        <v>2232</v>
      </c>
      <c r="E62" s="192" t="s">
        <v>2233</v>
      </c>
      <c r="F62" s="2488"/>
      <c r="G62" s="2488"/>
      <c r="H62" s="2496"/>
      <c r="I62" s="138"/>
    </row>
    <row r="63" spans="1:35" ht="12.75">
      <c r="A63" s="203" t="s">
        <v>775</v>
      </c>
      <c r="B63" s="193" t="s">
        <v>2234</v>
      </c>
      <c r="C63" s="194">
        <f ca="1">ROUND((C64+C65)/(1+'数据-取费表'!C42),0)</f>
        <v>919617</v>
      </c>
      <c r="D63" s="195"/>
      <c r="E63" s="196"/>
      <c r="F63" s="2488"/>
      <c r="G63" s="2488"/>
      <c r="H63" s="2496"/>
      <c r="I63" s="138"/>
      <c r="J63" s="3219" t="s">
        <v>2235</v>
      </c>
      <c r="K63" s="2498" t="s">
        <v>2236</v>
      </c>
      <c r="L63" s="1751">
        <f ca="1">IF(M49&gt;10000,M49*0.5%,IF(AND(M49&gt;1000,M49&lt;=10000),M49*1%,IF(AND(M49&gt;100,M49&lt;=1000),M49*3%,IF(AND(M49&gt;10,M49&lt;=100),M49*5%,M49*8%))))</f>
        <v>4827.99</v>
      </c>
      <c r="M63" s="24">
        <f ca="1">ROUND(L63,1)</f>
        <v>4828</v>
      </c>
      <c r="Z63" s="2422"/>
      <c r="AI63" s="2423"/>
    </row>
    <row r="64" spans="1:35" ht="14.25" customHeight="1">
      <c r="A64" s="197" t="s">
        <v>770</v>
      </c>
      <c r="B64" s="198" t="s">
        <v>2237</v>
      </c>
      <c r="C64" s="199">
        <f ca="1">D45</f>
        <v>965598</v>
      </c>
      <c r="D64" s="200" t="s">
        <v>32</v>
      </c>
      <c r="E64" s="201"/>
      <c r="F64" s="2488"/>
      <c r="G64" s="2488"/>
      <c r="H64" s="2496"/>
      <c r="I64" s="138"/>
      <c r="J64" s="3219"/>
      <c r="K64" s="2498" t="s">
        <v>2238</v>
      </c>
      <c r="L64" s="1751">
        <f ca="1">IF(M49&gt;2000,M49*0.5%,IF(AND(M49&gt;1000,M49&lt;=2000),M49*0.6%,IF(AND(M49&gt;500,M49&lt;=1000),M49*0.7%,IF(AND(M49&gt;200,M49&lt;=500),M49*0.8%,IF(AND(M49&gt;100,M49&lt;=200),M49*0.9%,IF(AND(M49&gt;50,M49&lt;=100),M49*1%,IF(AND(M49&gt;20,M49&lt;=50),M49*1.5%,IF(AND(M49&gt;10,M49&lt;=20),M49*2%,IF(AND(M49&gt;1,M49&lt;=10),M49*2.5%)))))))))</f>
        <v>4827.99</v>
      </c>
      <c r="M64" s="24">
        <f t="shared" ref="M64:M65" ca="1" si="1">ROUND(L64,1)</f>
        <v>4828</v>
      </c>
      <c r="N64" s="138" t="s">
        <v>2239</v>
      </c>
      <c r="Z64" s="2422"/>
      <c r="AI64" s="2423"/>
    </row>
    <row r="65" spans="1:35" ht="14.25" customHeight="1">
      <c r="A65" s="197" t="s">
        <v>771</v>
      </c>
      <c r="B65" s="198" t="s">
        <v>2240</v>
      </c>
      <c r="C65" s="202"/>
      <c r="D65" s="200"/>
      <c r="E65" s="201"/>
      <c r="F65" s="2488"/>
      <c r="G65" s="2488"/>
      <c r="H65" s="2496"/>
      <c r="I65" s="138"/>
      <c r="J65" s="3219"/>
      <c r="K65" s="2498" t="s">
        <v>2241</v>
      </c>
      <c r="L65" s="1751">
        <f ca="1">IF(M49&gt;1000,M49*0.1%,IF(AND(M49&gt;500,M49&lt;=1000),M49*0.5%,IF(AND(M49&gt;50,M49&lt;=500),M49*1%,IF(AND(M49&gt;1,M49&lt;=50),M49*1.5%))))</f>
        <v>965.59800000000007</v>
      </c>
      <c r="M65" s="24">
        <f t="shared" ca="1" si="1"/>
        <v>965.6</v>
      </c>
      <c r="N65" s="138" t="s">
        <v>2239</v>
      </c>
      <c r="Z65" s="2422"/>
      <c r="AI65" s="2423"/>
    </row>
    <row r="66" spans="1:35" ht="14.25" customHeight="1">
      <c r="A66" s="203" t="s">
        <v>772</v>
      </c>
      <c r="B66" s="204" t="s">
        <v>2242</v>
      </c>
      <c r="C66" s="205"/>
      <c r="D66" s="206" t="s">
        <v>32</v>
      </c>
      <c r="E66" s="1775" t="s">
        <v>1367</v>
      </c>
      <c r="F66" s="2488"/>
      <c r="G66" s="2488"/>
      <c r="H66" s="2496"/>
      <c r="I66" s="138"/>
      <c r="J66" s="3219"/>
      <c r="K66" s="2498" t="s">
        <v>2243</v>
      </c>
      <c r="L66" s="1751">
        <f ca="1">M49*0.5%</f>
        <v>4827.99</v>
      </c>
      <c r="M66" s="24">
        <f ca="1">IF(L66&gt;0.5,0.5,ROUND(L66,0))</f>
        <v>0.5</v>
      </c>
      <c r="N66" s="138" t="s">
        <v>2244</v>
      </c>
      <c r="Z66" s="2422"/>
      <c r="AI66" s="2423"/>
    </row>
    <row r="67" spans="1:35" ht="14.25" customHeight="1">
      <c r="A67" s="203" t="s">
        <v>773</v>
      </c>
      <c r="B67" s="204" t="s">
        <v>2245</v>
      </c>
      <c r="C67" s="207">
        <f ca="1">C63-C66</f>
        <v>919617</v>
      </c>
      <c r="D67" s="200" t="s">
        <v>32</v>
      </c>
      <c r="E67" s="201"/>
      <c r="F67" s="2488"/>
      <c r="G67" s="2488"/>
      <c r="H67" s="2496"/>
      <c r="I67" s="138"/>
      <c r="J67" s="3219"/>
      <c r="K67" s="2498" t="s">
        <v>2246</v>
      </c>
      <c r="L67" s="1751">
        <f ca="1">IF(M49&gt;=10000,(8.25+(M49-10000)*0.01%),IF(AND(M49&gt;=8000,M49&lt;10000),(7.85+(M49-8000)*0.02%),IF(AND(M49&gt;=5000,M49&lt;8000),(6.65+(M49-5000)*0.04%),IF(AND(M49&gt;=2000,M49&lt;5000),(4.25+(PM49-2000)*0.08%),IF(AND(M49&gt;=1000,M49&lt;2000),(2.75+(M49-1000)*0.15%),IF(AND(M49&gt;=100,M49&lt;1000),(0.5+(M49-100)*0.25%),IF(AND(M49&gt;0,M49&lt;100),M49*0.5%)))))))</f>
        <v>103.80980000000001</v>
      </c>
      <c r="M67" s="24">
        <f ca="1">ROUND(L67*0.9,1)</f>
        <v>93.4</v>
      </c>
      <c r="Z67" s="2422"/>
      <c r="AI67" s="2423"/>
    </row>
    <row r="68" spans="1:35" ht="14.25" customHeight="1" thickBot="1">
      <c r="A68" s="208" t="s">
        <v>774</v>
      </c>
      <c r="B68" s="209" t="s">
        <v>2247</v>
      </c>
      <c r="C68" s="210">
        <f ca="1">IF(C67&lt;=0,0,ROUND(C67*D68,0))</f>
        <v>51499</v>
      </c>
      <c r="D68" s="211">
        <f>'数据-取费表'!B41</f>
        <v>5.6000000000000001E-2</v>
      </c>
      <c r="E68" s="212"/>
      <c r="F68" s="2488"/>
      <c r="G68" s="2488"/>
      <c r="H68" s="2496"/>
      <c r="I68" s="138"/>
      <c r="J68" s="3219"/>
      <c r="K68" s="2498" t="s">
        <v>2248</v>
      </c>
      <c r="L68" s="1751">
        <f ca="1">IF(M49&gt;10000,M49*0.5%,IF(AND(M49&gt;5000,M49&lt;=10000),M49*1%,IF(AND(M49&gt;1000,M49&lt;=5000),M49*2%,IF(AND(M49&gt;200,M49&lt;=1000),M49*3%,M49*5%))))</f>
        <v>4827.99</v>
      </c>
      <c r="M68" s="24">
        <f ca="1">ROUND(L68,1)</f>
        <v>4828</v>
      </c>
      <c r="Z68" s="2422"/>
      <c r="AI68" s="2423"/>
    </row>
    <row r="69" spans="1:35" s="2445" customFormat="1" ht="16.5" customHeight="1">
      <c r="A69" s="2499"/>
      <c r="B69" s="2500"/>
      <c r="C69" s="2501"/>
      <c r="D69" s="2502"/>
      <c r="E69" s="2503"/>
      <c r="F69" s="2165"/>
      <c r="G69" s="2165"/>
      <c r="H69" s="2164"/>
      <c r="I69" s="2417"/>
      <c r="J69" s="3219"/>
      <c r="K69" s="2498" t="s">
        <v>2249</v>
      </c>
      <c r="L69" s="2504"/>
      <c r="M69" s="24">
        <f ca="1">ROUND(SUM(M63:M68),0)</f>
        <v>15544</v>
      </c>
      <c r="N69" s="1752">
        <f ca="1">M69/M49</f>
        <v>1.609779639145897E-2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263" t="s">
        <v>2250</v>
      </c>
      <c r="B70" s="3264"/>
      <c r="C70" s="3264"/>
      <c r="D70" s="3264"/>
      <c r="E70" s="3264"/>
      <c r="F70" s="3264"/>
      <c r="G70" s="3264"/>
      <c r="H70" s="3264"/>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254" t="s">
        <v>2231</v>
      </c>
      <c r="B71" s="3255"/>
      <c r="C71" s="1803"/>
      <c r="D71" s="1803" t="s">
        <v>2232</v>
      </c>
      <c r="E71" s="213" t="s">
        <v>2233</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2251</v>
      </c>
      <c r="C72" s="207">
        <f ca="1">ROUND(D45/(1+'数据-取费表'!C42),0)</f>
        <v>919617</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2252</v>
      </c>
      <c r="C73" s="207">
        <f ca="1">C74+C78</f>
        <v>5518</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2253</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2254</v>
      </c>
      <c r="C75" s="218"/>
      <c r="D75" s="200" t="s">
        <v>32</v>
      </c>
      <c r="E75" s="219" t="s">
        <v>2255</v>
      </c>
      <c r="F75" s="2510" t="s">
        <v>2256</v>
      </c>
      <c r="G75" s="219" t="s">
        <v>2257</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2258</v>
      </c>
      <c r="C76" s="200">
        <f>IF(F75="购房发票",ROUND(C75*H75*D76,0),0)</f>
        <v>0</v>
      </c>
      <c r="D76" s="222">
        <v>0.05</v>
      </c>
      <c r="E76" s="3260" t="s">
        <v>2259</v>
      </c>
      <c r="F76" s="3259"/>
      <c r="G76" s="3259"/>
      <c r="H76" s="3262"/>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12" t="s">
        <v>2262</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2263</v>
      </c>
      <c r="C78" s="225">
        <f ca="1">ROUND(D45*D78/(1+'数据-取费表'!C42),0)</f>
        <v>5518</v>
      </c>
      <c r="D78" s="226">
        <f>'数据-取费表'!B43</f>
        <v>6.000000000000001E-3</v>
      </c>
      <c r="E78" s="3251" t="s">
        <v>2264</v>
      </c>
      <c r="F78" s="3252"/>
      <c r="G78" s="3252"/>
      <c r="H78" s="3253"/>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2265</v>
      </c>
      <c r="C79" s="207">
        <f ca="1">C72-C73</f>
        <v>914099</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2266</v>
      </c>
      <c r="C80" s="227">
        <f ca="1">IF(C79&lt;=0,0,C79/C73)</f>
        <v>165.65766582094963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2267</v>
      </c>
      <c r="C81" s="228">
        <f ca="1">ROUND(IF(C79&lt;=0,0,IF(C80&gt;=200%,C79*60%-C73*35%,IF(C80&gt;=100%,C79*50%-C73*15%,IF(C80&gt;=50%,C79*40%-C73*5%,IF(C80&lt;50%,C79*30%,0))))),0)</f>
        <v>546528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263" t="s">
        <v>2268</v>
      </c>
      <c r="B83" s="3264"/>
      <c r="C83" s="3264"/>
      <c r="D83" s="3264"/>
      <c r="E83" s="3264"/>
      <c r="F83" s="3264"/>
      <c r="G83" s="3264"/>
      <c r="H83" s="3264"/>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254" t="s">
        <v>2231</v>
      </c>
      <c r="B84" s="3255"/>
      <c r="C84" s="1803"/>
      <c r="D84" s="1803" t="s">
        <v>2232</v>
      </c>
      <c r="E84" s="213" t="s">
        <v>2233</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2251</v>
      </c>
      <c r="C85" s="207">
        <f ca="1">ROUND(D45/(1+'数据-取费表'!C42),0)</f>
        <v>919617</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2252</v>
      </c>
      <c r="C86" s="207">
        <f ca="1">IF(H88="仅含出让金",C87+C90+C91+C92+C93+C94,C87+C91+C92+C93+C94)</f>
        <v>5518</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2269</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2270</v>
      </c>
      <c r="C88" s="236"/>
      <c r="D88" s="226"/>
      <c r="E88" s="237" t="s">
        <v>2271</v>
      </c>
      <c r="F88" s="1799"/>
      <c r="G88" s="238" t="s">
        <v>2272</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2260</v>
      </c>
      <c r="C89" s="225">
        <f>ROUND(C88*D89,0)</f>
        <v>0</v>
      </c>
      <c r="D89" s="226">
        <f>'数据-取费表'!B48+'数据-取费表'!B49</f>
        <v>3.0499999999999999E-2</v>
      </c>
      <c r="E89" s="237" t="s">
        <v>2273</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2274</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2275</v>
      </c>
      <c r="B91" s="198" t="s">
        <v>2276</v>
      </c>
      <c r="C91" s="225">
        <f>IF(H91="——",成本法!C33,I91)</f>
        <v>0</v>
      </c>
      <c r="D91" s="226"/>
      <c r="E91" s="3251" t="s">
        <v>2277</v>
      </c>
      <c r="F91" s="3252"/>
      <c r="G91" s="3252"/>
      <c r="H91" s="2517" t="s">
        <v>2278</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2279</v>
      </c>
      <c r="B92" s="198" t="s">
        <v>2280</v>
      </c>
      <c r="C92" s="225">
        <f>ROUND((C87+C90+C91)*D92,0)</f>
        <v>0</v>
      </c>
      <c r="D92" s="226">
        <v>0.1</v>
      </c>
      <c r="E92" s="3251" t="s">
        <v>2281</v>
      </c>
      <c r="F92" s="3252"/>
      <c r="G92" s="3252"/>
      <c r="H92" s="3253"/>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2282</v>
      </c>
      <c r="B93" s="198" t="s">
        <v>2263</v>
      </c>
      <c r="C93" s="225">
        <f ca="1">ROUND(D45*D93/(1+'数据-取费表'!C42),0)</f>
        <v>5518</v>
      </c>
      <c r="D93" s="226">
        <f>'数据-取费表'!B43</f>
        <v>6.000000000000001E-3</v>
      </c>
      <c r="E93" s="3251" t="s">
        <v>2264</v>
      </c>
      <c r="F93" s="3252"/>
      <c r="G93" s="3252"/>
      <c r="H93" s="3253"/>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2283</v>
      </c>
      <c r="B94" s="198" t="s">
        <v>2284</v>
      </c>
      <c r="C94" s="236">
        <f>ROUND((C87+C90+C91)*D94,0)</f>
        <v>0</v>
      </c>
      <c r="D94" s="226">
        <v>0.2</v>
      </c>
      <c r="E94" s="3299" t="s">
        <v>2285</v>
      </c>
      <c r="F94" s="3300"/>
      <c r="G94" s="3300"/>
      <c r="H94" s="330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2265</v>
      </c>
      <c r="C95" s="207">
        <f ca="1">ROUND(C85-C86,0)</f>
        <v>914099</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2266</v>
      </c>
      <c r="C96" s="227">
        <f ca="1">IF(C95&lt;=0,0,C95/C86)</f>
        <v>165.65766582094963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2267</v>
      </c>
      <c r="C97" s="228">
        <f ca="1">ROUND(IF(C95&lt;=0,0,IF(C96&gt;=200%,C95*60%-C86*35%,IF(C96&gt;=100%,C95*50%-C86*15%,IF(C96&gt;=50%,C95*40%-C86*5%,IF(C96&lt;50%,C95*30%,0))))),0)</f>
        <v>546528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2286</v>
      </c>
      <c r="B99" s="2417"/>
      <c r="C99" s="2417"/>
      <c r="D99" s="2417"/>
      <c r="E99" s="2165"/>
      <c r="F99" s="2165"/>
      <c r="G99" s="2165"/>
      <c r="H99" s="2164"/>
      <c r="I99" s="138"/>
    </row>
    <row r="100" spans="1:35" ht="18.75" customHeight="1">
      <c r="A100" s="3187" t="s">
        <v>2287</v>
      </c>
      <c r="B100" s="3188"/>
      <c r="C100" s="3188"/>
      <c r="D100" s="3235"/>
      <c r="E100" s="3188" t="s">
        <v>2288</v>
      </c>
      <c r="F100" s="3188"/>
      <c r="G100" s="3188"/>
      <c r="H100" s="3235"/>
      <c r="I100" s="138"/>
    </row>
    <row r="101" spans="1:35" ht="18.75" customHeight="1">
      <c r="A101" s="3243" t="s">
        <v>2289</v>
      </c>
      <c r="B101" s="3244"/>
      <c r="C101" s="736" t="str">
        <f>C4</f>
        <v>比较法-住宅</v>
      </c>
      <c r="D101" s="737" t="str">
        <f>D4</f>
        <v>收益法（住宅）</v>
      </c>
      <c r="E101" s="3215" t="s">
        <v>2290</v>
      </c>
      <c r="F101" s="3216"/>
      <c r="G101" s="2519" t="s">
        <v>2291</v>
      </c>
      <c r="H101" s="1047">
        <f ca="1">H118</f>
        <v>965598</v>
      </c>
      <c r="I101" s="138"/>
    </row>
    <row r="102" spans="1:35" ht="18.75" customHeight="1">
      <c r="A102" s="3245" t="s">
        <v>2292</v>
      </c>
      <c r="B102" s="2519" t="s">
        <v>2291</v>
      </c>
      <c r="C102" s="736">
        <f ca="1">C19</f>
        <v>1098729</v>
      </c>
      <c r="D102" s="737">
        <f ca="1">D19</f>
        <v>654960</v>
      </c>
      <c r="E102" s="3215"/>
      <c r="F102" s="3216"/>
      <c r="G102" s="2519" t="s">
        <v>2293</v>
      </c>
      <c r="H102" s="371">
        <f ca="1">I118</f>
        <v>74173</v>
      </c>
      <c r="I102" s="138"/>
    </row>
    <row r="103" spans="1:35" ht="42.75" customHeight="1">
      <c r="A103" s="3245"/>
      <c r="B103" s="2519" t="s">
        <v>2293</v>
      </c>
      <c r="C103" s="738">
        <f ca="1">C20</f>
        <v>84399</v>
      </c>
      <c r="D103" s="739">
        <f ca="1">D20</f>
        <v>50311</v>
      </c>
      <c r="E103" s="3209" t="s">
        <v>2294</v>
      </c>
      <c r="F103" s="3210"/>
      <c r="G103" s="2520" t="s">
        <v>2295</v>
      </c>
      <c r="H103" s="1047">
        <f>IF(D36="正常操作",H104+H105+H106,H105+H106)</f>
        <v>0</v>
      </c>
      <c r="I103" s="138"/>
    </row>
    <row r="104" spans="1:35" ht="18.75" customHeight="1">
      <c r="A104" s="3245" t="s">
        <v>2296</v>
      </c>
      <c r="B104" s="2521" t="s">
        <v>2291</v>
      </c>
      <c r="C104" s="740">
        <f ca="1">H118</f>
        <v>965598</v>
      </c>
      <c r="D104" s="741"/>
      <c r="E104" s="2265" t="s">
        <v>2297</v>
      </c>
      <c r="F104" s="2257"/>
      <c r="G104" s="2520" t="s">
        <v>2295</v>
      </c>
      <c r="H104" s="1048">
        <f>IF(D36="同一抵押权人同一抵押物续贷",C36&amp;"（未扣减，详见特别提示）",C36)</f>
        <v>0</v>
      </c>
      <c r="I104" s="138"/>
    </row>
    <row r="105" spans="1:35" ht="18.75" customHeight="1" thickBot="1">
      <c r="A105" s="3257"/>
      <c r="B105" s="2522" t="s">
        <v>2293</v>
      </c>
      <c r="C105" s="742">
        <f ca="1">I118</f>
        <v>74173</v>
      </c>
      <c r="D105" s="743"/>
      <c r="E105" s="2265" t="s">
        <v>2298</v>
      </c>
      <c r="F105" s="2257"/>
      <c r="G105" s="2520" t="s">
        <v>2295</v>
      </c>
      <c r="H105" s="1048">
        <f>C37</f>
        <v>0</v>
      </c>
      <c r="I105" s="138"/>
    </row>
    <row r="106" spans="1:35" ht="18.75" customHeight="1">
      <c r="A106" s="2417" t="s">
        <v>2299</v>
      </c>
      <c r="B106" s="2417"/>
      <c r="C106" s="2417"/>
      <c r="D106" s="2417"/>
      <c r="E106" s="2523" t="s">
        <v>2300</v>
      </c>
      <c r="F106" s="2257"/>
      <c r="G106" s="2520" t="s">
        <v>2295</v>
      </c>
      <c r="H106" s="1048">
        <f>C38</f>
        <v>0</v>
      </c>
      <c r="I106" s="138"/>
    </row>
    <row r="107" spans="1:35" ht="18.75" customHeight="1">
      <c r="A107" s="138"/>
      <c r="B107" s="138"/>
      <c r="C107" s="138"/>
      <c r="D107" s="138"/>
      <c r="E107" s="3246" t="str">
        <f>IF(项目基本情况!E8="已注销","——","3.房地产抵押价值")</f>
        <v>3.房地产抵押价值</v>
      </c>
      <c r="F107" s="3216"/>
      <c r="G107" s="2519" t="s">
        <v>2291</v>
      </c>
      <c r="H107" s="1047">
        <f ca="1">IF(E107="——","——",H101-H103)</f>
        <v>965598</v>
      </c>
      <c r="I107" s="138"/>
    </row>
    <row r="108" spans="1:35" ht="18.75" customHeight="1">
      <c r="A108" s="138"/>
      <c r="B108" s="138"/>
      <c r="C108" s="138"/>
      <c r="D108" s="138"/>
      <c r="E108" s="3246"/>
      <c r="F108" s="3216"/>
      <c r="G108" s="2519" t="s">
        <v>2293</v>
      </c>
      <c r="H108" s="371">
        <f ca="1">ROUND(H107*10000/'数据-汇总表'!E3,0)</f>
        <v>70282</v>
      </c>
      <c r="I108" s="138"/>
    </row>
    <row r="109" spans="1:35" ht="18.75" customHeight="1">
      <c r="A109" s="138"/>
      <c r="B109" s="138"/>
      <c r="C109" s="138"/>
      <c r="D109" s="138"/>
      <c r="E109" s="3246" t="str">
        <f>IF(项目基本情况!E8="已注销及未注销","4.抵押担保权已注销时的房地产抵押价值",IF(项目基本情况!E8="已注销","3.抵押担保权已注销时的房地产抵押价值","——"))</f>
        <v>——</v>
      </c>
      <c r="F109" s="3216"/>
      <c r="G109" s="2519" t="s">
        <v>2291</v>
      </c>
      <c r="H109" s="348" t="str">
        <f>IF(E109="——","——",H101-H105-H106)</f>
        <v>——</v>
      </c>
      <c r="I109" s="138"/>
    </row>
    <row r="110" spans="1:35" ht="18.75" customHeight="1">
      <c r="A110" s="138"/>
      <c r="B110" s="138"/>
      <c r="C110" s="138"/>
      <c r="D110" s="138"/>
      <c r="E110" s="3246"/>
      <c r="F110" s="3216"/>
      <c r="G110" s="2519" t="s">
        <v>2293</v>
      </c>
      <c r="H110" s="371" t="str">
        <f>IF(H109="——","——",ROUND(H109*10000/'数据-汇总表'!E3,0))</f>
        <v>——</v>
      </c>
      <c r="I110" s="138"/>
    </row>
    <row r="111" spans="1:35" ht="18.75" customHeight="1">
      <c r="A111" s="138"/>
      <c r="B111" s="138"/>
      <c r="C111" s="138"/>
      <c r="D111" s="138"/>
      <c r="E111" s="3247" t="str">
        <f>IF(项目基本情况!E9="抵押净值",IF(OR(项目基本情况!E8="已注销",项目基本情况!E8="房地产抵押价值"),"4.抵押净值","5.抵押净值"),"——")</f>
        <v>——</v>
      </c>
      <c r="F111" s="3248"/>
      <c r="G111" s="2519" t="s">
        <v>2291</v>
      </c>
      <c r="H111" s="1047" t="str">
        <f>IF(E111="——","——",N59)</f>
        <v>——</v>
      </c>
      <c r="I111" s="138"/>
    </row>
    <row r="112" spans="1:35" ht="18.75" customHeight="1" thickBot="1">
      <c r="A112" s="138"/>
      <c r="B112" s="138"/>
      <c r="C112" s="138"/>
      <c r="D112" s="138"/>
      <c r="E112" s="3249"/>
      <c r="F112" s="3250"/>
      <c r="G112" s="2524" t="s">
        <v>2293</v>
      </c>
      <c r="H112" s="790" t="str">
        <f>IF(E111="——","——",N61)</f>
        <v>——</v>
      </c>
      <c r="I112" s="138"/>
    </row>
    <row r="113" spans="1:11" ht="18.75" customHeight="1">
      <c r="A113" s="138"/>
      <c r="B113" s="138"/>
      <c r="C113" s="138"/>
      <c r="D113" s="138"/>
      <c r="E113" s="3258" t="s">
        <v>2299</v>
      </c>
      <c r="F113" s="3258"/>
      <c r="G113" s="3258"/>
      <c r="H113" s="3258"/>
      <c r="I113" s="138"/>
    </row>
    <row r="114" spans="1:11" ht="3.75" customHeight="1">
      <c r="A114" s="2417"/>
      <c r="B114" s="2417"/>
      <c r="C114" s="2417"/>
      <c r="D114" s="2417"/>
      <c r="E114" s="2495"/>
      <c r="F114" s="2495"/>
      <c r="G114" s="2495"/>
      <c r="H114" s="2495"/>
      <c r="I114" s="2417"/>
    </row>
    <row r="115" spans="1:11" ht="18.75" customHeight="1">
      <c r="A115" s="3271" t="s">
        <v>2301</v>
      </c>
      <c r="B115" s="3272"/>
      <c r="C115" s="3272"/>
      <c r="D115" s="3272"/>
      <c r="E115" s="3272"/>
      <c r="F115" s="3272"/>
      <c r="G115" s="3272"/>
      <c r="H115" s="3272"/>
      <c r="I115" s="3273"/>
    </row>
    <row r="116" spans="1:11" ht="27" customHeight="1">
      <c r="A116" s="3160" t="s">
        <v>2302</v>
      </c>
      <c r="B116" s="3225" t="s">
        <v>3154</v>
      </c>
      <c r="C116" s="3225" t="s">
        <v>3155</v>
      </c>
      <c r="D116" s="3231" t="s">
        <v>2305</v>
      </c>
      <c r="E116" s="3232"/>
      <c r="F116" s="3267" t="s">
        <v>3156</v>
      </c>
      <c r="G116" s="3267"/>
      <c r="H116" s="3160" t="s">
        <v>2307</v>
      </c>
      <c r="I116" s="3160"/>
    </row>
    <row r="117" spans="1:11" ht="18.75" customHeight="1">
      <c r="A117" s="3160"/>
      <c r="B117" s="3226"/>
      <c r="C117" s="3226"/>
      <c r="D117" s="1797" t="s">
        <v>2308</v>
      </c>
      <c r="E117" s="1797" t="s">
        <v>2309</v>
      </c>
      <c r="F117" s="1797" t="s">
        <v>2308</v>
      </c>
      <c r="G117" s="1797" t="s">
        <v>2310</v>
      </c>
      <c r="H117" s="1797" t="s">
        <v>2308</v>
      </c>
      <c r="I117" s="1797" t="s">
        <v>2310</v>
      </c>
    </row>
    <row r="118" spans="1:11" ht="24.75" customHeight="1">
      <c r="A118" s="2525" t="str">
        <f>项目基本情况!S2</f>
        <v>广东省深圳市龙华新区民治街道腾龙路与建设路交汇处“金茂府”居住项目房地产</v>
      </c>
      <c r="B118" s="1797">
        <f>M18</f>
        <v>130182.69</v>
      </c>
      <c r="C118" s="1797">
        <f>M19</f>
        <v>23379.05</v>
      </c>
      <c r="D118" s="1797">
        <f ca="1">ROUND(IF(D32="总价",C34,E118*B118/10000),0)</f>
        <v>210500</v>
      </c>
      <c r="E118" s="1797">
        <f ca="1">ROUND(IF(C33="自定义",IF(D32="楼面单价",C34,D118*10000/B118),I118-G118),0)</f>
        <v>16170</v>
      </c>
      <c r="F118" s="1797">
        <f ca="1">ROUND(IF(D32="总价",C35,G118*B118/10000),0)</f>
        <v>755098</v>
      </c>
      <c r="G118" s="1797">
        <f ca="1">ROUND(IF(D32="楼面单价",C35,F118*10000/B118),0)</f>
        <v>58003</v>
      </c>
      <c r="H118" s="1797">
        <f ca="1">ROUND(IF(D32="总价",C32,I118*B118/10000),0)</f>
        <v>965598</v>
      </c>
      <c r="I118" s="1797">
        <f ca="1">ROUND(IF(D32="楼面单价",C32,H118*10000/B118),0)</f>
        <v>74173</v>
      </c>
    </row>
    <row r="119" spans="1:11" ht="18.75" customHeight="1">
      <c r="A119" s="3160" t="s">
        <v>2311</v>
      </c>
      <c r="B119" s="3160"/>
      <c r="C119" s="3160"/>
      <c r="D119" s="3227" t="str">
        <f ca="1">NUMBERSTRING(INT(D118*10000),2)&amp;"元整"</f>
        <v>贰拾壹亿零伍佰万元整</v>
      </c>
      <c r="E119" s="3228"/>
      <c r="F119" s="3227" t="str">
        <f ca="1">NUMBERSTRING(INT(F118*10000),2)&amp;"元整"</f>
        <v>柒拾伍亿伍仟零玖拾捌万元整</v>
      </c>
      <c r="G119" s="3228"/>
      <c r="H119" s="3227" t="str">
        <f ca="1">NUMBERSTRING(INT(H118*10000),2)&amp;"元整"</f>
        <v>玖拾陆亿伍仟伍佰玖拾捌万元整</v>
      </c>
      <c r="I119" s="3228"/>
    </row>
    <row r="120" spans="1:11" ht="18.75" customHeight="1">
      <c r="A120" s="3222" t="str">
        <f>IF(项目基本情况!B9="房地产市场价值","",MID(E103,3,LEN(E103)-2))</f>
        <v>估价师知悉的法定优先受偿款</v>
      </c>
      <c r="B120" s="3223"/>
      <c r="C120" s="3224"/>
      <c r="D120" s="3222">
        <f>H103</f>
        <v>0</v>
      </c>
      <c r="E120" s="3223"/>
      <c r="F120" s="3223"/>
      <c r="G120" s="3223"/>
      <c r="H120" s="3223"/>
      <c r="I120" s="3224"/>
      <c r="K120" s="2422" t="str">
        <f>IF(D120=0,"故，本次评估不存在"&amp;A120,"故，本次评估"&amp;A120&amp;"为人民币"&amp;D120&amp;"万元整。")</f>
        <v>故，本次评估不存在估价师知悉的法定优先受偿款</v>
      </c>
    </row>
    <row r="121" spans="1:11" ht="18.75" customHeight="1">
      <c r="A121" s="3268" t="s">
        <v>2311</v>
      </c>
      <c r="B121" s="3269"/>
      <c r="C121" s="3270"/>
      <c r="D121" s="3227" t="str">
        <f>IF(D120=0,"零元整",NUMBERSTRING(INT(D120*10000),2)&amp;"元整")</f>
        <v>零元整</v>
      </c>
      <c r="E121" s="3229"/>
      <c r="F121" s="3229"/>
      <c r="G121" s="3229"/>
      <c r="H121" s="3229"/>
      <c r="I121" s="3228"/>
    </row>
    <row r="122" spans="1:11" ht="18.75" customHeight="1">
      <c r="A122" s="3233" t="str">
        <f>IF(项目基本情况!B9="房地产市场价值","",MID(E107,3,LEN(E107)-2))</f>
        <v>房地产抵押价值</v>
      </c>
      <c r="B122" s="3233"/>
      <c r="C122" s="3233"/>
      <c r="D122" s="3222">
        <f ca="1">H107</f>
        <v>965598</v>
      </c>
      <c r="E122" s="3223"/>
      <c r="F122" s="3223"/>
      <c r="G122" s="3223"/>
      <c r="H122" s="3223"/>
      <c r="I122" s="3224"/>
    </row>
    <row r="123" spans="1:11" ht="18.75" customHeight="1">
      <c r="A123" s="3160" t="s">
        <v>2311</v>
      </c>
      <c r="B123" s="3160"/>
      <c r="C123" s="3160"/>
      <c r="D123" s="3227" t="str">
        <f ca="1">NUMBERSTRING(INT(D122*10000),2)&amp;"元整"</f>
        <v>玖拾陆亿伍仟伍佰玖拾捌万元整</v>
      </c>
      <c r="E123" s="3229"/>
      <c r="F123" s="3229"/>
      <c r="G123" s="3229"/>
      <c r="H123" s="3229"/>
      <c r="I123" s="3228"/>
    </row>
    <row r="124" spans="1:11" ht="18.75" customHeight="1">
      <c r="A124" s="3233" t="str">
        <f>IF(项目基本情况!B9="房地产市场价值","",MID(E109,3,LEN(E109)-2))</f>
        <v/>
      </c>
      <c r="B124" s="3233"/>
      <c r="C124" s="3233"/>
      <c r="D124" s="3222" t="str">
        <f>H109</f>
        <v>——</v>
      </c>
      <c r="E124" s="3223"/>
      <c r="F124" s="3223"/>
      <c r="G124" s="3223"/>
      <c r="H124" s="3223"/>
      <c r="I124" s="3224"/>
    </row>
    <row r="125" spans="1:11" ht="18.75" customHeight="1">
      <c r="A125" s="3160" t="s">
        <v>2311</v>
      </c>
      <c r="B125" s="3160"/>
      <c r="C125" s="3160"/>
      <c r="D125" s="3227" t="e">
        <f>NUMBERSTRING(INT(D124*10000),2)&amp;"元整"</f>
        <v>#VALUE!</v>
      </c>
      <c r="E125" s="3229"/>
      <c r="F125" s="3229"/>
      <c r="G125" s="3229"/>
      <c r="H125" s="3229"/>
      <c r="I125" s="3228"/>
    </row>
    <row r="126" spans="1:11" ht="18.75" customHeight="1">
      <c r="A126" s="3233" t="str">
        <f>IF(项目基本情况!B9="房地产市场价值","",MID(E111,3,LEN(E111)-2))</f>
        <v/>
      </c>
      <c r="B126" s="3233"/>
      <c r="C126" s="3233"/>
      <c r="D126" s="3222" t="str">
        <f>H111</f>
        <v>——</v>
      </c>
      <c r="E126" s="3223"/>
      <c r="F126" s="3223"/>
      <c r="G126" s="3223"/>
      <c r="H126" s="3223"/>
      <c r="I126" s="3224"/>
    </row>
    <row r="127" spans="1:11" ht="18.75" customHeight="1">
      <c r="A127" s="3160" t="s">
        <v>2311</v>
      </c>
      <c r="B127" s="3160"/>
      <c r="C127" s="3160"/>
      <c r="D127" s="3227" t="e">
        <f>NUMBERSTRING(INT(D126*10000),2)&amp;"元整"</f>
        <v>#VALUE!</v>
      </c>
      <c r="E127" s="3229"/>
      <c r="F127" s="3229"/>
      <c r="G127" s="3229"/>
      <c r="H127" s="3229"/>
      <c r="I127" s="3228"/>
    </row>
    <row r="128" spans="1:11" ht="21.75" customHeight="1">
      <c r="A128" s="3230" t="s">
        <v>2312</v>
      </c>
      <c r="B128" s="3230"/>
      <c r="C128" s="3230"/>
      <c r="D128" s="3230"/>
      <c r="E128" s="3230"/>
      <c r="F128" s="3230"/>
      <c r="G128" s="3230"/>
      <c r="H128" s="3230"/>
      <c r="I128" s="3230"/>
    </row>
    <row r="129" spans="1:35" ht="21.75" customHeight="1">
      <c r="A129" s="2526" t="s">
        <v>2313</v>
      </c>
      <c r="B129" s="2527"/>
      <c r="C129" s="2528" t="s">
        <v>2314</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2315</v>
      </c>
      <c r="G135" s="2543"/>
      <c r="H135" s="2543"/>
      <c r="I135" s="2544" t="s">
        <v>2316</v>
      </c>
    </row>
    <row r="136" spans="1:35" ht="21.75" customHeight="1">
      <c r="A136" s="795"/>
      <c r="B136" s="2545"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2318</v>
      </c>
    </row>
    <row r="139" spans="1:35" ht="21.75" customHeight="1">
      <c r="A139" s="795"/>
      <c r="B139" s="2545" t="s">
        <v>2319</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2318</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9"/>
      <c r="C1" s="242"/>
      <c r="D1" s="242"/>
      <c r="E1" s="242"/>
      <c r="F1" s="242"/>
      <c r="G1" s="1381">
        <f>MATCH(B1,'数据-取费表'!A6:A16,0)+5</f>
        <v>10</v>
      </c>
    </row>
    <row r="2" spans="1:9" s="244" customFormat="1" ht="18" customHeight="1">
      <c r="A2" s="245" t="s">
        <v>2321</v>
      </c>
      <c r="B2" s="246">
        <f ca="1">IF(D2="——",C52,C52-E2)</f>
        <v>157105</v>
      </c>
      <c r="C2" s="243" t="s">
        <v>2322</v>
      </c>
      <c r="D2" s="2548" t="s">
        <v>70</v>
      </c>
      <c r="E2" s="1442" t="e">
        <f ca="1">SUMIF(INDIRECT("'"&amp;G2&amp;"'"&amp;"!A:A"),"承租人权益价值",INDIRECT("'"&amp;G2&amp;"'"&amp;"!c:c"))</f>
        <v>#REF!</v>
      </c>
      <c r="F2" s="2549" t="s">
        <v>2322</v>
      </c>
      <c r="G2" s="2550"/>
    </row>
    <row r="3" spans="1:9" s="244" customFormat="1" ht="18" customHeight="1" thickBot="1">
      <c r="A3" s="247" t="s">
        <v>2323</v>
      </c>
      <c r="B3" s="248">
        <f ca="1">ROUND(B2*10000/(IF(B1="",'数据-汇总表'!E3,INDIRECT("'数据-取费表'!k"&amp;$G$1))),0)</f>
        <v>11435</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2303</v>
      </c>
      <c r="D5" s="255" t="s">
        <v>2328</v>
      </c>
      <c r="E5" s="256" t="s">
        <v>2329</v>
      </c>
      <c r="F5" s="256" t="s">
        <v>2330</v>
      </c>
      <c r="G5" s="257"/>
    </row>
    <row r="6" spans="1:9" s="258" customFormat="1" ht="13.5" customHeight="1">
      <c r="A6" s="951" t="s">
        <v>2331</v>
      </c>
      <c r="B6" s="259" t="s">
        <v>2332</v>
      </c>
      <c r="C6" s="260"/>
      <c r="D6" s="261"/>
      <c r="E6" s="262"/>
      <c r="F6" s="262"/>
      <c r="G6" s="263"/>
    </row>
    <row r="7" spans="1:9" s="258" customFormat="1" ht="13.5" customHeight="1">
      <c r="A7" s="951" t="s">
        <v>2333</v>
      </c>
      <c r="B7" s="259" t="s">
        <v>2334</v>
      </c>
      <c r="C7" s="264">
        <f>ROUND(C6*F7,0)</f>
        <v>0</v>
      </c>
      <c r="D7" s="264"/>
      <c r="E7" s="262"/>
      <c r="F7" s="265">
        <f>'数据-取费表'!B48+'数据-取费表'!B49</f>
        <v>3.0499999999999999E-2</v>
      </c>
      <c r="G7" s="263"/>
    </row>
    <row r="8" spans="1:9" s="267" customFormat="1">
      <c r="A8" s="951" t="s">
        <v>2335</v>
      </c>
      <c r="B8" s="259" t="s">
        <v>2336</v>
      </c>
      <c r="C8" s="264">
        <f ca="1">IF(G8="已包含在土地购买价格中","0",IF(B1="",'数据-取费表'!B29,IF(G9="全部缴纳",C9+C10,H9)))</f>
        <v>2303</v>
      </c>
      <c r="D8" s="266"/>
      <c r="E8" s="264"/>
      <c r="F8" s="265"/>
      <c r="G8" s="2551"/>
    </row>
    <row r="9" spans="1:9" s="258" customFormat="1" ht="13.5" customHeight="1">
      <c r="A9" s="952" t="s">
        <v>800</v>
      </c>
      <c r="B9" s="268" t="s">
        <v>2337</v>
      </c>
      <c r="C9" s="269">
        <f ca="1">ROUND(D9*E9/10000,0)</f>
        <v>2148</v>
      </c>
      <c r="D9" s="1034">
        <f ca="1">IF(B1="",'数据-汇总表'!E5,IF(INDIRECT("'数据-取费表'!c"&amp;$G$1)="住宅",INDIRECT("'数据-取费表'!k"&amp;$G$1),0))</f>
        <v>130182.69</v>
      </c>
      <c r="E9" s="269">
        <f>'数据-取费表'!B27</f>
        <v>165</v>
      </c>
      <c r="F9" s="265"/>
      <c r="G9" s="2552"/>
      <c r="H9" s="1392"/>
      <c r="I9" s="2553" t="s">
        <v>2338</v>
      </c>
    </row>
    <row r="10" spans="1:9" s="258" customFormat="1" ht="13.5" customHeight="1">
      <c r="A10" s="952" t="s">
        <v>801</v>
      </c>
      <c r="B10" s="268" t="s">
        <v>2339</v>
      </c>
      <c r="C10" s="269">
        <f ca="1">ROUND(D10*E10/10000,0)</f>
        <v>155</v>
      </c>
      <c r="D10" s="1034">
        <f ca="1">IF(B1="",'数据-汇总表'!E6,IF(INDIRECT("'数据-取费表'!c"&amp;$G$1)="住宅",INDIRECT("'数据-取费表'!s"&amp;$G$1),INDIRECT("'数据-取费表'!k"&amp;$G$1)+INDIRECT("'数据-取费表'!s"&amp;$G$1)))</f>
        <v>7207.3099999999977</v>
      </c>
      <c r="E10" s="269">
        <f>'数据-取费表'!B28</f>
        <v>215</v>
      </c>
      <c r="F10" s="265"/>
      <c r="G10" s="270"/>
    </row>
    <row r="11" spans="1:9" s="258" customFormat="1" ht="13.5" hidden="1" customHeight="1">
      <c r="A11" s="271" t="s">
        <v>7</v>
      </c>
      <c r="B11" s="259" t="s">
        <v>2340</v>
      </c>
      <c r="C11" s="255"/>
      <c r="D11" s="1036"/>
      <c r="E11" s="262"/>
      <c r="F11" s="262"/>
      <c r="G11" s="263"/>
    </row>
    <row r="12" spans="1:9" s="258" customFormat="1" ht="13.5" hidden="1" customHeight="1">
      <c r="A12" s="271" t="s">
        <v>8</v>
      </c>
      <c r="B12" s="259" t="s">
        <v>2341</v>
      </c>
      <c r="C12" s="255">
        <v>0</v>
      </c>
      <c r="D12" s="1036"/>
      <c r="E12" s="272"/>
      <c r="F12" s="265">
        <v>3.0499999999999999E-2</v>
      </c>
      <c r="G12" s="263"/>
    </row>
    <row r="13" spans="1:9" s="258" customFormat="1" ht="13.5" hidden="1" customHeight="1">
      <c r="A13" s="271" t="s">
        <v>9</v>
      </c>
      <c r="B13" s="259" t="s">
        <v>2342</v>
      </c>
      <c r="C13" s="255"/>
      <c r="D13" s="1036"/>
      <c r="E13" s="262"/>
      <c r="F13" s="262"/>
      <c r="G13" s="263"/>
    </row>
    <row r="14" spans="1:9" s="258" customFormat="1" ht="13.5" hidden="1" customHeight="1">
      <c r="A14" s="271" t="s">
        <v>10</v>
      </c>
      <c r="B14" s="259" t="s">
        <v>2343</v>
      </c>
      <c r="C14" s="255"/>
      <c r="D14" s="1036"/>
      <c r="E14" s="262"/>
      <c r="F14" s="262"/>
      <c r="G14" s="263" t="s">
        <v>2344</v>
      </c>
    </row>
    <row r="15" spans="1:9" s="258" customFormat="1" ht="13.5" hidden="1" customHeight="1">
      <c r="A15" s="271" t="s">
        <v>11</v>
      </c>
      <c r="B15" s="259" t="s">
        <v>2345</v>
      </c>
      <c r="C15" s="264"/>
      <c r="D15" s="1036"/>
      <c r="E15" s="262"/>
      <c r="F15" s="262"/>
      <c r="G15" s="263" t="s">
        <v>2346</v>
      </c>
    </row>
    <row r="16" spans="1:9" s="258" customFormat="1" ht="13.5" hidden="1" customHeight="1">
      <c r="A16" s="271" t="s">
        <v>12</v>
      </c>
      <c r="B16" s="259" t="s">
        <v>2343</v>
      </c>
      <c r="C16" s="264"/>
      <c r="D16" s="1036"/>
      <c r="E16" s="262"/>
      <c r="F16" s="262"/>
      <c r="G16" s="263"/>
    </row>
    <row r="17" spans="1:7" s="258" customFormat="1" ht="13.5" hidden="1" customHeight="1">
      <c r="A17" s="271" t="s">
        <v>13</v>
      </c>
      <c r="B17" s="259" t="s">
        <v>2347</v>
      </c>
      <c r="C17" s="273"/>
      <c r="D17" s="1037"/>
      <c r="E17" s="273"/>
      <c r="F17" s="273"/>
      <c r="G17" s="263" t="s">
        <v>2346</v>
      </c>
    </row>
    <row r="18" spans="1:7" s="258" customFormat="1" ht="13.5" hidden="1" customHeight="1">
      <c r="A18" s="271" t="s">
        <v>14</v>
      </c>
      <c r="B18" s="259" t="s">
        <v>2348</v>
      </c>
      <c r="C18" s="264">
        <v>0</v>
      </c>
      <c r="D18" s="1036"/>
      <c r="E18" s="262"/>
      <c r="F18" s="265">
        <v>3.0499999999999999E-2</v>
      </c>
      <c r="G18" s="263" t="s">
        <v>2349</v>
      </c>
    </row>
    <row r="19" spans="1:7" s="267" customFormat="1" ht="13.5" customHeight="1">
      <c r="A19" s="299" t="s">
        <v>2350</v>
      </c>
      <c r="B19" s="254" t="s">
        <v>2351</v>
      </c>
      <c r="C19" s="255">
        <f ca="1">IF(G19="已包含在土地取得成本中","0",ROUND(D19*E19/10000,0))</f>
        <v>2748</v>
      </c>
      <c r="D19" s="1038">
        <f ca="1">D9+D10</f>
        <v>137390</v>
      </c>
      <c r="E19" s="255">
        <f>'数据-取费表'!B31</f>
        <v>200</v>
      </c>
      <c r="F19" s="275"/>
      <c r="G19" s="2551"/>
    </row>
    <row r="20" spans="1:7" s="258" customFormat="1" ht="13.5" customHeight="1">
      <c r="A20" s="299" t="s">
        <v>2352</v>
      </c>
      <c r="B20" s="254" t="s">
        <v>2353</v>
      </c>
      <c r="C20" s="276">
        <f ca="1">ROUND((C5+C19)*F20,0)</f>
        <v>101</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6">
        <f ca="1">ROUND(SUM(C23:C25),0)</f>
        <v>496</v>
      </c>
      <c r="D22" s="279">
        <f ca="1">C26</f>
        <v>1E-3</v>
      </c>
      <c r="E22" s="280" t="s">
        <v>2357</v>
      </c>
      <c r="F22" s="281">
        <f ca="1">'数据-取费表'!B40</f>
        <v>4.7500000000000001E-2</v>
      </c>
      <c r="G22" s="278" t="str">
        <f>IF('数据-取费表'!B22&lt;=1,"单利计息","复利计息")</f>
        <v>复利计息</v>
      </c>
    </row>
    <row r="23" spans="1:7" s="258" customFormat="1" ht="13.5" customHeight="1">
      <c r="A23" s="953" t="s">
        <v>2361</v>
      </c>
      <c r="B23" s="259" t="s">
        <v>2362</v>
      </c>
      <c r="C23" s="1357">
        <f ca="1">ROUND(IF('数据-取费表'!B22&lt;=1,C5*F22*'数据-取费表'!B23,C5*(POWER((1+F22),'数据-取费表'!B23)-1)),0)</f>
        <v>224</v>
      </c>
      <c r="D23" s="282"/>
      <c r="E23" s="282"/>
      <c r="F23" s="283"/>
      <c r="G23" s="284" t="s">
        <v>2363</v>
      </c>
    </row>
    <row r="24" spans="1:7" s="258" customFormat="1" ht="13.5" customHeight="1">
      <c r="A24" s="953" t="s">
        <v>2364</v>
      </c>
      <c r="B24" s="259" t="s">
        <v>2365</v>
      </c>
      <c r="C24" s="1357">
        <f ca="1">ROUND(IF('数据-取费表'!B22&lt;=1,C19*F22*('数据-取费表'!B19/2+'数据-取费表'!B21),C19*(POWER((1+F22),('数据-取费表'!B19/2+'数据-取费表'!B21))-1)),0)</f>
        <v>267</v>
      </c>
      <c r="D24" s="282"/>
      <c r="E24" s="282"/>
      <c r="F24" s="283"/>
      <c r="G24" s="284" t="s">
        <v>2366</v>
      </c>
    </row>
    <row r="25" spans="1:7" s="258" customFormat="1" ht="24">
      <c r="A25" s="953" t="s">
        <v>2367</v>
      </c>
      <c r="B25" s="259" t="s">
        <v>2368</v>
      </c>
      <c r="C25" s="1357">
        <f ca="1">ROUND(IF('数据-取费表'!B22&lt;=1,C20*F22*'数据-取费表'!B23/2,C20*(POWER((1+F22),'数据-取费表'!B23/2)-1)),0)</f>
        <v>5</v>
      </c>
      <c r="D25" s="282"/>
      <c r="E25" s="285"/>
      <c r="F25" s="283"/>
      <c r="G25" s="286" t="s">
        <v>2369</v>
      </c>
    </row>
    <row r="26" spans="1:7" s="258" customFormat="1">
      <c r="A26" s="953" t="s">
        <v>795</v>
      </c>
      <c r="B26" s="259" t="s">
        <v>2370</v>
      </c>
      <c r="C26" s="282">
        <f ca="1">ROUND(IF('数据-取费表'!B22&lt;=1,F21*F22*'数据-取费表'!B23/2,F21*(POWER((1+F22),'数据-取费表'!B23/2)-1)),4)</f>
        <v>1E-3</v>
      </c>
      <c r="D26" s="282"/>
      <c r="E26" s="285"/>
      <c r="F26" s="283"/>
      <c r="G26" s="287"/>
    </row>
    <row r="27" spans="1:7" s="258" customFormat="1" ht="24.75">
      <c r="A27" s="299" t="s">
        <v>2371</v>
      </c>
      <c r="B27" s="288" t="s">
        <v>2372</v>
      </c>
      <c r="C27" s="289">
        <f ca="1">C28</f>
        <v>515</v>
      </c>
      <c r="D27" s="279">
        <f ca="1">C29</f>
        <v>2E-3</v>
      </c>
      <c r="E27" s="280" t="s">
        <v>2373</v>
      </c>
      <c r="F27" s="290">
        <f ca="1">IF(B1="",'数据-取费表'!Q16,INDIRECT("'数据-取费表'!q"&amp;$G$1))</f>
        <v>0.1</v>
      </c>
      <c r="G27" s="291" t="s">
        <v>2374</v>
      </c>
    </row>
    <row r="28" spans="1:7" s="258" customFormat="1" ht="13.5" customHeight="1">
      <c r="A28" s="953" t="s">
        <v>791</v>
      </c>
      <c r="B28" s="292" t="s">
        <v>2375</v>
      </c>
      <c r="C28" s="293">
        <f ca="1">ROUND((C5+C19+C20)*F27*'数据-取费表'!B21/'数据-取费表'!B20,0)</f>
        <v>515</v>
      </c>
      <c r="D28" s="279"/>
      <c r="E28" s="280"/>
      <c r="F28" s="290"/>
      <c r="G28" s="291"/>
    </row>
    <row r="29" spans="1:7" s="258" customFormat="1" ht="13.5" customHeight="1">
      <c r="A29" s="953" t="s">
        <v>792</v>
      </c>
      <c r="B29" s="292" t="s">
        <v>2376</v>
      </c>
      <c r="C29" s="282">
        <f ca="1">ROUND(C21*F27*'数据-取费表'!B21/'数据-取费表'!B20,4)</f>
        <v>2E-3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6672</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118720</v>
      </c>
      <c r="D33" s="276"/>
      <c r="E33" s="256"/>
      <c r="F33" s="285"/>
      <c r="G33" s="278"/>
    </row>
    <row r="34" spans="1:7" s="302" customFormat="1" ht="13.5" customHeight="1">
      <c r="A34" s="953" t="s">
        <v>791</v>
      </c>
      <c r="B34" s="259" t="s">
        <v>2384</v>
      </c>
      <c r="C34" s="264">
        <f ca="1">IF(B1="",IF(F34=100%,'数据-取费表'!M16,'数据-取费表'!O16),IF(F34=100%,INDIRECT("'数据-取费表'!m"&amp;$G$1)+INDIRECT("'数据-取费表'!t"&amp;$G$1),INDIRECT("'数据-取费表'!o"&amp;$G$1)+INDIRECT("'数据-取费表'!aq"&amp;$G$1)))</f>
        <v>107988</v>
      </c>
      <c r="D34" s="261"/>
      <c r="E34" s="264"/>
      <c r="F34" s="301">
        <f ca="1">IF('数据-取费表'!B24=0,1,IF(B1="",'数据-取费表'!N16,INDIRECT("'数据-取费表'!n"&amp;$G$1)))</f>
        <v>1</v>
      </c>
      <c r="G34" s="263" t="s">
        <v>2385</v>
      </c>
    </row>
    <row r="35" spans="1:7" ht="13.5" customHeight="1">
      <c r="A35" s="953" t="s">
        <v>796</v>
      </c>
      <c r="B35" s="259" t="s">
        <v>2386</v>
      </c>
      <c r="C35" s="264">
        <f ca="1">ROUND(C34*F35,0)</f>
        <v>3240</v>
      </c>
      <c r="D35" s="264"/>
      <c r="E35" s="264"/>
      <c r="F35" s="303">
        <f>'数据-取费表'!B33</f>
        <v>0.03</v>
      </c>
      <c r="G35" s="263" t="s">
        <v>2387</v>
      </c>
    </row>
    <row r="36" spans="1:7" ht="24">
      <c r="A36" s="953" t="s">
        <v>797</v>
      </c>
      <c r="B36" s="259" t="s">
        <v>2388</v>
      </c>
      <c r="C36" s="264">
        <f ca="1">ROUND(IF(B1="",SUMIF('数据-取费表'!C:C,"住宅",IF(F34=100%,'数据-取费表'!M:M,'数据-取费表'!O:O))*F36,IF(INDIRECT("'数据-取费表'!c"&amp;$G$1)="住宅",IF(F34=100%,INDIRECT("'数据-取费表'!m"&amp;$G$1)*F36,INDIRECT("'数据-取费表'!o"&amp;$G$1)*F36),0)),0)</f>
        <v>3124</v>
      </c>
      <c r="D36" s="264"/>
      <c r="E36" s="264"/>
      <c r="F36" s="303">
        <f>'数据-取费表'!B34</f>
        <v>0.03</v>
      </c>
      <c r="G36" s="304" t="s">
        <v>2389</v>
      </c>
    </row>
    <row r="37" spans="1:7" s="302" customFormat="1" ht="13.5" customHeight="1">
      <c r="A37" s="953" t="s">
        <v>798</v>
      </c>
      <c r="B37" s="259" t="s">
        <v>2390</v>
      </c>
      <c r="C37" s="293">
        <f ca="1">ROUND(E37*D37*F34/10000,0)</f>
        <v>2748</v>
      </c>
      <c r="D37" s="261">
        <f ca="1">D19</f>
        <v>137390</v>
      </c>
      <c r="E37" s="293">
        <f>'数据-取费表'!B35</f>
        <v>200</v>
      </c>
      <c r="F37" s="303"/>
      <c r="G37" s="305" t="s">
        <v>2391</v>
      </c>
    </row>
    <row r="38" spans="1:7" ht="13.5" customHeight="1">
      <c r="A38" s="953" t="s">
        <v>799</v>
      </c>
      <c r="B38" s="259" t="s">
        <v>2392</v>
      </c>
      <c r="C38" s="264">
        <f ca="1">ROUND(C34*F38,0)</f>
        <v>1620</v>
      </c>
      <c r="D38" s="264"/>
      <c r="E38" s="264"/>
      <c r="F38" s="303">
        <f>'数据-取费表'!B36</f>
        <v>1.4999999999999999E-2</v>
      </c>
      <c r="G38" s="263" t="s">
        <v>2387</v>
      </c>
    </row>
    <row r="39" spans="1:7" s="258" customFormat="1" ht="13.5" customHeight="1">
      <c r="A39" s="299" t="s">
        <v>2393</v>
      </c>
      <c r="B39" s="254" t="s">
        <v>2394</v>
      </c>
      <c r="C39" s="276">
        <f ca="1">ROUND(C33*F20,0)</f>
        <v>2374</v>
      </c>
      <c r="D39" s="276"/>
      <c r="E39" s="276"/>
      <c r="F39" s="277"/>
      <c r="G39" s="278" t="s">
        <v>2395</v>
      </c>
    </row>
    <row r="40" spans="1:7" s="258" customFormat="1" ht="13.5" customHeight="1">
      <c r="A40" s="299" t="s">
        <v>2396</v>
      </c>
      <c r="B40" s="254" t="s">
        <v>2397</v>
      </c>
      <c r="C40" s="1730">
        <f>F21</f>
        <v>0.02</v>
      </c>
      <c r="D40" s="280" t="s">
        <v>2398</v>
      </c>
      <c r="E40" s="276"/>
      <c r="F40" s="277"/>
      <c r="G40" s="278" t="s">
        <v>2399</v>
      </c>
    </row>
    <row r="41" spans="1:7" s="258" customFormat="1" ht="13.5" customHeight="1">
      <c r="A41" s="299" t="s">
        <v>2400</v>
      </c>
      <c r="B41" s="254" t="s">
        <v>2401</v>
      </c>
      <c r="C41" s="276">
        <f ca="1">ROUND(SUM(C42:C43),0)</f>
        <v>5752</v>
      </c>
      <c r="D41" s="279">
        <f ca="1">C44</f>
        <v>1E-3</v>
      </c>
      <c r="E41" s="280" t="s">
        <v>2398</v>
      </c>
      <c r="F41" s="281"/>
      <c r="G41" s="278" t="str">
        <f>IF('数据-取费表'!B22&lt;=1,"单利计息","复利计息")</f>
        <v>复利计息</v>
      </c>
    </row>
    <row r="42" spans="1:7" ht="13.5" customHeight="1">
      <c r="A42" s="953" t="s">
        <v>791</v>
      </c>
      <c r="B42" s="259" t="s">
        <v>2402</v>
      </c>
      <c r="C42" s="282">
        <f ca="1">ROUND(IF('数据-取费表'!B22&lt;=1,C33*F22*'数据-取费表'!B21/2,C33*(POWER((1+F22),'数据-取费表'!B21/2)-1)),0)</f>
        <v>5639</v>
      </c>
      <c r="D42" s="282"/>
      <c r="E42" s="282"/>
      <c r="F42" s="283"/>
      <c r="G42" s="3302" t="s">
        <v>2403</v>
      </c>
    </row>
    <row r="43" spans="1:7" ht="13.5" customHeight="1">
      <c r="A43" s="953" t="s">
        <v>792</v>
      </c>
      <c r="B43" s="259" t="s">
        <v>2404</v>
      </c>
      <c r="C43" s="282">
        <f ca="1">ROUND(IF('数据-取费表'!B22&lt;=1,C39*F22*'数据-取费表'!B21/2,C39*(POWER((1+F22),'数据-取费表'!B21/2)-1)),0)</f>
        <v>113</v>
      </c>
      <c r="D43" s="282"/>
      <c r="E43" s="282"/>
      <c r="F43" s="283"/>
      <c r="G43" s="3303"/>
    </row>
    <row r="44" spans="1:7" ht="13.5" customHeight="1">
      <c r="A44" s="953" t="s">
        <v>793</v>
      </c>
      <c r="B44" s="259" t="s">
        <v>2405</v>
      </c>
      <c r="C44" s="282">
        <f ca="1">ROUND(IF('数据-取费表'!B22&lt;=1,C40*F22*'数据-取费表'!B21/2,C40*(POWER((1+F22),'数据-取费表'!B21/2)-1)),4)</f>
        <v>1E-3</v>
      </c>
      <c r="D44" s="282"/>
      <c r="E44" s="282"/>
      <c r="F44" s="283"/>
      <c r="G44" s="3304"/>
    </row>
    <row r="45" spans="1:7" s="258" customFormat="1" ht="13.5" customHeight="1">
      <c r="A45" s="299" t="s">
        <v>2406</v>
      </c>
      <c r="B45" s="288" t="s">
        <v>2372</v>
      </c>
      <c r="C45" s="289">
        <f ca="1">C46</f>
        <v>12109</v>
      </c>
      <c r="D45" s="279">
        <f ca="1">C47</f>
        <v>2E-3</v>
      </c>
      <c r="E45" s="280" t="s">
        <v>2398</v>
      </c>
      <c r="F45" s="290"/>
      <c r="G45" s="291" t="s">
        <v>2407</v>
      </c>
    </row>
    <row r="46" spans="1:7" s="258" customFormat="1" ht="13.5" customHeight="1">
      <c r="A46" s="953" t="s">
        <v>791</v>
      </c>
      <c r="B46" s="292" t="s">
        <v>2408</v>
      </c>
      <c r="C46" s="293">
        <f ca="1">ROUND((C33+C39)*F27,0)</f>
        <v>12109</v>
      </c>
      <c r="D46" s="307"/>
      <c r="E46" s="280"/>
      <c r="F46" s="290"/>
      <c r="G46" s="291"/>
    </row>
    <row r="47" spans="1:7" s="258" customFormat="1" ht="13.5" customHeight="1">
      <c r="A47" s="953" t="s">
        <v>792</v>
      </c>
      <c r="B47" s="292" t="s">
        <v>2409</v>
      </c>
      <c r="C47" s="282">
        <f ca="1">ROUND(C40*F27,4)</f>
        <v>2E-3</v>
      </c>
      <c r="D47" s="307"/>
      <c r="E47" s="280"/>
      <c r="F47" s="290"/>
      <c r="G47" s="291"/>
    </row>
    <row r="48" spans="1:7" s="258" customFormat="1" ht="13.5" customHeight="1">
      <c r="A48" s="299" t="s">
        <v>2371</v>
      </c>
      <c r="B48" s="254" t="s">
        <v>2410</v>
      </c>
      <c r="C48" s="1730">
        <f>ROUND(F30/(1+'数据-取费表'!C42),4)</f>
        <v>5.33E-2</v>
      </c>
      <c r="D48" s="280" t="s">
        <v>2398</v>
      </c>
      <c r="E48" s="276"/>
      <c r="F48" s="281"/>
      <c r="G48" s="278" t="s">
        <v>2411</v>
      </c>
    </row>
    <row r="49" spans="1:7" ht="16.5" customHeight="1">
      <c r="A49" s="299" t="s">
        <v>2377</v>
      </c>
      <c r="B49" s="254" t="s">
        <v>2412</v>
      </c>
      <c r="C49" s="276">
        <f ca="1">ROUND((C33+C39+C41+C45)/(1-C40-D41-D45-C48),0)</f>
        <v>150433</v>
      </c>
      <c r="D49" s="276"/>
      <c r="E49" s="276"/>
      <c r="F49" s="308"/>
      <c r="G49" s="278" t="s">
        <v>2413</v>
      </c>
    </row>
    <row r="50" spans="1:7" s="302" customFormat="1" ht="24">
      <c r="A50" s="299" t="s">
        <v>2414</v>
      </c>
      <c r="B50" s="254" t="s">
        <v>2415</v>
      </c>
      <c r="C50" s="276"/>
      <c r="D50" s="276"/>
      <c r="E50" s="276"/>
      <c r="F50" s="308">
        <f>IF('数据-取费表'!B24=0,'数据-取费表'!N16,1)</f>
        <v>1</v>
      </c>
      <c r="G50" s="291" t="s">
        <v>2416</v>
      </c>
    </row>
    <row r="51" spans="1:7" ht="16.5" customHeight="1">
      <c r="A51" s="299" t="s">
        <v>2417</v>
      </c>
      <c r="B51" s="254" t="s">
        <v>2418</v>
      </c>
      <c r="C51" s="276">
        <f ca="1">ROUND(C49*F50,0)</f>
        <v>150433</v>
      </c>
      <c r="D51" s="276"/>
      <c r="E51" s="276"/>
      <c r="F51" s="308"/>
      <c r="G51" s="278" t="s">
        <v>2419</v>
      </c>
    </row>
    <row r="52" spans="1:7" s="252" customFormat="1" ht="16.5" thickBot="1">
      <c r="A52" s="309" t="s">
        <v>2420</v>
      </c>
      <c r="B52" s="310"/>
      <c r="C52" s="311">
        <f ca="1">C31+C51</f>
        <v>157105</v>
      </c>
      <c r="D52" s="310"/>
      <c r="E52" s="310"/>
      <c r="F52" s="310"/>
      <c r="G52" s="312"/>
    </row>
    <row r="55" spans="1:7" ht="15">
      <c r="B55" s="314" t="s">
        <v>2421</v>
      </c>
      <c r="C55" s="315"/>
    </row>
    <row r="56" spans="1:7">
      <c r="B56" s="317" t="s">
        <v>1509</v>
      </c>
      <c r="C56" s="319">
        <f ca="1">1-C57</f>
        <v>4.2000000000000037E-2</v>
      </c>
    </row>
    <row r="57" spans="1:7">
      <c r="B57" s="317" t="s">
        <v>1510</v>
      </c>
      <c r="C57" s="318">
        <f ca="1">ROUND(C51/C52,3)</f>
        <v>0.95799999999999996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875" style="295" customWidth="1"/>
    <col min="9" max="254" width="9" style="295" customWidth="1"/>
    <col min="255" max="16384" width="8.375" style="295"/>
  </cols>
  <sheetData>
    <row r="1" spans="1:8" s="244" customFormat="1" ht="20.25">
      <c r="A1" s="240" t="s">
        <v>2320</v>
      </c>
      <c r="B1" s="1939"/>
      <c r="C1" s="2554" t="s">
        <v>2422</v>
      </c>
      <c r="D1" s="242"/>
      <c r="E1" s="242"/>
      <c r="F1" s="242"/>
      <c r="G1" s="1381">
        <f>MATCH(B1,'数据-取费表'!A6:A16,0)+5</f>
        <v>10</v>
      </c>
      <c r="H1" s="1284" t="str">
        <f>IF(ISERROR(FIND("住宅",B1)),"非住宅","住宅")</f>
        <v>非住宅</v>
      </c>
    </row>
    <row r="2" spans="1:8" s="244" customFormat="1" ht="18" customHeight="1">
      <c r="A2" s="245" t="s">
        <v>2321</v>
      </c>
      <c r="B2" s="246">
        <f ca="1">ROUND(IF(D2="——",C52/10000,C52/10000-E2),0)</f>
        <v>157105</v>
      </c>
      <c r="C2" s="243" t="s">
        <v>2322</v>
      </c>
      <c r="D2" s="2548" t="s">
        <v>70</v>
      </c>
      <c r="E2" s="1442" t="e">
        <f ca="1">SUMIF(INDIRECT("'"&amp;G2&amp;"'"&amp;"!A:A"),"承租人权益价值",INDIRECT("'"&amp;G2&amp;"'"&amp;"!c:c"))</f>
        <v>#REF!</v>
      </c>
      <c r="F2" s="2549" t="s">
        <v>2322</v>
      </c>
      <c r="G2" s="2550"/>
    </row>
    <row r="3" spans="1:8" s="244" customFormat="1" ht="18" customHeight="1" thickBot="1">
      <c r="A3" s="247" t="s">
        <v>2323</v>
      </c>
      <c r="B3" s="248">
        <f ca="1">ROUND(B2*10000/(IF(B1="",'数据-汇总表'!E3,INDIRECT("'数据-取费表'!k"&amp;$G$1))),0)</f>
        <v>11435</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23029716</v>
      </c>
      <c r="D5" s="255" t="s">
        <v>2328</v>
      </c>
      <c r="E5" s="256" t="s">
        <v>2329</v>
      </c>
      <c r="F5" s="256" t="s">
        <v>2330</v>
      </c>
      <c r="G5" s="257"/>
    </row>
    <row r="6" spans="1:8" s="258" customFormat="1" ht="13.5" customHeight="1">
      <c r="A6" s="951" t="s">
        <v>2331</v>
      </c>
      <c r="B6" s="259" t="s">
        <v>2332</v>
      </c>
      <c r="C6" s="260"/>
      <c r="D6" s="261"/>
      <c r="E6" s="262"/>
      <c r="F6" s="262"/>
      <c r="G6" s="263"/>
    </row>
    <row r="7" spans="1:8" s="258" customFormat="1" ht="13.5" customHeight="1">
      <c r="A7" s="951" t="s">
        <v>2333</v>
      </c>
      <c r="B7" s="259" t="s">
        <v>2334</v>
      </c>
      <c r="C7" s="264">
        <f>ROUND(C6*F7,0)</f>
        <v>0</v>
      </c>
      <c r="D7" s="264"/>
      <c r="E7" s="262"/>
      <c r="F7" s="265">
        <f>'数据-取费表'!B48+'数据-取费表'!B49</f>
        <v>3.0499999999999999E-2</v>
      </c>
      <c r="G7" s="263"/>
    </row>
    <row r="8" spans="1:8" s="267" customFormat="1">
      <c r="A8" s="951" t="s">
        <v>2335</v>
      </c>
      <c r="B8" s="259" t="s">
        <v>2336</v>
      </c>
      <c r="C8" s="264">
        <f ca="1">IF(G8="已包含在土地购买价格中",0,C9+C10)</f>
        <v>23029716</v>
      </c>
      <c r="D8" s="266"/>
      <c r="E8" s="264"/>
      <c r="F8" s="265"/>
      <c r="G8" s="2551"/>
    </row>
    <row r="9" spans="1:8" s="258" customFormat="1" ht="13.5" customHeight="1">
      <c r="A9" s="952" t="s">
        <v>800</v>
      </c>
      <c r="B9" s="268" t="s">
        <v>2337</v>
      </c>
      <c r="C9" s="269">
        <f ca="1">ROUND(D9*E9,0)</f>
        <v>21480144</v>
      </c>
      <c r="D9" s="1034">
        <f ca="1">IF(B1="",'数据-汇总表'!E5,IF(INDIRECT("'数据-取费表'!c"&amp;$G$1)="住宅",INDIRECT("'数据-取费表'!k"&amp;$G$1),0))</f>
        <v>130182.69</v>
      </c>
      <c r="E9" s="269">
        <f>'数据-取费表'!B27</f>
        <v>165</v>
      </c>
      <c r="F9" s="265"/>
      <c r="G9" s="270"/>
    </row>
    <row r="10" spans="1:8" s="258" customFormat="1" ht="13.5" customHeight="1">
      <c r="A10" s="952" t="s">
        <v>801</v>
      </c>
      <c r="B10" s="268" t="s">
        <v>2339</v>
      </c>
      <c r="C10" s="269">
        <f ca="1">ROUND(D10*E10,0)</f>
        <v>1549572</v>
      </c>
      <c r="D10" s="1034">
        <f ca="1">IF(B1="",'数据-汇总表'!E6,IF(INDIRECT("'数据-取费表'!c"&amp;$G$1)="住宅",INDIRECT("'数据-取费表'!s"&amp;$G$1),INDIRECT("'数据-取费表'!k"&amp;$G$1)+INDIRECT("'数据-取费表'!s"&amp;$G$1)))</f>
        <v>7207.3099999999977</v>
      </c>
      <c r="E10" s="269">
        <f>'数据-取费表'!B28</f>
        <v>215</v>
      </c>
      <c r="F10" s="265"/>
      <c r="G10" s="270"/>
    </row>
    <row r="11" spans="1:8" s="258" customFormat="1" ht="13.5" hidden="1" customHeight="1">
      <c r="A11" s="271" t="s">
        <v>7</v>
      </c>
      <c r="B11" s="259" t="s">
        <v>2340</v>
      </c>
      <c r="C11" s="255"/>
      <c r="D11" s="1036"/>
      <c r="E11" s="262"/>
      <c r="F11" s="262"/>
      <c r="G11" s="263"/>
    </row>
    <row r="12" spans="1:8" s="258" customFormat="1" ht="13.5" hidden="1" customHeight="1">
      <c r="A12" s="271" t="s">
        <v>8</v>
      </c>
      <c r="B12" s="259" t="s">
        <v>2423</v>
      </c>
      <c r="C12" s="255">
        <v>0</v>
      </c>
      <c r="D12" s="1036"/>
      <c r="E12" s="272"/>
      <c r="F12" s="265">
        <v>3.0499999999999999E-2</v>
      </c>
      <c r="G12" s="263"/>
    </row>
    <row r="13" spans="1:8" s="258" customFormat="1" ht="13.5" hidden="1" customHeight="1">
      <c r="A13" s="271" t="s">
        <v>9</v>
      </c>
      <c r="B13" s="259" t="s">
        <v>2424</v>
      </c>
      <c r="C13" s="255"/>
      <c r="D13" s="1036"/>
      <c r="E13" s="262"/>
      <c r="F13" s="262"/>
      <c r="G13" s="263"/>
    </row>
    <row r="14" spans="1:8" s="258" customFormat="1" ht="13.5" hidden="1" customHeight="1">
      <c r="A14" s="271" t="s">
        <v>10</v>
      </c>
      <c r="B14" s="259" t="s">
        <v>2336</v>
      </c>
      <c r="C14" s="255"/>
      <c r="D14" s="1036"/>
      <c r="E14" s="262"/>
      <c r="F14" s="262"/>
      <c r="G14" s="263" t="s">
        <v>2425</v>
      </c>
    </row>
    <row r="15" spans="1:8" s="258" customFormat="1" ht="13.5" hidden="1" customHeight="1">
      <c r="A15" s="271" t="s">
        <v>11</v>
      </c>
      <c r="B15" s="259" t="s">
        <v>2426</v>
      </c>
      <c r="C15" s="264"/>
      <c r="D15" s="1036"/>
      <c r="E15" s="262"/>
      <c r="F15" s="262"/>
      <c r="G15" s="263" t="s">
        <v>2427</v>
      </c>
    </row>
    <row r="16" spans="1:8" s="258" customFormat="1" ht="13.5" hidden="1" customHeight="1">
      <c r="A16" s="271" t="s">
        <v>12</v>
      </c>
      <c r="B16" s="259" t="s">
        <v>2336</v>
      </c>
      <c r="C16" s="264"/>
      <c r="D16" s="1036"/>
      <c r="E16" s="262"/>
      <c r="F16" s="262"/>
      <c r="G16" s="263"/>
    </row>
    <row r="17" spans="1:7" s="258" customFormat="1" ht="13.5" hidden="1" customHeight="1">
      <c r="A17" s="271" t="s">
        <v>13</v>
      </c>
      <c r="B17" s="259" t="s">
        <v>2428</v>
      </c>
      <c r="C17" s="273"/>
      <c r="D17" s="1037"/>
      <c r="E17" s="273"/>
      <c r="F17" s="273"/>
      <c r="G17" s="263" t="s">
        <v>2427</v>
      </c>
    </row>
    <row r="18" spans="1:7" s="258" customFormat="1" ht="13.5" hidden="1" customHeight="1">
      <c r="A18" s="271" t="s">
        <v>14</v>
      </c>
      <c r="B18" s="259" t="s">
        <v>2429</v>
      </c>
      <c r="C18" s="264">
        <v>0</v>
      </c>
      <c r="D18" s="1036"/>
      <c r="E18" s="262"/>
      <c r="F18" s="265">
        <v>3.0499999999999999E-2</v>
      </c>
      <c r="G18" s="263" t="s">
        <v>2430</v>
      </c>
    </row>
    <row r="19" spans="1:7" s="267" customFormat="1" ht="13.5" customHeight="1">
      <c r="A19" s="299" t="s">
        <v>2431</v>
      </c>
      <c r="B19" s="254" t="s">
        <v>2432</v>
      </c>
      <c r="C19" s="255">
        <f ca="1">IF(G19="已包含在土地取得成本中","0",ROUND(D19*E19,0))</f>
        <v>27478000</v>
      </c>
      <c r="D19" s="1038">
        <f ca="1">D9+D10</f>
        <v>137390</v>
      </c>
      <c r="E19" s="255">
        <f>'数据-取费表'!B31</f>
        <v>200</v>
      </c>
      <c r="F19" s="275"/>
      <c r="G19" s="2551"/>
    </row>
    <row r="20" spans="1:7" s="258" customFormat="1" ht="13.5" customHeight="1">
      <c r="A20" s="299" t="s">
        <v>2433</v>
      </c>
      <c r="B20" s="254" t="s">
        <v>2434</v>
      </c>
      <c r="C20" s="276">
        <f ca="1">ROUND((C5+C19)*F20,0)</f>
        <v>1010154</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2">
        <f ca="1">ROUND(SUM(C23:C25),0)</f>
        <v>4960173</v>
      </c>
      <c r="D22" s="279">
        <f ca="1">C26</f>
        <v>1E-3</v>
      </c>
      <c r="E22" s="280" t="s">
        <v>2438</v>
      </c>
      <c r="F22" s="281">
        <f ca="1">'数据-取费表'!B40</f>
        <v>4.7500000000000001E-2</v>
      </c>
      <c r="G22" s="278" t="str">
        <f>IF('数据-取费表'!B22&lt;=1,"单利计息","复利计息")</f>
        <v>复利计息</v>
      </c>
    </row>
    <row r="23" spans="1:7" s="258" customFormat="1" ht="13.5" customHeight="1">
      <c r="A23" s="953" t="s">
        <v>2331</v>
      </c>
      <c r="B23" s="259" t="s">
        <v>2442</v>
      </c>
      <c r="C23" s="1383">
        <f ca="1">ROUND(IF('数据-取费表'!B22&lt;=1,C5*F22*'数据-取费表'!B22,C5*(POWER((1+F22),'数据-取费表'!B22)-1)),0)</f>
        <v>2239784</v>
      </c>
      <c r="D23" s="282"/>
      <c r="E23" s="282"/>
      <c r="F23" s="283"/>
      <c r="G23" s="284" t="s">
        <v>2443</v>
      </c>
    </row>
    <row r="24" spans="1:7" s="258" customFormat="1" ht="13.5" customHeight="1">
      <c r="A24" s="953" t="s">
        <v>2333</v>
      </c>
      <c r="B24" s="259" t="s">
        <v>2444</v>
      </c>
      <c r="C24" s="1383">
        <f ca="1">ROUND(IF('数据-取费表'!B22&lt;=1,C19*F22*('数据-取费表'!B19/2+'数据-取费表'!B20),C19*(POWER((1+F22),('数据-取费表'!B19/2+'数据-取费表'!B20))-1)),0)</f>
        <v>2672407</v>
      </c>
      <c r="D24" s="282"/>
      <c r="E24" s="282"/>
      <c r="F24" s="283"/>
      <c r="G24" s="284" t="s">
        <v>2445</v>
      </c>
    </row>
    <row r="25" spans="1:7" s="258" customFormat="1" ht="24">
      <c r="A25" s="953" t="s">
        <v>2335</v>
      </c>
      <c r="B25" s="259" t="s">
        <v>2446</v>
      </c>
      <c r="C25" s="1383">
        <f ca="1">ROUND(IF('数据-取费表'!B22&lt;=1,C20*F22*'数据-取费表'!B22/2,C20*(POWER((1+F22),'数据-取费表'!B22/2)-1)),0)</f>
        <v>47982</v>
      </c>
      <c r="D25" s="282"/>
      <c r="E25" s="285"/>
      <c r="F25" s="283"/>
      <c r="G25" s="286" t="s">
        <v>2447</v>
      </c>
    </row>
    <row r="26" spans="1:7" s="258" customFormat="1">
      <c r="A26" s="953" t="s">
        <v>795</v>
      </c>
      <c r="B26" s="259" t="s">
        <v>2370</v>
      </c>
      <c r="C26" s="282">
        <f ca="1">ROUND(IF('数据-取费表'!B22&lt;=1,F21*F22*'数据-取费表'!B22/2,F21*(POWER((1+F22),'数据-取费表'!B22/2)-1)),4)</f>
        <v>1E-3</v>
      </c>
      <c r="D26" s="282"/>
      <c r="E26" s="285"/>
      <c r="F26" s="283"/>
      <c r="G26" s="287"/>
    </row>
    <row r="27" spans="1:7" s="258" customFormat="1" ht="24.75">
      <c r="A27" s="299" t="s">
        <v>2371</v>
      </c>
      <c r="B27" s="288" t="s">
        <v>2372</v>
      </c>
      <c r="C27" s="289">
        <f ca="1">C28</f>
        <v>5151787</v>
      </c>
      <c r="D27" s="279">
        <f ca="1">C29</f>
        <v>2E-3</v>
      </c>
      <c r="E27" s="280" t="s">
        <v>2373</v>
      </c>
      <c r="F27" s="290">
        <f ca="1">IF(B1="",'数据-取费表'!Q16,INDIRECT("'数据-取费表'!q"&amp;$G$1))</f>
        <v>0.1</v>
      </c>
      <c r="G27" s="291" t="s">
        <v>2374</v>
      </c>
    </row>
    <row r="28" spans="1:7" s="258" customFormat="1" ht="13.5" customHeight="1">
      <c r="A28" s="953" t="s">
        <v>791</v>
      </c>
      <c r="B28" s="292" t="s">
        <v>2375</v>
      </c>
      <c r="C28" s="293">
        <f ca="1">ROUND((C5+C19+C20)*F27,0)</f>
        <v>5151787</v>
      </c>
      <c r="D28" s="279"/>
      <c r="E28" s="280"/>
      <c r="F28" s="290"/>
      <c r="G28" s="291"/>
    </row>
    <row r="29" spans="1:7" s="258" customFormat="1" ht="13.5" customHeight="1">
      <c r="A29" s="953" t="s">
        <v>792</v>
      </c>
      <c r="B29" s="292" t="s">
        <v>2376</v>
      </c>
      <c r="C29" s="282">
        <f ca="1">ROUND(C21*F27,4)</f>
        <v>2E-3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66720613</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1187191879</v>
      </c>
      <c r="D33" s="276"/>
      <c r="E33" s="256"/>
      <c r="F33" s="285"/>
      <c r="G33" s="278"/>
    </row>
    <row r="34" spans="1:7" s="302" customFormat="1" ht="13.5" customHeight="1">
      <c r="A34" s="953" t="s">
        <v>791</v>
      </c>
      <c r="B34" s="259" t="s">
        <v>2384</v>
      </c>
      <c r="C34" s="264">
        <f ca="1">ROUND(IF(B1="",SUMPRODUCT('数据-取费表'!K6:K14,'数据-取费表'!L6:L14),INDIRECT("'数据-取费表'!l"&amp;$G$1)*INDIRECT("'数据-取费表'!k"&amp;$G$1)+'数据-取费表'!L14*INDIRECT("'数据-取费表'!S"&amp;$G$1)),0)</f>
        <v>1079875630</v>
      </c>
      <c r="D34" s="261"/>
      <c r="E34" s="264"/>
      <c r="F34" s="301"/>
      <c r="G34" s="263"/>
    </row>
    <row r="35" spans="1:7" ht="13.5" customHeight="1">
      <c r="A35" s="953" t="s">
        <v>796</v>
      </c>
      <c r="B35" s="259" t="s">
        <v>2386</v>
      </c>
      <c r="C35" s="264">
        <f ca="1">ROUND(C34*F35,0)</f>
        <v>32396269</v>
      </c>
      <c r="D35" s="264"/>
      <c r="E35" s="264"/>
      <c r="F35" s="303">
        <f>'数据-取费表'!B33</f>
        <v>0.03</v>
      </c>
      <c r="G35" s="263" t="s">
        <v>2387</v>
      </c>
    </row>
    <row r="36" spans="1:7" ht="24">
      <c r="A36" s="953" t="s">
        <v>797</v>
      </c>
      <c r="B36" s="259" t="s">
        <v>2388</v>
      </c>
      <c r="C36" s="264">
        <f ca="1">ROUND(IF(B1="",SUM('数据-取费表'!AP6:AP13)*F36,IF(INDIRECT("'数据-取费表'!c"&amp;$G$1)="住宅",INDIRECT("'数据-取费表'!k"&amp;$G$1)*INDIRECT("'数据-取费表'!l"&amp;$G$1)*F36,0)),0)</f>
        <v>31243846</v>
      </c>
      <c r="D36" s="264"/>
      <c r="E36" s="264"/>
      <c r="F36" s="303">
        <f>'数据-取费表'!B34</f>
        <v>0.03</v>
      </c>
      <c r="G36" s="304" t="s">
        <v>2389</v>
      </c>
    </row>
    <row r="37" spans="1:7" s="302" customFormat="1" ht="13.5" customHeight="1">
      <c r="A37" s="953" t="s">
        <v>798</v>
      </c>
      <c r="B37" s="259" t="s">
        <v>2390</v>
      </c>
      <c r="C37" s="293">
        <f ca="1">ROUND(E37*D37,0)</f>
        <v>27478000</v>
      </c>
      <c r="D37" s="261">
        <f ca="1">D19</f>
        <v>137390</v>
      </c>
      <c r="E37" s="293">
        <f>'数据-取费表'!B35</f>
        <v>200</v>
      </c>
      <c r="F37" s="303"/>
      <c r="G37" s="305"/>
    </row>
    <row r="38" spans="1:7" ht="13.5" customHeight="1">
      <c r="A38" s="953" t="s">
        <v>799</v>
      </c>
      <c r="B38" s="259" t="s">
        <v>2392</v>
      </c>
      <c r="C38" s="264">
        <f ca="1">ROUND(C34*F38,0)</f>
        <v>16198134</v>
      </c>
      <c r="D38" s="264"/>
      <c r="E38" s="264"/>
      <c r="F38" s="303">
        <f>'数据-取费表'!B36</f>
        <v>1.4999999999999999E-2</v>
      </c>
      <c r="G38" s="263" t="s">
        <v>2387</v>
      </c>
    </row>
    <row r="39" spans="1:7" s="258" customFormat="1" ht="13.5" customHeight="1">
      <c r="A39" s="299" t="s">
        <v>2393</v>
      </c>
      <c r="B39" s="254" t="s">
        <v>2394</v>
      </c>
      <c r="C39" s="276">
        <f ca="1">ROUND(C33*F20,0)</f>
        <v>23743838</v>
      </c>
      <c r="D39" s="276"/>
      <c r="E39" s="276"/>
      <c r="F39" s="277"/>
      <c r="G39" s="278" t="s">
        <v>2395</v>
      </c>
    </row>
    <row r="40" spans="1:7" s="258" customFormat="1" ht="13.5" customHeight="1">
      <c r="A40" s="299" t="s">
        <v>2396</v>
      </c>
      <c r="B40" s="254" t="s">
        <v>2397</v>
      </c>
      <c r="C40" s="1730">
        <f>F21</f>
        <v>0.02</v>
      </c>
      <c r="D40" s="280" t="s">
        <v>2398</v>
      </c>
      <c r="E40" s="276"/>
      <c r="F40" s="277"/>
      <c r="G40" s="278" t="s">
        <v>2399</v>
      </c>
    </row>
    <row r="41" spans="1:7" s="258" customFormat="1" ht="13.5" customHeight="1">
      <c r="A41" s="299" t="s">
        <v>2400</v>
      </c>
      <c r="B41" s="254" t="s">
        <v>2401</v>
      </c>
      <c r="C41" s="276">
        <f ca="1">ROUND(SUM(C42:C43),0)</f>
        <v>57519446</v>
      </c>
      <c r="D41" s="279">
        <f ca="1">C44</f>
        <v>1E-3</v>
      </c>
      <c r="E41" s="280" t="s">
        <v>2398</v>
      </c>
      <c r="F41" s="281"/>
      <c r="G41" s="278" t="str">
        <f>IF('数据-取费表'!B22&lt;=1,"单利计息","复利计息")</f>
        <v>复利计息</v>
      </c>
    </row>
    <row r="42" spans="1:7" ht="13.5" customHeight="1">
      <c r="A42" s="953" t="s">
        <v>791</v>
      </c>
      <c r="B42" s="259" t="s">
        <v>2402</v>
      </c>
      <c r="C42" s="282">
        <f ca="1">ROUND(IF('数据-取费表'!B22&lt;=1,C33*F22*'数据-取费表'!B20/2,C33*(POWER((1+F22),'数据-取费表'!B20/2)-1)),0)</f>
        <v>56391614</v>
      </c>
      <c r="D42" s="282"/>
      <c r="E42" s="282"/>
      <c r="F42" s="283"/>
      <c r="G42" s="3302" t="s">
        <v>2450</v>
      </c>
    </row>
    <row r="43" spans="1:7" ht="13.5" customHeight="1">
      <c r="A43" s="953" t="s">
        <v>792</v>
      </c>
      <c r="B43" s="259" t="s">
        <v>2404</v>
      </c>
      <c r="C43" s="282">
        <f ca="1">ROUND(IF('数据-取费表'!B22&lt;=1,C39*F22*'数据-取费表'!B20/2,C39*(POWER((1+F22),'数据-取费表'!B20/2)-1)),0)</f>
        <v>1127832</v>
      </c>
      <c r="D43" s="282"/>
      <c r="E43" s="282"/>
      <c r="F43" s="283"/>
      <c r="G43" s="3303"/>
    </row>
    <row r="44" spans="1:7" ht="13.5" customHeight="1">
      <c r="A44" s="953" t="s">
        <v>793</v>
      </c>
      <c r="B44" s="259" t="s">
        <v>2405</v>
      </c>
      <c r="C44" s="282">
        <f ca="1">ROUND(IF('数据-取费表'!B22&lt;=1,C40*F22*'数据-取费表'!B20/2,C40*(POWER((1+F22),'数据-取费表'!B20/2)-1)),4)</f>
        <v>1E-3</v>
      </c>
      <c r="D44" s="282"/>
      <c r="E44" s="282"/>
      <c r="F44" s="283"/>
      <c r="G44" s="3304"/>
    </row>
    <row r="45" spans="1:7" s="258" customFormat="1" ht="13.5" customHeight="1">
      <c r="A45" s="299" t="s">
        <v>2406</v>
      </c>
      <c r="B45" s="288" t="s">
        <v>2372</v>
      </c>
      <c r="C45" s="289">
        <f ca="1">C46</f>
        <v>121093572</v>
      </c>
      <c r="D45" s="279">
        <f ca="1">C47</f>
        <v>2E-3</v>
      </c>
      <c r="E45" s="280" t="s">
        <v>2398</v>
      </c>
      <c r="F45" s="290"/>
      <c r="G45" s="291" t="s">
        <v>2407</v>
      </c>
    </row>
    <row r="46" spans="1:7" s="258" customFormat="1" ht="13.5" customHeight="1">
      <c r="A46" s="953" t="s">
        <v>791</v>
      </c>
      <c r="B46" s="292" t="s">
        <v>2408</v>
      </c>
      <c r="C46" s="293">
        <f ca="1">ROUND((C33+C39)*F27,0)</f>
        <v>121093572</v>
      </c>
      <c r="D46" s="307"/>
      <c r="E46" s="280"/>
      <c r="F46" s="290"/>
      <c r="G46" s="291"/>
    </row>
    <row r="47" spans="1:7" s="258" customFormat="1" ht="13.5" customHeight="1">
      <c r="A47" s="953" t="s">
        <v>792</v>
      </c>
      <c r="B47" s="292" t="s">
        <v>2409</v>
      </c>
      <c r="C47" s="282">
        <f ca="1">ROUND(C40*F27,4)</f>
        <v>2E-3</v>
      </c>
      <c r="D47" s="307"/>
      <c r="E47" s="280"/>
      <c r="F47" s="290"/>
      <c r="G47" s="291"/>
    </row>
    <row r="48" spans="1:7"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1504329041</v>
      </c>
      <c r="D49" s="276"/>
      <c r="E49" s="276"/>
      <c r="F49" s="308"/>
      <c r="G49" s="278" t="s">
        <v>2413</v>
      </c>
    </row>
    <row r="50" spans="1:7" s="302" customFormat="1">
      <c r="A50" s="299" t="s">
        <v>2414</v>
      </c>
      <c r="B50" s="254" t="s">
        <v>2415</v>
      </c>
      <c r="C50" s="276"/>
      <c r="D50" s="276"/>
      <c r="E50" s="276"/>
      <c r="F50" s="308">
        <f>IF('数据-取费表'!B24=0,'数据-取费表'!N16,1)</f>
        <v>1</v>
      </c>
      <c r="G50" s="291"/>
    </row>
    <row r="51" spans="1:7" ht="16.5" customHeight="1">
      <c r="A51" s="299" t="s">
        <v>2417</v>
      </c>
      <c r="B51" s="254" t="s">
        <v>2452</v>
      </c>
      <c r="C51" s="276">
        <f ca="1">ROUND(C49*F50,0)</f>
        <v>1504329041</v>
      </c>
      <c r="D51" s="276"/>
      <c r="E51" s="276"/>
      <c r="F51" s="308"/>
      <c r="G51" s="278" t="s">
        <v>2419</v>
      </c>
    </row>
    <row r="52" spans="1:7" s="252" customFormat="1" ht="16.5" thickBot="1">
      <c r="A52" s="309" t="s">
        <v>2420</v>
      </c>
      <c r="B52" s="310"/>
      <c r="C52" s="311">
        <f ca="1">C31+C51</f>
        <v>1571049654</v>
      </c>
      <c r="D52" s="310"/>
      <c r="E52" s="310"/>
      <c r="F52" s="310"/>
      <c r="G52" s="312"/>
    </row>
    <row r="55" spans="1:7" ht="15">
      <c r="B55" s="314" t="s">
        <v>2421</v>
      </c>
      <c r="C55" s="315"/>
    </row>
    <row r="56" spans="1:7">
      <c r="B56" s="317" t="s">
        <v>1509</v>
      </c>
      <c r="C56" s="319">
        <f ca="1">1-C57</f>
        <v>4.2000000000000037E-2</v>
      </c>
    </row>
    <row r="57" spans="1:7">
      <c r="B57" s="317" t="s">
        <v>1510</v>
      </c>
      <c r="C57" s="318">
        <f ca="1">ROUND(C51/C52,3)</f>
        <v>0.95799999999999996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activeCell="C40" sqref="C40"/>
    </sheetView>
  </sheetViews>
  <sheetFormatPr defaultColWidth="6.625" defaultRowHeight="12.75"/>
  <cols>
    <col min="1" max="1" width="9.875" style="798" customWidth="1"/>
    <col min="2" max="2" width="25.875" style="954" customWidth="1"/>
    <col min="3" max="3" width="10.375" style="997" customWidth="1"/>
    <col min="4" max="4" width="9.875" style="954" customWidth="1"/>
    <col min="5" max="5" width="9.5" style="798" customWidth="1"/>
    <col min="6" max="6" width="10.125" style="954" customWidth="1"/>
    <col min="7" max="7" width="10.8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2453</v>
      </c>
      <c r="B1" s="1583"/>
      <c r="C1" s="1584"/>
      <c r="D1" s="1582"/>
      <c r="E1" s="320"/>
      <c r="F1" s="320"/>
      <c r="G1" s="1583"/>
      <c r="H1" s="320"/>
      <c r="I1" s="320"/>
      <c r="J1" s="320"/>
      <c r="K1" s="320">
        <f>MATCH(C1,'数据-取费表'!A6:A16,0)+5</f>
        <v>10</v>
      </c>
    </row>
    <row r="2" spans="1:33" ht="18" customHeight="1">
      <c r="A2" s="245" t="s">
        <v>2321</v>
      </c>
      <c r="B2" s="248">
        <f ca="1">C32</f>
        <v>0</v>
      </c>
      <c r="C2" s="320" t="s">
        <v>2454</v>
      </c>
      <c r="D2" s="320"/>
      <c r="E2" s="320"/>
      <c r="F2" s="320"/>
      <c r="G2" s="320"/>
      <c r="H2" s="320"/>
      <c r="I2" s="320"/>
      <c r="J2" s="320"/>
      <c r="K2" s="320"/>
    </row>
    <row r="3" spans="1:33" ht="18" customHeight="1" thickBot="1">
      <c r="A3" s="247" t="s">
        <v>2323</v>
      </c>
      <c r="B3" s="248">
        <f ca="1">ROUND(B2*10000/IF(C1="",'数据-汇总表'!E3,INDIRECT("'数据-取费表'!K"&amp;$K$1)),0)</f>
        <v>0</v>
      </c>
      <c r="C3" s="320" t="s">
        <v>2455</v>
      </c>
      <c r="D3" s="320"/>
      <c r="E3" s="320"/>
      <c r="F3" s="320"/>
      <c r="G3" s="320"/>
      <c r="H3" s="320"/>
      <c r="I3" s="320"/>
      <c r="J3" s="320"/>
      <c r="K3" s="320"/>
    </row>
    <row r="4" spans="1:33" s="958" customFormat="1" ht="16.5" customHeight="1">
      <c r="A4" s="955" t="s">
        <v>2456</v>
      </c>
      <c r="B4" s="956"/>
      <c r="C4" s="998">
        <f>SUM(C8:K8)</f>
        <v>0</v>
      </c>
      <c r="D4" s="956"/>
      <c r="E4" s="956"/>
      <c r="F4" s="956"/>
      <c r="G4" s="956"/>
      <c r="H4" s="956"/>
      <c r="I4" s="956"/>
      <c r="J4" s="956"/>
      <c r="K4" s="957"/>
    </row>
    <row r="5" spans="1:33" s="962" customFormat="1" ht="24.75">
      <c r="A5" s="959" t="s">
        <v>2457</v>
      </c>
      <c r="B5" s="960" t="s">
        <v>2458</v>
      </c>
      <c r="C5" s="2555" t="s">
        <v>2459</v>
      </c>
      <c r="D5" s="2555" t="s">
        <v>2460</v>
      </c>
      <c r="E5" s="2555" t="s">
        <v>2461</v>
      </c>
      <c r="F5" s="2555"/>
      <c r="G5" s="2555"/>
      <c r="H5" s="2555"/>
      <c r="I5" s="2555"/>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2462</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2465</v>
      </c>
      <c r="B8" s="177" t="s">
        <v>2466</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2467</v>
      </c>
      <c r="B9" s="956"/>
      <c r="C9" s="956"/>
      <c r="D9" s="956"/>
      <c r="E9" s="956"/>
      <c r="F9" s="956"/>
      <c r="G9" s="956"/>
      <c r="H9" s="956"/>
      <c r="I9" s="956"/>
      <c r="J9" s="956"/>
      <c r="K9" s="957"/>
    </row>
    <row r="10" spans="1:33" s="972" customFormat="1" ht="13.5" customHeight="1">
      <c r="A10" s="959" t="s">
        <v>2468</v>
      </c>
      <c r="B10" s="8" t="s">
        <v>2469</v>
      </c>
      <c r="C10" s="968" t="s">
        <v>2470</v>
      </c>
      <c r="D10" s="969" t="s">
        <v>2471</v>
      </c>
      <c r="E10" s="969" t="s">
        <v>2472</v>
      </c>
      <c r="F10" s="969" t="s">
        <v>2473</v>
      </c>
      <c r="G10" s="8"/>
      <c r="H10" s="970"/>
      <c r="I10" s="970"/>
      <c r="J10" s="970"/>
      <c r="K10" s="971"/>
    </row>
    <row r="11" spans="1:33" s="977" customFormat="1" ht="13.5" customHeight="1">
      <c r="A11" s="973" t="s">
        <v>1330</v>
      </c>
      <c r="B11" s="974" t="s">
        <v>2474</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1331</v>
      </c>
      <c r="B12" s="974" t="s">
        <v>2475</v>
      </c>
      <c r="C12" s="24">
        <f ca="1">ROUND(C11*F12,0)</f>
        <v>0</v>
      </c>
      <c r="D12" s="975"/>
      <c r="E12" s="375"/>
      <c r="F12" s="978">
        <f>'数据-取费表'!B33</f>
        <v>0.03</v>
      </c>
      <c r="G12" s="8" t="s">
        <v>2476</v>
      </c>
      <c r="H12" s="970"/>
      <c r="I12" s="970"/>
      <c r="J12" s="970"/>
      <c r="K12" s="971"/>
    </row>
    <row r="13" spans="1:33" s="977" customFormat="1" ht="13.5" customHeight="1">
      <c r="A13" s="973" t="s">
        <v>1332</v>
      </c>
      <c r="B13" s="974" t="s">
        <v>2477</v>
      </c>
      <c r="C13" s="24">
        <f ca="1">ROUND(IF(C1="",SUMIF('数据-取费表'!C:C,"住宅",'数据-取费表'!P:P)*F13,IF(INDIRECT("'数据-取费表'!c"&amp;$K$1)="住宅",INDIRECT("'数据-取费表'!P"&amp;$K$1)*F13,0)),0)</f>
        <v>0</v>
      </c>
      <c r="D13" s="1035"/>
      <c r="E13" s="375"/>
      <c r="F13" s="978">
        <f>'数据-取费表'!B34</f>
        <v>0.03</v>
      </c>
      <c r="G13" s="8" t="s">
        <v>2478</v>
      </c>
      <c r="H13" s="970"/>
      <c r="I13" s="970"/>
      <c r="J13" s="970"/>
      <c r="K13" s="971"/>
    </row>
    <row r="14" spans="1:33" s="979" customFormat="1" ht="13.5" customHeight="1">
      <c r="A14" s="973" t="s">
        <v>1333</v>
      </c>
      <c r="B14" s="974" t="s">
        <v>2479</v>
      </c>
      <c r="C14" s="24">
        <f ca="1">ROUND(D14*E14*F11/10000,0)</f>
        <v>0</v>
      </c>
      <c r="D14" s="1035">
        <f ca="1">IF(C1="",'数据-汇总表'!E3,INDIRECT("'数据-取费表'!K"&amp;$K$1)+INDIRECT("'数据-取费表'!S"&amp;$K$1))</f>
        <v>137390</v>
      </c>
      <c r="E14" s="24">
        <f>'数据-取费表'!B35</f>
        <v>200</v>
      </c>
      <c r="F14" s="978"/>
      <c r="G14" s="8" t="s">
        <v>2480</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2481</v>
      </c>
      <c r="C15" s="985">
        <f ca="1">ROUND(C11*F15,0)</f>
        <v>0</v>
      </c>
      <c r="D15" s="980"/>
      <c r="E15" s="985"/>
      <c r="F15" s="986">
        <f>'数据-取费表'!B36</f>
        <v>1.4999999999999999E-2</v>
      </c>
      <c r="G15" s="140" t="s">
        <v>2482</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2483</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2484</v>
      </c>
      <c r="C17" s="24">
        <f ca="1">ROUND(D17*E17/10000,0)</f>
        <v>0</v>
      </c>
      <c r="D17" s="1035">
        <f ca="1">D14</f>
        <v>137390</v>
      </c>
      <c r="E17" s="24">
        <f>'数据-取费表'!B32</f>
        <v>0</v>
      </c>
      <c r="F17" s="980"/>
      <c r="G17" s="140" t="s">
        <v>2485</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2486</v>
      </c>
      <c r="C18" s="24">
        <f ca="1">C19+C20-IF(C1="",'数据-取费表'!B29,IF(G18="已全部缴纳",C19+C20,H18))</f>
        <v>0</v>
      </c>
      <c r="D18" s="1035"/>
      <c r="E18" s="24"/>
      <c r="F18" s="978"/>
      <c r="G18" s="2557"/>
      <c r="H18" s="1579"/>
      <c r="I18" s="2558" t="s">
        <v>2487</v>
      </c>
      <c r="J18" s="981"/>
      <c r="K18" s="982"/>
    </row>
    <row r="19" spans="1:33" s="977" customFormat="1" ht="13.5" customHeight="1">
      <c r="A19" s="973" t="s">
        <v>805</v>
      </c>
      <c r="B19" s="974" t="s">
        <v>2488</v>
      </c>
      <c r="C19" s="24">
        <f ca="1">ROUND(D19*E19/10000,0)</f>
        <v>2148</v>
      </c>
      <c r="D19" s="1035">
        <f ca="1">IF(C1="",'数据-汇总表'!E5,IF(INDIRECT("'数据-取费表'!c"&amp;$K$1)="住宅",INDIRECT("'数据-取费表'!k"&amp;$K$1),0))</f>
        <v>130182.69</v>
      </c>
      <c r="E19" s="24">
        <f>'数据-取费表'!B27</f>
        <v>165</v>
      </c>
      <c r="F19" s="978"/>
      <c r="G19" s="15"/>
      <c r="H19" s="1581"/>
      <c r="I19" s="983"/>
      <c r="J19" s="983"/>
      <c r="K19" s="984"/>
    </row>
    <row r="20" spans="1:33" s="977" customFormat="1" ht="13.5" customHeight="1">
      <c r="A20" s="973" t="s">
        <v>806</v>
      </c>
      <c r="B20" s="974" t="s">
        <v>2489</v>
      </c>
      <c r="C20" s="24">
        <f ca="1">ROUND(D20*E20/10000,0)</f>
        <v>155</v>
      </c>
      <c r="D20" s="1035">
        <f ca="1">IF(C1="",'数据-汇总表'!E6,IF(INDIRECT("'数据-取费表'!c"&amp;$K$1)="住宅",INDIRECT("'数据-取费表'!s"&amp;$K$1),INDIRECT("'数据-取费表'!k"&amp;$K$1)+INDIRECT("'数据-取费表'!s"&amp;$K$1)))</f>
        <v>7207.3099999999977</v>
      </c>
      <c r="E20" s="24">
        <f>'数据-取费表'!B28</f>
        <v>215</v>
      </c>
      <c r="F20" s="978"/>
      <c r="G20" s="15"/>
      <c r="H20" s="983"/>
      <c r="I20" s="983"/>
      <c r="J20" s="983"/>
      <c r="K20" s="984"/>
    </row>
    <row r="21" spans="1:33" s="977" customFormat="1" ht="13.5" customHeight="1">
      <c r="A21" s="963" t="s">
        <v>802</v>
      </c>
      <c r="B21" s="987" t="s">
        <v>2490</v>
      </c>
      <c r="C21" s="988">
        <f ca="1">C16+C17+C18</f>
        <v>0</v>
      </c>
      <c r="D21" s="989"/>
      <c r="E21" s="325"/>
      <c r="F21" s="325"/>
      <c r="G21" s="140" t="s">
        <v>2491</v>
      </c>
      <c r="H21" s="981"/>
      <c r="I21" s="981"/>
      <c r="J21" s="981"/>
      <c r="K21" s="982"/>
    </row>
    <row r="22" spans="1:33" s="977" customFormat="1" ht="13.5" customHeight="1">
      <c r="A22" s="963" t="s">
        <v>2463</v>
      </c>
      <c r="B22" s="987" t="s">
        <v>2492</v>
      </c>
      <c r="C22" s="988">
        <f ca="1">ROUND(C21*F22,0)</f>
        <v>0</v>
      </c>
      <c r="D22" s="325"/>
      <c r="E22" s="325"/>
      <c r="F22" s="990">
        <f>'数据-取费表'!B37</f>
        <v>0.02</v>
      </c>
      <c r="G22" s="8" t="s">
        <v>2493</v>
      </c>
      <c r="H22" s="970"/>
      <c r="I22" s="970"/>
      <c r="J22" s="970"/>
      <c r="K22" s="971"/>
    </row>
    <row r="23" spans="1:33" s="977" customFormat="1" ht="13.5" customHeight="1">
      <c r="A23" s="963" t="s">
        <v>2465</v>
      </c>
      <c r="B23" s="987" t="s">
        <v>2494</v>
      </c>
      <c r="C23" s="988">
        <f ca="1">ROUND(C4*F23*F11,0)</f>
        <v>0</v>
      </c>
      <c r="D23" s="325"/>
      <c r="E23" s="325"/>
      <c r="F23" s="990">
        <f>'数据-取费表'!B38</f>
        <v>0.02</v>
      </c>
      <c r="G23" s="8" t="s">
        <v>2495</v>
      </c>
      <c r="H23" s="970"/>
      <c r="I23" s="970"/>
      <c r="J23" s="970"/>
      <c r="K23" s="971"/>
    </row>
    <row r="24" spans="1:33" s="977" customFormat="1" ht="13.5" customHeight="1">
      <c r="A24" s="963" t="s">
        <v>2496</v>
      </c>
      <c r="B24" s="987" t="s">
        <v>2497</v>
      </c>
      <c r="C24" s="324">
        <f>ROUND(F24/(1+'数据-取费表'!C42),4)</f>
        <v>2.9000000000000001E-2</v>
      </c>
      <c r="D24" s="325" t="s">
        <v>15</v>
      </c>
      <c r="E24" s="325"/>
      <c r="F24" s="990">
        <f>'数据-取费表'!B48+'数据-取费表'!B49</f>
        <v>3.0499999999999999E-2</v>
      </c>
      <c r="G24" s="8" t="s">
        <v>2498</v>
      </c>
      <c r="H24" s="992"/>
      <c r="I24" s="992"/>
      <c r="J24" s="992"/>
      <c r="K24" s="993"/>
    </row>
    <row r="25" spans="1:33" s="977" customFormat="1" ht="13.5" customHeight="1">
      <c r="A25" s="963" t="s">
        <v>2499</v>
      </c>
      <c r="B25" s="989" t="s">
        <v>2500</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2501</v>
      </c>
      <c r="C26" s="1359">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2502</v>
      </c>
      <c r="C27" s="1360">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1"/>
      <c r="I27" s="981"/>
      <c r="J27" s="981"/>
      <c r="K27" s="982"/>
    </row>
    <row r="28" spans="1:33" s="333" customFormat="1" ht="13.5" customHeight="1">
      <c r="A28" s="963" t="s">
        <v>2503</v>
      </c>
      <c r="B28" s="2560" t="s">
        <v>2504</v>
      </c>
      <c r="C28" s="331">
        <f ca="1">C30</f>
        <v>0</v>
      </c>
      <c r="D28" s="324">
        <f ca="1">C29</f>
        <v>0</v>
      </c>
      <c r="E28" s="326" t="s">
        <v>15</v>
      </c>
      <c r="F28" s="332">
        <f ca="1">IF(C1="",'数据-取费表'!Q16,INDIRECT("'数据-取费表'!q"&amp;$K$1))</f>
        <v>0.1</v>
      </c>
      <c r="G28" s="991"/>
      <c r="H28" s="992"/>
      <c r="I28" s="992"/>
      <c r="J28" s="992"/>
      <c r="K28" s="993"/>
    </row>
    <row r="29" spans="1:33" s="335" customFormat="1" ht="13.5" customHeight="1">
      <c r="A29" s="973" t="s">
        <v>803</v>
      </c>
      <c r="B29" s="996" t="s">
        <v>2505</v>
      </c>
      <c r="C29" s="328">
        <f ca="1">ROUND((1+C24)*F28*'数据-取费表'!B24/'数据-取费表'!B20,4)</f>
        <v>0</v>
      </c>
      <c r="D29" s="328"/>
      <c r="E29" s="329"/>
      <c r="F29" s="334"/>
      <c r="G29" s="140" t="s">
        <v>2506</v>
      </c>
      <c r="H29" s="981"/>
      <c r="I29" s="981"/>
      <c r="J29" s="981"/>
      <c r="K29" s="982"/>
    </row>
    <row r="30" spans="1:33" s="335" customFormat="1" ht="13.5" customHeight="1">
      <c r="A30" s="973" t="s">
        <v>804</v>
      </c>
      <c r="B30" s="996" t="s">
        <v>2507</v>
      </c>
      <c r="C30" s="336">
        <f ca="1">ROUND((C21+C22+C23)*F28,0)</f>
        <v>0</v>
      </c>
      <c r="D30" s="328"/>
      <c r="E30" s="329"/>
      <c r="F30" s="334"/>
      <c r="G30" s="140"/>
      <c r="H30" s="981"/>
      <c r="I30" s="981"/>
      <c r="J30" s="981"/>
      <c r="K30" s="982"/>
    </row>
    <row r="31" spans="1:33" s="977" customFormat="1" ht="13.5" customHeight="1" thickBot="1">
      <c r="A31" s="2561" t="s">
        <v>2508</v>
      </c>
      <c r="B31" s="1007" t="s">
        <v>2509</v>
      </c>
      <c r="C31" s="1008">
        <f>ROUND(C4*F31/(1+'数据-取费表'!C42),0)</f>
        <v>0</v>
      </c>
      <c r="D31" s="1009"/>
      <c r="E31" s="1010"/>
      <c r="F31" s="1011">
        <f>'数据-取费表'!B41</f>
        <v>5.6000000000000001E-2</v>
      </c>
      <c r="G31" s="1012" t="s">
        <v>2510</v>
      </c>
      <c r="H31" s="1013"/>
      <c r="I31" s="1013"/>
      <c r="J31" s="1013"/>
      <c r="K31" s="1014"/>
    </row>
    <row r="32" spans="1:33" s="972" customFormat="1" ht="13.5" customHeight="1" thickBot="1">
      <c r="A32" s="1002" t="s">
        <v>2511</v>
      </c>
      <c r="B32" s="1003"/>
      <c r="C32" s="1004">
        <f ca="1">ROUND((C4-C21-C22-C23-C25-C28-C31)/(1+C24+D25+D28),0)</f>
        <v>0</v>
      </c>
      <c r="D32" s="1003"/>
      <c r="E32" s="1003"/>
      <c r="F32" s="1003"/>
      <c r="G32" s="1005" t="s">
        <v>2512</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topLeftCell="A10" zoomScale="80" zoomScaleNormal="80" zoomScalePageLayoutView="90" workbookViewId="0">
      <selection activeCell="K42" sqref="K42"/>
    </sheetView>
  </sheetViews>
  <sheetFormatPr defaultColWidth="9" defaultRowHeight="14.25"/>
  <cols>
    <col min="1" max="1" width="10.5" style="403" customWidth="1"/>
    <col min="2" max="2" width="15.87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125" style="496" customWidth="1"/>
    <col min="13" max="15" width="12.125" style="403" customWidth="1"/>
    <col min="16" max="16" width="4.875" style="2624"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31" customFormat="1" ht="28.5" customHeight="1" thickBot="1">
      <c r="A1" s="1620" t="s">
        <v>2522</v>
      </c>
      <c r="B1" s="2583" t="s">
        <v>2523</v>
      </c>
      <c r="C1" s="1636" t="s">
        <v>2524</v>
      </c>
      <c r="D1" s="1623" t="s">
        <v>3075</v>
      </c>
      <c r="E1" s="2584"/>
      <c r="F1" s="2585" t="s">
        <v>2525</v>
      </c>
      <c r="G1" s="1633" t="s">
        <v>2526</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3" customFormat="1" ht="28.5" customHeight="1" thickTop="1">
      <c r="A2" s="1619" t="s">
        <v>1390</v>
      </c>
      <c r="B2" s="1420">
        <f>IF(C2="——",ROUND(C49*D3/10000,0),ROUND(C49*D3/10000,0)-D2)</f>
        <v>1098729</v>
      </c>
      <c r="C2" s="2587" t="s">
        <v>70</v>
      </c>
      <c r="D2" s="1367" t="e">
        <f ca="1">SUMIF(INDIRECT("'"&amp;F2&amp;"'"&amp;"!A:A"),"承租人权益价值",INDIRECT("'"&amp;F2&amp;"'"&amp;"!c:c"))</f>
        <v>#REF!</v>
      </c>
      <c r="E2" s="2588" t="s">
        <v>2527</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f>IF(C2="——",C49,ROUND(B2*10000/D3,0))</f>
        <v>84399</v>
      </c>
      <c r="C3" s="400" t="s">
        <v>2528</v>
      </c>
      <c r="D3" s="399">
        <f>IF(D1="",'数据-汇总表'!E3,SUMIF('数据-汇总表'!$C19:$C33,D1,'数据-汇总表'!$E19:$E33))</f>
        <v>130182.69</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75" thickBot="1">
      <c r="A4" s="401" t="s">
        <v>2529</v>
      </c>
      <c r="B4" s="402"/>
      <c r="C4" s="3325" t="s">
        <v>2530</v>
      </c>
      <c r="D4" s="3326"/>
      <c r="E4" s="3327" t="s">
        <v>2531</v>
      </c>
      <c r="F4" s="3328"/>
      <c r="G4" s="3329" t="s">
        <v>2532</v>
      </c>
      <c r="H4" s="3330"/>
      <c r="I4" s="3325" t="s">
        <v>2533</v>
      </c>
      <c r="J4" s="3326"/>
      <c r="K4" s="2597" t="s">
        <v>2534</v>
      </c>
      <c r="L4" s="1132"/>
      <c r="M4" s="1133"/>
      <c r="N4" s="1133"/>
      <c r="O4" s="1133"/>
      <c r="P4" s="3331" t="s">
        <v>2535</v>
      </c>
      <c r="Q4" s="3332"/>
      <c r="R4" s="3310" t="s">
        <v>2531</v>
      </c>
      <c r="S4" s="3311"/>
      <c r="T4" s="3310" t="s">
        <v>2532</v>
      </c>
      <c r="U4" s="3311"/>
      <c r="V4" s="3339" t="s">
        <v>2533</v>
      </c>
      <c r="W4" s="3339"/>
      <c r="X4" s="1815"/>
      <c r="Y4" s="3310" t="s">
        <v>2535</v>
      </c>
      <c r="Z4" s="3311"/>
      <c r="AA4" s="3305" t="s">
        <v>2531</v>
      </c>
      <c r="AB4" s="3305" t="s">
        <v>2532</v>
      </c>
      <c r="AC4" s="3305" t="s">
        <v>2533</v>
      </c>
    </row>
    <row r="5" spans="1:29" ht="15">
      <c r="A5" s="404"/>
      <c r="B5" s="405"/>
      <c r="C5" s="3316" t="s">
        <v>2536</v>
      </c>
      <c r="D5" s="3317"/>
      <c r="E5" s="3314" t="s">
        <v>3104</v>
      </c>
      <c r="F5" s="3315"/>
      <c r="G5" s="3340" t="s">
        <v>3179</v>
      </c>
      <c r="H5" s="3341"/>
      <c r="I5" s="3320" t="s">
        <v>3105</v>
      </c>
      <c r="J5" s="3317"/>
      <c r="K5" s="2598"/>
      <c r="L5" s="1132"/>
      <c r="M5" s="1133"/>
      <c r="N5" s="1133"/>
      <c r="O5" s="1133"/>
      <c r="P5" s="3333"/>
      <c r="Q5" s="3334"/>
      <c r="R5" s="3312"/>
      <c r="S5" s="3313"/>
      <c r="T5" s="3312"/>
      <c r="U5" s="3313"/>
      <c r="V5" s="3339"/>
      <c r="W5" s="3339"/>
      <c r="X5" s="1815"/>
      <c r="Y5" s="3312"/>
      <c r="Z5" s="3313"/>
      <c r="AA5" s="3306"/>
      <c r="AB5" s="3306"/>
      <c r="AC5" s="3306"/>
    </row>
    <row r="6" spans="1:29" ht="15.75" thickBot="1">
      <c r="A6" s="406"/>
      <c r="B6" s="407"/>
      <c r="C6" s="3318" t="s">
        <v>2540</v>
      </c>
      <c r="D6" s="3319"/>
      <c r="E6" s="3321" t="s">
        <v>3178</v>
      </c>
      <c r="F6" s="3322"/>
      <c r="G6" s="3323" t="s">
        <v>3180</v>
      </c>
      <c r="H6" s="3319"/>
      <c r="I6" s="3323" t="s">
        <v>3177</v>
      </c>
      <c r="J6" s="3319"/>
      <c r="K6" s="2598" t="s">
        <v>2541</v>
      </c>
      <c r="L6" s="1132"/>
      <c r="M6" s="1133"/>
      <c r="N6" s="1133"/>
      <c r="O6" s="1133"/>
      <c r="P6" s="3335"/>
      <c r="Q6" s="3336"/>
      <c r="R6" s="3312"/>
      <c r="S6" s="3313"/>
      <c r="T6" s="3337"/>
      <c r="U6" s="3338"/>
      <c r="V6" s="3339"/>
      <c r="W6" s="3339"/>
      <c r="X6" s="1815"/>
      <c r="Y6" s="3337"/>
      <c r="Z6" s="3338"/>
      <c r="AA6" s="3307"/>
      <c r="AB6" s="3307"/>
      <c r="AC6" s="3307"/>
    </row>
    <row r="7" spans="1:29" s="117" customFormat="1" ht="15.75" thickBot="1">
      <c r="A7" s="408" t="s">
        <v>2542</v>
      </c>
      <c r="B7" s="409"/>
      <c r="C7" s="410">
        <f>'数据-取费表'!B2</f>
        <v>43482</v>
      </c>
      <c r="D7" s="411">
        <v>100</v>
      </c>
      <c r="E7" s="412">
        <v>43466</v>
      </c>
      <c r="F7" s="413">
        <f>SUMIF(58:58,YEAR(E7)&amp;"-"&amp;MONTH(E7),59:59)</f>
        <v>100</v>
      </c>
      <c r="G7" s="2696">
        <v>43374</v>
      </c>
      <c r="H7" s="411">
        <f>SUMIF(58:58,YEAR(G7)&amp;"-"&amp;MONTH(G7),59:59)</f>
        <v>100</v>
      </c>
      <c r="I7" s="412">
        <f>E7</f>
        <v>43466</v>
      </c>
      <c r="J7" s="411">
        <f>SUMIF(58:58,YEAR(I7)&amp;"-"&amp;MONTH(I7),59:59)</f>
        <v>100</v>
      </c>
      <c r="K7" s="2599"/>
      <c r="L7" s="1134"/>
      <c r="M7" s="1135"/>
      <c r="N7" s="1135"/>
      <c r="O7" s="1135"/>
      <c r="P7" s="3308" t="s">
        <v>2543</v>
      </c>
      <c r="Q7" s="3342"/>
      <c r="R7" s="770" t="s">
        <v>23</v>
      </c>
      <c r="S7" s="771">
        <f t="shared" ref="S7:S15" si="0">F7</f>
        <v>100</v>
      </c>
      <c r="T7" s="770" t="s">
        <v>23</v>
      </c>
      <c r="U7" s="771">
        <f t="shared" ref="U7:U15" si="1">H7</f>
        <v>100</v>
      </c>
      <c r="V7" s="770" t="s">
        <v>23</v>
      </c>
      <c r="W7" s="771">
        <f t="shared" ref="W7:W15" si="2">J7</f>
        <v>100</v>
      </c>
      <c r="X7" s="772"/>
      <c r="Y7" s="3308" t="s">
        <v>2543</v>
      </c>
      <c r="Z7" s="3309"/>
      <c r="AA7" s="773">
        <f>D7/F7</f>
        <v>1</v>
      </c>
      <c r="AB7" s="773">
        <f>D7/H7</f>
        <v>1</v>
      </c>
      <c r="AC7" s="773">
        <f>D7/J7</f>
        <v>1</v>
      </c>
    </row>
    <row r="8" spans="1:29" s="117" customFormat="1" ht="15.75" thickBot="1">
      <c r="A8" s="408" t="s">
        <v>2544</v>
      </c>
      <c r="B8" s="409"/>
      <c r="C8" s="414" t="s">
        <v>2545</v>
      </c>
      <c r="D8" s="411">
        <v>100</v>
      </c>
      <c r="E8" s="2600" t="s">
        <v>3091</v>
      </c>
      <c r="F8" s="413">
        <f>SUMIF(61:61,E8,62:62)-SUMIF(61:61,C8,62:62)+100</f>
        <v>100</v>
      </c>
      <c r="G8" s="414" t="s">
        <v>3091</v>
      </c>
      <c r="H8" s="411">
        <f>SUMIF(61:61,G8,62:62)-SUMIF(61:61,C8,62:62)+100</f>
        <v>100</v>
      </c>
      <c r="I8" s="2600" t="s">
        <v>3091</v>
      </c>
      <c r="J8" s="411">
        <f>SUMIF(61:61,I8,62:62)-SUMIF(61:61,C8,62:62)+100</f>
        <v>100</v>
      </c>
      <c r="K8" s="2599"/>
      <c r="L8" s="1134"/>
      <c r="M8" s="1135"/>
      <c r="N8" s="1135"/>
      <c r="O8" s="1135"/>
      <c r="P8" s="3308" t="s">
        <v>2546</v>
      </c>
      <c r="Q8" s="3309"/>
      <c r="R8" s="770" t="s">
        <v>23</v>
      </c>
      <c r="S8" s="771">
        <f t="shared" si="0"/>
        <v>100</v>
      </c>
      <c r="T8" s="770" t="s">
        <v>23</v>
      </c>
      <c r="U8" s="771">
        <f t="shared" si="1"/>
        <v>100</v>
      </c>
      <c r="V8" s="770" t="s">
        <v>23</v>
      </c>
      <c r="W8" s="771">
        <f t="shared" si="2"/>
        <v>100</v>
      </c>
      <c r="X8" s="772"/>
      <c r="Y8" s="3308" t="s">
        <v>2546</v>
      </c>
      <c r="Z8" s="3309"/>
      <c r="AA8" s="773">
        <f t="shared" ref="AA8:AA19" si="3">D8/F8</f>
        <v>1</v>
      </c>
      <c r="AB8" s="773">
        <f t="shared" ref="AB8:AB19" si="4">D8/H8</f>
        <v>1</v>
      </c>
      <c r="AC8" s="773">
        <f t="shared" ref="AC8:AC19" si="5">D8/J8</f>
        <v>1</v>
      </c>
    </row>
    <row r="9" spans="1:29" s="117" customFormat="1">
      <c r="A9" s="415" t="s">
        <v>2547</v>
      </c>
      <c r="B9" s="71" t="s">
        <v>2548</v>
      </c>
      <c r="C9" s="2975" t="s">
        <v>3121</v>
      </c>
      <c r="D9" s="135">
        <v>100</v>
      </c>
      <c r="E9" s="417" t="s">
        <v>3075</v>
      </c>
      <c r="F9" s="418">
        <f>SUMIF(63:63,E9,64:64)-SUMIF(63:63,C9,64:64)+100</f>
        <v>100</v>
      </c>
      <c r="G9" s="419" t="s">
        <v>3075</v>
      </c>
      <c r="H9" s="135">
        <f>SUMIF(63:63,G9,64:64)-SUMIF(63:63,C9,64:64)+100</f>
        <v>100</v>
      </c>
      <c r="I9" s="417" t="s">
        <v>3075</v>
      </c>
      <c r="J9" s="135">
        <f>SUMIF(63:63,I9,64:64)-SUMIF(63:63,C9,64:64)+100</f>
        <v>100</v>
      </c>
      <c r="K9" s="2599"/>
      <c r="L9" s="1134"/>
      <c r="M9" s="1135"/>
      <c r="N9" s="1135"/>
      <c r="O9" s="1135"/>
      <c r="P9" s="3324" t="s">
        <v>2549</v>
      </c>
      <c r="Q9" s="1797" t="str">
        <f t="shared" ref="Q9:Q15" si="6">B9</f>
        <v>用途</v>
      </c>
      <c r="R9" s="770" t="s">
        <v>17</v>
      </c>
      <c r="S9" s="771">
        <f t="shared" si="0"/>
        <v>100</v>
      </c>
      <c r="T9" s="770" t="s">
        <v>17</v>
      </c>
      <c r="U9" s="771">
        <f t="shared" si="1"/>
        <v>100</v>
      </c>
      <c r="V9" s="770" t="s">
        <v>17</v>
      </c>
      <c r="W9" s="771">
        <f t="shared" si="2"/>
        <v>100</v>
      </c>
      <c r="X9" s="772"/>
      <c r="Y9" s="3160" t="s">
        <v>2550</v>
      </c>
      <c r="Z9" s="55" t="str">
        <f t="shared" ref="Z9:Z15" si="7">Q9</f>
        <v>用途</v>
      </c>
      <c r="AA9" s="773">
        <f t="shared" si="3"/>
        <v>1</v>
      </c>
      <c r="AB9" s="773">
        <f t="shared" si="4"/>
        <v>1</v>
      </c>
      <c r="AC9" s="773">
        <f t="shared" si="5"/>
        <v>1</v>
      </c>
    </row>
    <row r="10" spans="1:29" s="427" customFormat="1" ht="27">
      <c r="A10" s="421"/>
      <c r="B10" s="422" t="s">
        <v>2551</v>
      </c>
      <c r="C10" s="423" t="s">
        <v>3122</v>
      </c>
      <c r="D10" s="136">
        <v>100</v>
      </c>
      <c r="E10" s="424" t="s">
        <v>3122</v>
      </c>
      <c r="F10" s="425">
        <f>SUMIF(65:65,E10,66:66)-SUMIF(65:65,C10,66:66)+100</f>
        <v>100</v>
      </c>
      <c r="G10" s="423" t="s">
        <v>3122</v>
      </c>
      <c r="H10" s="136">
        <f>SUMIF(65:65,G10,66:66)-SUMIF(65:65,C10,66:66)+100</f>
        <v>100</v>
      </c>
      <c r="I10" s="424" t="s">
        <v>3122</v>
      </c>
      <c r="J10" s="136">
        <f>SUMIF(65:65,I10,66:66)-SUMIF(65:65,C10,66:66)+100</f>
        <v>100</v>
      </c>
      <c r="K10" s="426">
        <v>1</v>
      </c>
      <c r="L10" s="1137"/>
      <c r="M10" s="1138"/>
      <c r="N10" s="1138"/>
      <c r="O10" s="1138"/>
      <c r="P10" s="3324"/>
      <c r="Q10" s="1797" t="str">
        <f t="shared" si="6"/>
        <v>土地使用年限（年）</v>
      </c>
      <c r="R10" s="770" t="s">
        <v>17</v>
      </c>
      <c r="S10" s="771">
        <f t="shared" si="0"/>
        <v>100</v>
      </c>
      <c r="T10" s="770" t="s">
        <v>17</v>
      </c>
      <c r="U10" s="771">
        <f t="shared" si="1"/>
        <v>100</v>
      </c>
      <c r="V10" s="770" t="s">
        <v>17</v>
      </c>
      <c r="W10" s="771">
        <f t="shared" si="2"/>
        <v>100</v>
      </c>
      <c r="X10" s="772"/>
      <c r="Y10" s="3160"/>
      <c r="Z10" s="55" t="str">
        <f t="shared" si="7"/>
        <v>土地使用年限（年）</v>
      </c>
      <c r="AA10" s="773">
        <f t="shared" si="3"/>
        <v>1</v>
      </c>
      <c r="AB10" s="773">
        <f t="shared" si="4"/>
        <v>1</v>
      </c>
      <c r="AC10" s="773">
        <f t="shared" si="5"/>
        <v>1</v>
      </c>
    </row>
    <row r="11" spans="1:29" ht="15.75" thickBot="1">
      <c r="A11" s="428"/>
      <c r="B11" s="422" t="s">
        <v>2552</v>
      </c>
      <c r="C11" s="429">
        <f>'数据-汇总表'!I6</f>
        <v>5.57</v>
      </c>
      <c r="D11" s="136">
        <v>100</v>
      </c>
      <c r="E11" s="430">
        <v>5.56</v>
      </c>
      <c r="F11" s="425">
        <f>LOOKUP(E11,68:68,69:69)-LOOKUP(C11,68:68,69:69)+100</f>
        <v>100</v>
      </c>
      <c r="G11" s="3060">
        <v>3.2</v>
      </c>
      <c r="H11" s="137">
        <f>LOOKUP(G11,68:68,69:69)-LOOKUP(C11,68:68,69:69)+100</f>
        <v>100</v>
      </c>
      <c r="I11" s="429"/>
      <c r="J11" s="136">
        <f>LOOKUP(I11,68:68,69:69)-LOOKUP(C11,68:68,69:69)+100</f>
        <v>100</v>
      </c>
      <c r="K11" s="426"/>
      <c r="L11" s="1140"/>
      <c r="M11" s="1133"/>
      <c r="N11" s="1133"/>
      <c r="O11" s="1133"/>
      <c r="P11" s="3324"/>
      <c r="Q11" s="1797" t="str">
        <f t="shared" si="6"/>
        <v>容积率</v>
      </c>
      <c r="R11" s="770" t="s">
        <v>21</v>
      </c>
      <c r="S11" s="771">
        <f t="shared" si="0"/>
        <v>100</v>
      </c>
      <c r="T11" s="770" t="s">
        <v>21</v>
      </c>
      <c r="U11" s="771">
        <f t="shared" si="1"/>
        <v>100</v>
      </c>
      <c r="V11" s="770" t="s">
        <v>21</v>
      </c>
      <c r="W11" s="771">
        <f t="shared" si="2"/>
        <v>100</v>
      </c>
      <c r="X11" s="772"/>
      <c r="Y11" s="3160"/>
      <c r="Z11" s="55" t="str">
        <f t="shared" si="7"/>
        <v>容积率</v>
      </c>
      <c r="AA11" s="773">
        <f t="shared" si="3"/>
        <v>1</v>
      </c>
      <c r="AB11" s="773">
        <f t="shared" si="4"/>
        <v>1</v>
      </c>
      <c r="AC11" s="773">
        <f t="shared" si="5"/>
        <v>1</v>
      </c>
    </row>
    <row r="12" spans="1:29" s="117" customFormat="1" ht="15" hidden="1">
      <c r="A12" s="431"/>
      <c r="B12" s="2601"/>
      <c r="C12" s="432"/>
      <c r="D12" s="433">
        <v>100</v>
      </c>
      <c r="E12" s="432"/>
      <c r="F12" s="425">
        <f>SUMIF(70:70,E12,71:71)-SUMIF(70:70,C12,71:71)+100</f>
        <v>100</v>
      </c>
      <c r="G12" s="432"/>
      <c r="H12" s="462">
        <f>SUMIF(70:70,G12,71:71)-SUMIF(70:70,C12,71:71)+100</f>
        <v>100</v>
      </c>
      <c r="I12" s="432"/>
      <c r="J12" s="136">
        <f>SUMIF(70:70,I12,71:71)-SUMIF(70:70,C12,71:71)+100</f>
        <v>100</v>
      </c>
      <c r="K12" s="2602"/>
      <c r="L12" s="1134"/>
      <c r="M12" s="1135"/>
      <c r="N12" s="1135"/>
      <c r="O12" s="1135"/>
      <c r="P12" s="3324"/>
      <c r="Q12" s="1797">
        <f t="shared" si="6"/>
        <v>0</v>
      </c>
      <c r="R12" s="770" t="s">
        <v>21</v>
      </c>
      <c r="S12" s="771">
        <f t="shared" si="0"/>
        <v>100</v>
      </c>
      <c r="T12" s="770" t="s">
        <v>21</v>
      </c>
      <c r="U12" s="771">
        <f t="shared" si="1"/>
        <v>100</v>
      </c>
      <c r="V12" s="770" t="s">
        <v>21</v>
      </c>
      <c r="W12" s="771">
        <f t="shared" si="2"/>
        <v>100</v>
      </c>
      <c r="X12" s="772"/>
      <c r="Y12" s="3160"/>
      <c r="Z12" s="55">
        <f t="shared" si="7"/>
        <v>0</v>
      </c>
      <c r="AA12" s="773">
        <f>D12/F12</f>
        <v>1</v>
      </c>
      <c r="AB12" s="773">
        <f>D12/H12</f>
        <v>1</v>
      </c>
      <c r="AC12" s="773">
        <f>D12/J12</f>
        <v>1</v>
      </c>
    </row>
    <row r="13" spans="1:29" ht="15" hidden="1">
      <c r="A13" s="428"/>
      <c r="B13" s="2601"/>
      <c r="C13" s="434"/>
      <c r="D13" s="435">
        <v>100</v>
      </c>
      <c r="E13" s="434"/>
      <c r="F13" s="425">
        <f>SUMIF(72:72,E13,73:73)-SUMIF(72:72,C13,73:73)+100</f>
        <v>100</v>
      </c>
      <c r="G13" s="434"/>
      <c r="H13" s="435">
        <f>SUMIF(72:72,G13,73:73)-SUMIF(72:72,C13,73:73)+100</f>
        <v>100</v>
      </c>
      <c r="I13" s="434"/>
      <c r="J13" s="435">
        <f>SUMIF(72:72,I13,73:73)-SUMIF(72:72,C13,73:73)+100</f>
        <v>100</v>
      </c>
      <c r="K13" s="2602"/>
      <c r="L13" s="1142"/>
      <c r="M13" s="1133"/>
      <c r="N13" s="1133"/>
      <c r="O13" s="1133"/>
      <c r="P13" s="3324"/>
      <c r="Q13" s="1797">
        <f t="shared" si="6"/>
        <v>0</v>
      </c>
      <c r="R13" s="770" t="s">
        <v>21</v>
      </c>
      <c r="S13" s="771">
        <f t="shared" si="0"/>
        <v>100</v>
      </c>
      <c r="T13" s="770" t="s">
        <v>21</v>
      </c>
      <c r="U13" s="771">
        <f t="shared" si="1"/>
        <v>100</v>
      </c>
      <c r="V13" s="770" t="s">
        <v>21</v>
      </c>
      <c r="W13" s="771">
        <f t="shared" si="2"/>
        <v>100</v>
      </c>
      <c r="X13" s="772"/>
      <c r="Y13" s="3160"/>
      <c r="Z13" s="55">
        <f t="shared" si="7"/>
        <v>0</v>
      </c>
      <c r="AA13" s="773">
        <f t="shared" si="3"/>
        <v>1</v>
      </c>
      <c r="AB13" s="773">
        <f t="shared" si="4"/>
        <v>1</v>
      </c>
      <c r="AC13" s="773">
        <f t="shared" si="5"/>
        <v>1</v>
      </c>
    </row>
    <row r="14" spans="1:29" ht="15.75" hidden="1" thickBot="1">
      <c r="A14" s="436"/>
      <c r="B14" s="2603"/>
      <c r="C14" s="437"/>
      <c r="D14" s="438">
        <v>100</v>
      </c>
      <c r="E14" s="437"/>
      <c r="F14" s="439">
        <f>SUMIF(74:74,E14,75:75)-SUMIF(74:74,C14,75:75)+100</f>
        <v>100</v>
      </c>
      <c r="G14" s="437"/>
      <c r="H14" s="438">
        <f>SUMIF(74:74,G14,75:75)-SUMIF(74:74,C14,75:75)+100</f>
        <v>100</v>
      </c>
      <c r="I14" s="437"/>
      <c r="J14" s="438">
        <f>SUMIF(74:74,I14,75:75)-SUMIF(74:74,C14,75:75)+100</f>
        <v>100</v>
      </c>
      <c r="K14" s="2602"/>
      <c r="L14" s="1142"/>
      <c r="M14" s="1133"/>
      <c r="N14" s="1133"/>
      <c r="O14" s="1133"/>
      <c r="P14" s="3324"/>
      <c r="Q14" s="1797">
        <f t="shared" si="6"/>
        <v>0</v>
      </c>
      <c r="R14" s="770" t="s">
        <v>21</v>
      </c>
      <c r="S14" s="771">
        <f t="shared" si="0"/>
        <v>100</v>
      </c>
      <c r="T14" s="770" t="s">
        <v>21</v>
      </c>
      <c r="U14" s="771">
        <f t="shared" si="1"/>
        <v>100</v>
      </c>
      <c r="V14" s="770" t="s">
        <v>21</v>
      </c>
      <c r="W14" s="771">
        <f t="shared" si="2"/>
        <v>100</v>
      </c>
      <c r="X14" s="772"/>
      <c r="Y14" s="3160"/>
      <c r="Z14" s="55">
        <f t="shared" si="7"/>
        <v>0</v>
      </c>
      <c r="AA14" s="773">
        <f t="shared" si="3"/>
        <v>1</v>
      </c>
      <c r="AB14" s="773">
        <f t="shared" si="4"/>
        <v>1</v>
      </c>
      <c r="AC14" s="773">
        <f t="shared" si="5"/>
        <v>1</v>
      </c>
    </row>
    <row r="15" spans="1:29" ht="57">
      <c r="A15" s="440" t="s">
        <v>2553</v>
      </c>
      <c r="B15" s="69" t="s">
        <v>2078</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95</v>
      </c>
      <c r="K15" s="445">
        <v>5</v>
      </c>
      <c r="L15" s="1142"/>
      <c r="M15" s="1133"/>
      <c r="N15" s="1133"/>
      <c r="O15" s="1133"/>
      <c r="P15" s="3355" t="s">
        <v>2554</v>
      </c>
      <c r="Q15" s="1812" t="str">
        <f t="shared" si="6"/>
        <v>居住社区成熟度</v>
      </c>
      <c r="R15" s="774" t="s">
        <v>21</v>
      </c>
      <c r="S15" s="775">
        <f t="shared" si="0"/>
        <v>100</v>
      </c>
      <c r="T15" s="774" t="s">
        <v>21</v>
      </c>
      <c r="U15" s="775">
        <f t="shared" si="1"/>
        <v>100</v>
      </c>
      <c r="V15" s="774" t="s">
        <v>21</v>
      </c>
      <c r="W15" s="775">
        <f t="shared" si="2"/>
        <v>95</v>
      </c>
      <c r="X15" s="1815"/>
      <c r="Y15" s="3348" t="s">
        <v>2554</v>
      </c>
      <c r="Z15" s="1816" t="str">
        <f t="shared" si="7"/>
        <v>居住社区成熟度</v>
      </c>
      <c r="AA15" s="1813">
        <f t="shared" si="3"/>
        <v>1</v>
      </c>
      <c r="AB15" s="1813">
        <f t="shared" si="4"/>
        <v>1</v>
      </c>
      <c r="AC15" s="1813">
        <f t="shared" si="5"/>
        <v>1.0526315789473684</v>
      </c>
    </row>
    <row r="16" spans="1:29" ht="15">
      <c r="A16" s="428"/>
      <c r="B16" s="446"/>
      <c r="C16" s="447" t="s">
        <v>3093</v>
      </c>
      <c r="D16" s="448"/>
      <c r="E16" s="447" t="s">
        <v>3093</v>
      </c>
      <c r="F16" s="448"/>
      <c r="G16" s="447" t="s">
        <v>3093</v>
      </c>
      <c r="H16" s="450"/>
      <c r="I16" s="447" t="s">
        <v>3092</v>
      </c>
      <c r="J16" s="448"/>
      <c r="K16" s="2607"/>
      <c r="L16" s="1142"/>
      <c r="M16" s="1133"/>
      <c r="N16" s="1133"/>
      <c r="O16" s="1133"/>
      <c r="P16" s="3356"/>
      <c r="Q16" s="1812"/>
      <c r="R16" s="774"/>
      <c r="S16" s="775"/>
      <c r="T16" s="774"/>
      <c r="U16" s="775"/>
      <c r="V16" s="774"/>
      <c r="W16" s="775"/>
      <c r="X16" s="1815"/>
      <c r="Y16" s="3349"/>
      <c r="Z16" s="1816"/>
      <c r="AA16" s="1813">
        <v>1</v>
      </c>
      <c r="AB16" s="1813">
        <v>1</v>
      </c>
      <c r="AC16" s="1813">
        <v>1</v>
      </c>
    </row>
    <row r="17" spans="1:29" ht="57">
      <c r="A17" s="428"/>
      <c r="B17" s="451" t="s">
        <v>2090</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95</v>
      </c>
      <c r="K17" s="445">
        <v>5</v>
      </c>
      <c r="L17" s="1142"/>
      <c r="M17" s="1133"/>
      <c r="N17" s="1133"/>
      <c r="O17" s="1133"/>
      <c r="P17" s="3356"/>
      <c r="Q17" s="1812" t="str">
        <f>B17</f>
        <v>交通便捷度</v>
      </c>
      <c r="R17" s="774" t="s">
        <v>21</v>
      </c>
      <c r="S17" s="775">
        <f>F17</f>
        <v>100</v>
      </c>
      <c r="T17" s="774" t="s">
        <v>21</v>
      </c>
      <c r="U17" s="775">
        <f>H17</f>
        <v>100</v>
      </c>
      <c r="V17" s="774" t="s">
        <v>21</v>
      </c>
      <c r="W17" s="775">
        <f>J17</f>
        <v>95</v>
      </c>
      <c r="X17" s="1815"/>
      <c r="Y17" s="3349"/>
      <c r="Z17" s="1816" t="str">
        <f>Q17</f>
        <v>交通便捷度</v>
      </c>
      <c r="AA17" s="1813">
        <f t="shared" si="3"/>
        <v>1</v>
      </c>
      <c r="AB17" s="1813">
        <f t="shared" si="4"/>
        <v>1</v>
      </c>
      <c r="AC17" s="1813">
        <f t="shared" si="5"/>
        <v>1.0526315789473684</v>
      </c>
    </row>
    <row r="18" spans="1:29" ht="15">
      <c r="A18" s="428"/>
      <c r="B18" s="456"/>
      <c r="C18" s="2609" t="s">
        <v>3093</v>
      </c>
      <c r="D18" s="450"/>
      <c r="E18" s="2610" t="s">
        <v>3093</v>
      </c>
      <c r="F18" s="450"/>
      <c r="G18" s="2611" t="s">
        <v>3093</v>
      </c>
      <c r="H18" s="448"/>
      <c r="I18" s="2611" t="s">
        <v>3092</v>
      </c>
      <c r="J18" s="448"/>
      <c r="K18" s="2607"/>
      <c r="L18" s="1142"/>
      <c r="M18" s="1133"/>
      <c r="N18" s="1133"/>
      <c r="O18" s="1133"/>
      <c r="P18" s="3356"/>
      <c r="Q18" s="1812"/>
      <c r="R18" s="774"/>
      <c r="S18" s="775"/>
      <c r="T18" s="774"/>
      <c r="U18" s="775"/>
      <c r="V18" s="774"/>
      <c r="W18" s="775"/>
      <c r="X18" s="1815"/>
      <c r="Y18" s="3349"/>
      <c r="Z18" s="1816"/>
      <c r="AA18" s="1813">
        <v>1</v>
      </c>
      <c r="AB18" s="1813">
        <v>1</v>
      </c>
      <c r="AC18" s="1813">
        <v>1</v>
      </c>
    </row>
    <row r="19" spans="1:29" ht="28.5">
      <c r="A19" s="428"/>
      <c r="B19" s="451" t="s">
        <v>2088</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5</v>
      </c>
      <c r="L19" s="1142"/>
      <c r="M19" s="1133"/>
      <c r="N19" s="1133"/>
      <c r="O19" s="1133"/>
      <c r="P19" s="3356"/>
      <c r="Q19" s="1812" t="str">
        <f>B19</f>
        <v>公共配套设施</v>
      </c>
      <c r="R19" s="774" t="s">
        <v>21</v>
      </c>
      <c r="S19" s="775">
        <f>F19</f>
        <v>100</v>
      </c>
      <c r="T19" s="774" t="s">
        <v>21</v>
      </c>
      <c r="U19" s="775">
        <f>H19</f>
        <v>100</v>
      </c>
      <c r="V19" s="774" t="s">
        <v>21</v>
      </c>
      <c r="W19" s="775">
        <f>J19</f>
        <v>100</v>
      </c>
      <c r="X19" s="1815"/>
      <c r="Y19" s="3349"/>
      <c r="Z19" s="1816" t="str">
        <f>Q19</f>
        <v>公共配套设施</v>
      </c>
      <c r="AA19" s="1813">
        <f t="shared" si="3"/>
        <v>1</v>
      </c>
      <c r="AB19" s="1813">
        <f t="shared" si="4"/>
        <v>1</v>
      </c>
      <c r="AC19" s="1813">
        <f t="shared" si="5"/>
        <v>1</v>
      </c>
    </row>
    <row r="20" spans="1:29" ht="15">
      <c r="A20" s="428"/>
      <c r="B20" s="456"/>
      <c r="C20" s="447" t="s">
        <v>3093</v>
      </c>
      <c r="D20" s="448"/>
      <c r="E20" s="447" t="s">
        <v>3093</v>
      </c>
      <c r="F20" s="448"/>
      <c r="G20" s="447" t="s">
        <v>3093</v>
      </c>
      <c r="H20" s="448"/>
      <c r="I20" s="447" t="s">
        <v>3093</v>
      </c>
      <c r="J20" s="448"/>
      <c r="K20" s="2607"/>
      <c r="L20" s="1142"/>
      <c r="M20" s="1133"/>
      <c r="N20" s="1133"/>
      <c r="O20" s="1133"/>
      <c r="P20" s="3356"/>
      <c r="Q20" s="1812"/>
      <c r="R20" s="774"/>
      <c r="S20" s="775"/>
      <c r="T20" s="774"/>
      <c r="U20" s="775"/>
      <c r="V20" s="774"/>
      <c r="W20" s="775"/>
      <c r="X20" s="1815"/>
      <c r="Y20" s="3349"/>
      <c r="Z20" s="1816"/>
      <c r="AA20" s="1813">
        <v>1</v>
      </c>
      <c r="AB20" s="1813">
        <v>1</v>
      </c>
      <c r="AC20" s="1813">
        <v>1</v>
      </c>
    </row>
    <row r="21" spans="1:29" ht="28.5">
      <c r="A21" s="428"/>
      <c r="B21" s="1386" t="s">
        <v>2091</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2</v>
      </c>
      <c r="L21" s="1142"/>
      <c r="M21" s="1133"/>
      <c r="N21" s="1133"/>
      <c r="O21" s="1133"/>
      <c r="P21" s="3356"/>
      <c r="Q21" s="1812" t="str">
        <f>B21</f>
        <v>基础设施水平</v>
      </c>
      <c r="R21" s="774" t="s">
        <v>17</v>
      </c>
      <c r="S21" s="775">
        <f>F21</f>
        <v>100</v>
      </c>
      <c r="T21" s="774" t="s">
        <v>17</v>
      </c>
      <c r="U21" s="775">
        <f>H21</f>
        <v>100</v>
      </c>
      <c r="V21" s="774" t="s">
        <v>17</v>
      </c>
      <c r="W21" s="775">
        <f>J21</f>
        <v>100</v>
      </c>
      <c r="X21" s="1815"/>
      <c r="Y21" s="3349"/>
      <c r="Z21" s="1816" t="str">
        <f>Q21</f>
        <v>基础设施水平</v>
      </c>
      <c r="AA21" s="1813">
        <f t="shared" ref="AA21" si="8">D21/F21</f>
        <v>1</v>
      </c>
      <c r="AB21" s="1813">
        <f t="shared" ref="AB21" si="9">D21/H21</f>
        <v>1</v>
      </c>
      <c r="AC21" s="1813">
        <f t="shared" ref="AC21" si="10">D21/J21</f>
        <v>1</v>
      </c>
    </row>
    <row r="22" spans="1:29" ht="15">
      <c r="A22" s="428"/>
      <c r="B22" s="1386"/>
      <c r="C22" s="2609" t="s">
        <v>3108</v>
      </c>
      <c r="D22" s="448"/>
      <c r="E22" s="2609" t="s">
        <v>3108</v>
      </c>
      <c r="F22" s="448"/>
      <c r="G22" s="2609" t="s">
        <v>3108</v>
      </c>
      <c r="H22" s="448"/>
      <c r="I22" s="2609" t="s">
        <v>3108</v>
      </c>
      <c r="J22" s="448"/>
      <c r="K22" s="2613"/>
      <c r="L22" s="1142"/>
      <c r="M22" s="1133"/>
      <c r="N22" s="1133"/>
      <c r="O22" s="1133"/>
      <c r="P22" s="3356"/>
      <c r="Q22" s="1812"/>
      <c r="R22" s="774"/>
      <c r="S22" s="775"/>
      <c r="T22" s="774"/>
      <c r="U22" s="775"/>
      <c r="V22" s="774"/>
      <c r="W22" s="775"/>
      <c r="X22" s="1815"/>
      <c r="Y22" s="3349"/>
      <c r="Z22" s="1816"/>
      <c r="AA22" s="1813">
        <v>1</v>
      </c>
      <c r="AB22" s="1813">
        <v>1</v>
      </c>
      <c r="AC22" s="1813">
        <v>1</v>
      </c>
    </row>
    <row r="23" spans="1:29" ht="28.5">
      <c r="A23" s="428"/>
      <c r="B23" s="451" t="s">
        <v>2095</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5</v>
      </c>
      <c r="L23" s="1142"/>
      <c r="M23" s="1133"/>
      <c r="N23" s="1133"/>
      <c r="O23" s="1133"/>
      <c r="P23" s="3356"/>
      <c r="Q23" s="1812" t="str">
        <f>B23</f>
        <v>自然及人文环境</v>
      </c>
      <c r="R23" s="774" t="s">
        <v>21</v>
      </c>
      <c r="S23" s="775">
        <f>F23</f>
        <v>100</v>
      </c>
      <c r="T23" s="774" t="s">
        <v>21</v>
      </c>
      <c r="U23" s="775">
        <f>H23</f>
        <v>100</v>
      </c>
      <c r="V23" s="774" t="s">
        <v>21</v>
      </c>
      <c r="W23" s="775">
        <f>J23</f>
        <v>100</v>
      </c>
      <c r="X23" s="1815"/>
      <c r="Y23" s="3349"/>
      <c r="Z23" s="1816" t="str">
        <f>Q23</f>
        <v>自然及人文环境</v>
      </c>
      <c r="AA23" s="1813">
        <f>D23/F23</f>
        <v>1</v>
      </c>
      <c r="AB23" s="1813">
        <f>D23/H23</f>
        <v>1</v>
      </c>
      <c r="AC23" s="1813">
        <f>D23/J23</f>
        <v>1</v>
      </c>
    </row>
    <row r="24" spans="1:29" ht="15.75" thickBot="1">
      <c r="A24" s="428"/>
      <c r="B24" s="456"/>
      <c r="C24" s="447" t="s">
        <v>3093</v>
      </c>
      <c r="D24" s="448"/>
      <c r="E24" s="447" t="s">
        <v>3093</v>
      </c>
      <c r="F24" s="448"/>
      <c r="G24" s="447" t="s">
        <v>3093</v>
      </c>
      <c r="H24" s="448"/>
      <c r="I24" s="447" t="s">
        <v>3093</v>
      </c>
      <c r="J24" s="448"/>
      <c r="K24" s="2607"/>
      <c r="L24" s="1142"/>
      <c r="M24" s="1133"/>
      <c r="N24" s="1133"/>
      <c r="O24" s="1133"/>
      <c r="P24" s="3356"/>
      <c r="Q24" s="1812"/>
      <c r="R24" s="774"/>
      <c r="S24" s="775"/>
      <c r="T24" s="774"/>
      <c r="U24" s="775"/>
      <c r="V24" s="774"/>
      <c r="W24" s="775"/>
      <c r="X24" s="1815"/>
      <c r="Y24" s="3349"/>
      <c r="Z24" s="1816"/>
      <c r="AA24" s="1813">
        <v>1</v>
      </c>
      <c r="AB24" s="1813">
        <v>1</v>
      </c>
      <c r="AC24" s="1813">
        <v>1</v>
      </c>
    </row>
    <row r="25" spans="1:29" ht="15" hidden="1">
      <c r="A25" s="428"/>
      <c r="B25" s="422" t="s">
        <v>2555</v>
      </c>
      <c r="C25" s="460"/>
      <c r="D25" s="435">
        <v>100</v>
      </c>
      <c r="E25" s="2614"/>
      <c r="F25" s="435">
        <f>SUMIF(86:86,E25,87:87)-SUMIF(86:86,C25,87:87)+100</f>
        <v>100</v>
      </c>
      <c r="G25" s="2615"/>
      <c r="H25" s="435">
        <f>SUMIF(86:86,G25,87:87)-SUMIF(86:86,C25,87:87)+100</f>
        <v>100</v>
      </c>
      <c r="I25" s="2615"/>
      <c r="J25" s="435">
        <f>SUMIF(86:86,I25,87:87)-SUMIF(86:86,C25,87:87)+100</f>
        <v>100</v>
      </c>
      <c r="K25" s="426"/>
      <c r="L25" s="1142"/>
      <c r="M25" s="1133"/>
      <c r="N25" s="1133"/>
      <c r="O25" s="1133"/>
      <c r="P25" s="3356"/>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349"/>
      <c r="Z25" s="1816" t="str">
        <f>Q25</f>
        <v>楼层-1</v>
      </c>
      <c r="AA25" s="1813">
        <f t="shared" ref="AA25:AA46" si="15">D25/F25</f>
        <v>1</v>
      </c>
      <c r="AB25" s="1813">
        <f t="shared" ref="AB25:AB46" si="16">D25/H25</f>
        <v>1</v>
      </c>
      <c r="AC25" s="1813">
        <f t="shared" ref="AC25:AC46" si="17">D25/J25</f>
        <v>1</v>
      </c>
    </row>
    <row r="26" spans="1:29" ht="15.75" hidden="1" thickBot="1">
      <c r="A26" s="428"/>
      <c r="B26" s="422" t="s">
        <v>2556</v>
      </c>
      <c r="C26" s="460"/>
      <c r="D26" s="435">
        <v>100</v>
      </c>
      <c r="E26" s="2614"/>
      <c r="F26" s="435">
        <f>SUMIF(88:88,E26,89:89)-SUMIF(88:88,C26,89:89)+100</f>
        <v>100</v>
      </c>
      <c r="G26" s="2615"/>
      <c r="H26" s="435">
        <f>SUMIF(88:88,G26,89:89)-SUMIF(88:88,C26,89:89)+100</f>
        <v>100</v>
      </c>
      <c r="I26" s="2615"/>
      <c r="J26" s="435">
        <f>SUMIF(88:88,I26,89:89)-SUMIF(88:88,C26,89:89)+100</f>
        <v>100</v>
      </c>
      <c r="K26" s="426"/>
      <c r="L26" s="1142"/>
      <c r="M26" s="1133"/>
      <c r="N26" s="1133"/>
      <c r="O26" s="1133"/>
      <c r="P26" s="3356"/>
      <c r="Q26" s="1812" t="str">
        <f t="shared" si="11"/>
        <v>朝向</v>
      </c>
      <c r="R26" s="774" t="s">
        <v>21</v>
      </c>
      <c r="S26" s="775">
        <f t="shared" si="12"/>
        <v>100</v>
      </c>
      <c r="T26" s="774" t="s">
        <v>21</v>
      </c>
      <c r="U26" s="775">
        <f t="shared" si="13"/>
        <v>100</v>
      </c>
      <c r="V26" s="774" t="s">
        <v>21</v>
      </c>
      <c r="W26" s="775">
        <f t="shared" si="14"/>
        <v>100</v>
      </c>
      <c r="X26" s="1815"/>
      <c r="Y26" s="3349"/>
      <c r="Z26" s="1816" t="str">
        <f>Q26</f>
        <v>朝向</v>
      </c>
      <c r="AA26" s="1813">
        <f t="shared" si="15"/>
        <v>1</v>
      </c>
      <c r="AB26" s="1813">
        <f t="shared" si="16"/>
        <v>1</v>
      </c>
      <c r="AC26" s="1813">
        <f t="shared" si="17"/>
        <v>1</v>
      </c>
    </row>
    <row r="27" spans="1:29" s="117" customFormat="1" ht="15" hidden="1">
      <c r="A27" s="431"/>
      <c r="B27" s="1388"/>
      <c r="C27" s="432"/>
      <c r="D27" s="462">
        <v>100</v>
      </c>
      <c r="E27" s="465"/>
      <c r="F27" s="462">
        <f>SUMIF(90:90,E27,91:91)-SUMIF(90:90,C27,91:91)+100</f>
        <v>100</v>
      </c>
      <c r="G27" s="463"/>
      <c r="H27" s="462">
        <f>SUMIF(90:90,G27,91:91)-SUMIF(90:90,C27,91:91)+100</f>
        <v>100</v>
      </c>
      <c r="I27" s="463"/>
      <c r="J27" s="462">
        <f>SUMIF(90:90,I27,91:91)-SUMIF(90:90,C27,91:91)+100</f>
        <v>100</v>
      </c>
      <c r="K27" s="2602"/>
      <c r="L27" s="1134"/>
      <c r="M27" s="1135"/>
      <c r="N27" s="1135"/>
      <c r="O27" s="1135"/>
      <c r="P27" s="3356"/>
      <c r="Q27" s="1797">
        <f t="shared" si="11"/>
        <v>0</v>
      </c>
      <c r="R27" s="770" t="s">
        <v>21</v>
      </c>
      <c r="S27" s="771">
        <f t="shared" si="12"/>
        <v>100</v>
      </c>
      <c r="T27" s="770" t="s">
        <v>21</v>
      </c>
      <c r="U27" s="771">
        <f t="shared" si="13"/>
        <v>100</v>
      </c>
      <c r="V27" s="770" t="s">
        <v>21</v>
      </c>
      <c r="W27" s="771">
        <f t="shared" si="14"/>
        <v>100</v>
      </c>
      <c r="X27" s="772"/>
      <c r="Y27" s="3349"/>
      <c r="Z27" s="55">
        <f>Q27</f>
        <v>0</v>
      </c>
      <c r="AA27" s="1813">
        <f t="shared" si="15"/>
        <v>1</v>
      </c>
      <c r="AB27" s="1813">
        <f t="shared" si="16"/>
        <v>1</v>
      </c>
      <c r="AC27" s="1813">
        <f t="shared" si="17"/>
        <v>1</v>
      </c>
    </row>
    <row r="28" spans="1:29" ht="15" hidden="1">
      <c r="A28" s="428"/>
      <c r="B28" s="1388"/>
      <c r="C28" s="434"/>
      <c r="D28" s="435">
        <v>100</v>
      </c>
      <c r="E28" s="434"/>
      <c r="F28" s="435">
        <f>SUMIF(92:92,E28,93:93)-SUMIF(92:92,C28,93:93)+100</f>
        <v>100</v>
      </c>
      <c r="G28" s="2616"/>
      <c r="H28" s="435">
        <f>SUMIF(92:92,G28,93:93)-SUMIF(92:92,C28,93:93)+100</f>
        <v>100</v>
      </c>
      <c r="I28" s="434"/>
      <c r="J28" s="435">
        <f>SUMIF(92:92,I28,93:93)-SUMIF(92:92,C28,93:93)+100</f>
        <v>100</v>
      </c>
      <c r="K28" s="2602"/>
      <c r="L28" s="1142"/>
      <c r="M28" s="1133"/>
      <c r="N28" s="1133"/>
      <c r="O28" s="1133"/>
      <c r="P28" s="3356"/>
      <c r="Q28" s="1812">
        <f t="shared" si="11"/>
        <v>0</v>
      </c>
      <c r="R28" s="774" t="s">
        <v>21</v>
      </c>
      <c r="S28" s="775">
        <f t="shared" si="12"/>
        <v>100</v>
      </c>
      <c r="T28" s="774" t="s">
        <v>21</v>
      </c>
      <c r="U28" s="775">
        <f t="shared" si="13"/>
        <v>100</v>
      </c>
      <c r="V28" s="774" t="s">
        <v>21</v>
      </c>
      <c r="W28" s="775">
        <f t="shared" si="14"/>
        <v>100</v>
      </c>
      <c r="X28" s="1815"/>
      <c r="Y28" s="3349"/>
      <c r="Z28" s="1816">
        <f t="shared" ref="Z28:Z46" si="18">Q28</f>
        <v>0</v>
      </c>
      <c r="AA28" s="1813">
        <f t="shared" si="15"/>
        <v>1</v>
      </c>
      <c r="AB28" s="1813">
        <f t="shared" si="16"/>
        <v>1</v>
      </c>
      <c r="AC28" s="1813">
        <f t="shared" si="17"/>
        <v>1</v>
      </c>
    </row>
    <row r="29" spans="1:29" ht="15" hidden="1">
      <c r="A29" s="428"/>
      <c r="B29" s="1388"/>
      <c r="C29" s="434"/>
      <c r="D29" s="435">
        <v>100</v>
      </c>
      <c r="E29" s="434"/>
      <c r="F29" s="435">
        <f>SUMIF(94:94,E29,95:95)-SUMIF(94:94,C29,95:95)+100</f>
        <v>100</v>
      </c>
      <c r="G29" s="2616"/>
      <c r="H29" s="435">
        <f>SUMIF(94:94,G29,95:95)-SUMIF(94:94,C29,95:95)+100</f>
        <v>100</v>
      </c>
      <c r="I29" s="434"/>
      <c r="J29" s="435">
        <f>SUMIF(94:94,I29,95:95)-SUMIF(94:94,C29,95:95)+100</f>
        <v>100</v>
      </c>
      <c r="K29" s="2602"/>
      <c r="L29" s="1142"/>
      <c r="M29" s="1133"/>
      <c r="N29" s="1133"/>
      <c r="O29" s="1133"/>
      <c r="P29" s="3356"/>
      <c r="Q29" s="1812">
        <f t="shared" si="11"/>
        <v>0</v>
      </c>
      <c r="R29" s="774" t="s">
        <v>21</v>
      </c>
      <c r="S29" s="775">
        <f t="shared" si="12"/>
        <v>100</v>
      </c>
      <c r="T29" s="774" t="s">
        <v>21</v>
      </c>
      <c r="U29" s="775">
        <f t="shared" si="13"/>
        <v>100</v>
      </c>
      <c r="V29" s="774" t="s">
        <v>21</v>
      </c>
      <c r="W29" s="775">
        <f t="shared" si="14"/>
        <v>100</v>
      </c>
      <c r="X29" s="1815"/>
      <c r="Y29" s="3349"/>
      <c r="Z29" s="1816">
        <f t="shared" si="18"/>
        <v>0</v>
      </c>
      <c r="AA29" s="1813">
        <f t="shared" si="15"/>
        <v>1</v>
      </c>
      <c r="AB29" s="1813">
        <f t="shared" si="16"/>
        <v>1</v>
      </c>
      <c r="AC29" s="1813">
        <f t="shared" si="17"/>
        <v>1</v>
      </c>
    </row>
    <row r="30" spans="1:29" ht="15" hidden="1">
      <c r="A30" s="428"/>
      <c r="B30" s="1388"/>
      <c r="C30" s="434"/>
      <c r="D30" s="435">
        <v>100</v>
      </c>
      <c r="E30" s="434"/>
      <c r="F30" s="435">
        <f>SUMIF(96:96,E30,97:97)-SUMIF(96:96,C30,97:97)+100</f>
        <v>100</v>
      </c>
      <c r="G30" s="2616"/>
      <c r="H30" s="435">
        <f>SUMIF(96:96,G30,97:97)-SUMIF(96:96,C30,97:97)+100</f>
        <v>100</v>
      </c>
      <c r="I30" s="434"/>
      <c r="J30" s="435">
        <f>SUMIF(96:96,I30,97:97)-SUMIF(96:96,C30,97:97)+100</f>
        <v>100</v>
      </c>
      <c r="K30" s="2602"/>
      <c r="L30" s="1142"/>
      <c r="M30" s="1133"/>
      <c r="N30" s="1133"/>
      <c r="O30" s="1133"/>
      <c r="P30" s="3356"/>
      <c r="Q30" s="1812">
        <f t="shared" si="11"/>
        <v>0</v>
      </c>
      <c r="R30" s="774" t="s">
        <v>21</v>
      </c>
      <c r="S30" s="775">
        <f t="shared" si="12"/>
        <v>100</v>
      </c>
      <c r="T30" s="774" t="s">
        <v>21</v>
      </c>
      <c r="U30" s="775">
        <f t="shared" si="13"/>
        <v>100</v>
      </c>
      <c r="V30" s="774" t="s">
        <v>21</v>
      </c>
      <c r="W30" s="775">
        <f t="shared" si="14"/>
        <v>100</v>
      </c>
      <c r="X30" s="1815"/>
      <c r="Y30" s="3349"/>
      <c r="Z30" s="1816">
        <f t="shared" si="18"/>
        <v>0</v>
      </c>
      <c r="AA30" s="1813">
        <f t="shared" si="15"/>
        <v>1</v>
      </c>
      <c r="AB30" s="1813">
        <f t="shared" si="16"/>
        <v>1</v>
      </c>
      <c r="AC30" s="1813">
        <f t="shared" si="17"/>
        <v>1</v>
      </c>
    </row>
    <row r="31" spans="1:29" ht="15.75" hidden="1" thickBot="1">
      <c r="A31" s="436"/>
      <c r="B31" s="1388"/>
      <c r="C31" s="437"/>
      <c r="D31" s="438">
        <v>100</v>
      </c>
      <c r="E31" s="437"/>
      <c r="F31" s="438">
        <f>SUMIF(98:98,E31,99:99)-SUMIF(98:98,C31,99:99)+100</f>
        <v>100</v>
      </c>
      <c r="G31" s="2617"/>
      <c r="H31" s="438">
        <f>SUMIF(98:98,G31,99:99)-SUMIF(98:98,C31,99:99)+100</f>
        <v>100</v>
      </c>
      <c r="I31" s="437"/>
      <c r="J31" s="438">
        <f>SUMIF(98:98,I31,99:99)-SUMIF(98:98,C31,99:99)+100</f>
        <v>100</v>
      </c>
      <c r="K31" s="2602"/>
      <c r="L31" s="1142"/>
      <c r="M31" s="1133"/>
      <c r="N31" s="1133"/>
      <c r="O31" s="1133"/>
      <c r="P31" s="3356"/>
      <c r="Q31" s="1812">
        <f t="shared" si="11"/>
        <v>0</v>
      </c>
      <c r="R31" s="774" t="s">
        <v>21</v>
      </c>
      <c r="S31" s="775">
        <f t="shared" si="12"/>
        <v>100</v>
      </c>
      <c r="T31" s="774" t="s">
        <v>21</v>
      </c>
      <c r="U31" s="775">
        <f t="shared" si="13"/>
        <v>100</v>
      </c>
      <c r="V31" s="774" t="s">
        <v>21</v>
      </c>
      <c r="W31" s="775">
        <f t="shared" si="14"/>
        <v>100</v>
      </c>
      <c r="X31" s="1815"/>
      <c r="Y31" s="3349"/>
      <c r="Z31" s="1816">
        <f t="shared" si="18"/>
        <v>0</v>
      </c>
      <c r="AA31" s="1813">
        <f t="shared" si="15"/>
        <v>1</v>
      </c>
      <c r="AB31" s="1813">
        <f t="shared" si="16"/>
        <v>1</v>
      </c>
      <c r="AC31" s="1813">
        <f t="shared" si="17"/>
        <v>1</v>
      </c>
    </row>
    <row r="32" spans="1:29" ht="15">
      <c r="A32" s="440" t="s">
        <v>2557</v>
      </c>
      <c r="B32" s="71" t="s">
        <v>2558</v>
      </c>
      <c r="C32" s="2618" t="s">
        <v>3119</v>
      </c>
      <c r="D32" s="467">
        <v>100</v>
      </c>
      <c r="E32" s="2618" t="s">
        <v>3119</v>
      </c>
      <c r="F32" s="461">
        <f>SUMIF(100:100,E32,101:101)-SUMIF(100:100,C32,101:101)+100</f>
        <v>100</v>
      </c>
      <c r="G32" s="2618" t="s">
        <v>3119</v>
      </c>
      <c r="H32" s="467">
        <f>SUMIF(100:100,G32,101:101)-SUMIF(100:100,C32,101:101)+100</f>
        <v>100</v>
      </c>
      <c r="I32" s="2618" t="s">
        <v>3119</v>
      </c>
      <c r="J32" s="435">
        <f>SUMIF(100:100,I32,101:101)-SUMIF(100:100,C32,101:101)+100</f>
        <v>100</v>
      </c>
      <c r="K32" s="426"/>
      <c r="L32" s="1142"/>
      <c r="M32" s="1133"/>
      <c r="N32" s="1133"/>
      <c r="O32" s="1133"/>
      <c r="P32" s="3350" t="s">
        <v>2559</v>
      </c>
      <c r="Q32" s="1812" t="str">
        <f t="shared" si="11"/>
        <v>建筑类型</v>
      </c>
      <c r="R32" s="774" t="s">
        <v>21</v>
      </c>
      <c r="S32" s="775">
        <f t="shared" si="12"/>
        <v>100</v>
      </c>
      <c r="T32" s="774" t="s">
        <v>21</v>
      </c>
      <c r="U32" s="775">
        <f t="shared" si="13"/>
        <v>100</v>
      </c>
      <c r="V32" s="774" t="s">
        <v>21</v>
      </c>
      <c r="W32" s="775">
        <f t="shared" si="14"/>
        <v>100</v>
      </c>
      <c r="X32" s="1815"/>
      <c r="Y32" s="3353" t="s">
        <v>2559</v>
      </c>
      <c r="Z32" s="1816" t="str">
        <f t="shared" si="18"/>
        <v>建筑类型</v>
      </c>
      <c r="AA32" s="1813">
        <f t="shared" si="15"/>
        <v>1</v>
      </c>
      <c r="AB32" s="1813">
        <f t="shared" si="16"/>
        <v>1</v>
      </c>
      <c r="AC32" s="1813">
        <f t="shared" si="17"/>
        <v>1</v>
      </c>
    </row>
    <row r="33" spans="1:29" s="471" customFormat="1" ht="15">
      <c r="A33" s="468"/>
      <c r="B33" s="422" t="s">
        <v>2560</v>
      </c>
      <c r="C33" s="469">
        <f>规证!E24</f>
        <v>198640.42</v>
      </c>
      <c r="D33" s="136">
        <v>100</v>
      </c>
      <c r="E33" s="469">
        <v>160000</v>
      </c>
      <c r="F33" s="425">
        <f>LOOKUP(E33,103:103,104:104)-LOOKUP(C33,103:103,104:104)+100</f>
        <v>100</v>
      </c>
      <c r="G33" s="469">
        <v>280000</v>
      </c>
      <c r="H33" s="136">
        <f>LOOKUP(G33,103:103,104:104)-LOOKUP(C33,103:103,104:104)+100</f>
        <v>100</v>
      </c>
      <c r="I33" s="469">
        <v>2050000</v>
      </c>
      <c r="J33" s="136">
        <f>LOOKUP(I33,103:103,104:104)-LOOKUP(C33,103:103,104:104)+100</f>
        <v>100</v>
      </c>
      <c r="K33" s="2602"/>
      <c r="L33" s="1140"/>
      <c r="M33" s="1143"/>
      <c r="N33" s="1143"/>
      <c r="O33" s="1143"/>
      <c r="P33" s="3351"/>
      <c r="Q33" s="776" t="str">
        <f t="shared" si="11"/>
        <v>项目建筑规模</v>
      </c>
      <c r="R33" s="777" t="s">
        <v>21</v>
      </c>
      <c r="S33" s="778">
        <f t="shared" si="12"/>
        <v>100</v>
      </c>
      <c r="T33" s="777" t="s">
        <v>21</v>
      </c>
      <c r="U33" s="778">
        <f t="shared" si="13"/>
        <v>100</v>
      </c>
      <c r="V33" s="777" t="s">
        <v>21</v>
      </c>
      <c r="W33" s="778">
        <f t="shared" si="14"/>
        <v>100</v>
      </c>
      <c r="X33" s="779"/>
      <c r="Y33" s="3353"/>
      <c r="Z33" s="780" t="str">
        <f t="shared" si="18"/>
        <v>项目建筑规模</v>
      </c>
      <c r="AA33" s="1813">
        <f t="shared" si="15"/>
        <v>1</v>
      </c>
      <c r="AB33" s="1813">
        <f t="shared" si="16"/>
        <v>1</v>
      </c>
      <c r="AC33" s="1813">
        <f t="shared" si="17"/>
        <v>1</v>
      </c>
    </row>
    <row r="34" spans="1:29" ht="15">
      <c r="A34" s="472"/>
      <c r="B34" s="422" t="s">
        <v>2561</v>
      </c>
      <c r="C34" s="2620" t="s">
        <v>3087</v>
      </c>
      <c r="D34" s="435">
        <v>100</v>
      </c>
      <c r="E34" s="2620" t="s">
        <v>3087</v>
      </c>
      <c r="F34" s="461">
        <f>SUMIF(105:105,E34,106:106)-SUMIF(105:105,C34,106:106)+100</f>
        <v>100</v>
      </c>
      <c r="G34" s="2620" t="s">
        <v>3087</v>
      </c>
      <c r="H34" s="435">
        <f>SUMIF(105:105,G34,106:106)-SUMIF(105:105,C34,106:106)+100</f>
        <v>100</v>
      </c>
      <c r="I34" s="2620" t="s">
        <v>3087</v>
      </c>
      <c r="J34" s="435">
        <f>SUMIF(105:105,I34,106:106)-SUMIF(105:105,C34,106:106)+100</f>
        <v>100</v>
      </c>
      <c r="K34" s="426">
        <v>2</v>
      </c>
      <c r="L34" s="1142"/>
      <c r="M34" s="1133"/>
      <c r="N34" s="1133"/>
      <c r="O34" s="1133"/>
      <c r="P34" s="3351"/>
      <c r="Q34" s="1812" t="str">
        <f t="shared" si="11"/>
        <v>建筑结构</v>
      </c>
      <c r="R34" s="774" t="s">
        <v>21</v>
      </c>
      <c r="S34" s="775">
        <f t="shared" si="12"/>
        <v>100</v>
      </c>
      <c r="T34" s="774" t="s">
        <v>21</v>
      </c>
      <c r="U34" s="775">
        <f t="shared" si="13"/>
        <v>100</v>
      </c>
      <c r="V34" s="774" t="s">
        <v>21</v>
      </c>
      <c r="W34" s="775">
        <f t="shared" si="14"/>
        <v>100</v>
      </c>
      <c r="X34" s="1815"/>
      <c r="Y34" s="3353"/>
      <c r="Z34" s="1816" t="str">
        <f t="shared" si="18"/>
        <v>建筑结构</v>
      </c>
      <c r="AA34" s="1813">
        <f t="shared" si="15"/>
        <v>1</v>
      </c>
      <c r="AB34" s="1813">
        <f t="shared" si="16"/>
        <v>1</v>
      </c>
      <c r="AC34" s="1813">
        <f t="shared" si="17"/>
        <v>1</v>
      </c>
    </row>
    <row r="35" spans="1:29" ht="15">
      <c r="A35" s="472"/>
      <c r="B35" s="422" t="s">
        <v>2562</v>
      </c>
      <c r="C35" s="2614" t="s">
        <v>3116</v>
      </c>
      <c r="D35" s="435">
        <v>100</v>
      </c>
      <c r="E35" s="2614" t="s">
        <v>3114</v>
      </c>
      <c r="F35" s="461">
        <f>SUMIF(107:107,E35,108:108)-SUMIF(107:107,C35,108:108)+100</f>
        <v>95</v>
      </c>
      <c r="G35" s="2614" t="s">
        <v>3114</v>
      </c>
      <c r="H35" s="435">
        <f>SUMIF(107:107,G35,108:108)-SUMIF(107:107,C35,108:108)+100</f>
        <v>95</v>
      </c>
      <c r="I35" s="2614" t="s">
        <v>3114</v>
      </c>
      <c r="J35" s="435">
        <f>SUMIF(107:107,I35,108:108)-SUMIF(107:107,C35,108:108)+100</f>
        <v>95</v>
      </c>
      <c r="K35" s="426">
        <v>5</v>
      </c>
      <c r="L35" s="1142"/>
      <c r="M35" s="1133"/>
      <c r="N35" s="1133"/>
      <c r="O35" s="1133"/>
      <c r="P35" s="3351"/>
      <c r="Q35" s="1812" t="str">
        <f t="shared" si="11"/>
        <v>建筑品质</v>
      </c>
      <c r="R35" s="774" t="s">
        <v>21</v>
      </c>
      <c r="S35" s="775">
        <f t="shared" si="12"/>
        <v>95</v>
      </c>
      <c r="T35" s="774" t="s">
        <v>21</v>
      </c>
      <c r="U35" s="775">
        <f t="shared" si="13"/>
        <v>95</v>
      </c>
      <c r="V35" s="774" t="s">
        <v>21</v>
      </c>
      <c r="W35" s="775">
        <f t="shared" si="14"/>
        <v>95</v>
      </c>
      <c r="X35" s="1815"/>
      <c r="Y35" s="3353"/>
      <c r="Z35" s="1816" t="str">
        <f t="shared" si="18"/>
        <v>建筑品质</v>
      </c>
      <c r="AA35" s="1813">
        <f t="shared" si="15"/>
        <v>1.0526315789473684</v>
      </c>
      <c r="AB35" s="1813">
        <f t="shared" si="16"/>
        <v>1.0526315789473684</v>
      </c>
      <c r="AC35" s="1813">
        <f t="shared" si="17"/>
        <v>1.0526315789473684</v>
      </c>
    </row>
    <row r="36" spans="1:29" ht="15">
      <c r="A36" s="472"/>
      <c r="B36" s="422" t="s">
        <v>2563</v>
      </c>
      <c r="C36" s="2614" t="s">
        <v>3112</v>
      </c>
      <c r="D36" s="435">
        <v>100</v>
      </c>
      <c r="E36" s="2614" t="s">
        <v>3112</v>
      </c>
      <c r="F36" s="461">
        <f>SUMIF(109:109,E36,110:110)-SUMIF(109:109,C36,110:110)+100</f>
        <v>100</v>
      </c>
      <c r="G36" s="2614" t="s">
        <v>3112</v>
      </c>
      <c r="H36" s="435">
        <f>SUMIF(109:109,G36,110:110)-SUMIF(109:109,C36,110:110)+100</f>
        <v>100</v>
      </c>
      <c r="I36" s="2614" t="s">
        <v>3112</v>
      </c>
      <c r="J36" s="435">
        <f>SUMIF(109:109,I36,110:110)-SUMIF(109:109,C36,110:110)+100</f>
        <v>100</v>
      </c>
      <c r="K36" s="426">
        <v>2</v>
      </c>
      <c r="L36" s="1142"/>
      <c r="M36" s="1133"/>
      <c r="N36" s="1133"/>
      <c r="O36" s="1133"/>
      <c r="P36" s="3351"/>
      <c r="Q36" s="1812" t="str">
        <f t="shared" si="11"/>
        <v>公共部分装修</v>
      </c>
      <c r="R36" s="774" t="s">
        <v>21</v>
      </c>
      <c r="S36" s="775">
        <f t="shared" si="12"/>
        <v>100</v>
      </c>
      <c r="T36" s="774" t="s">
        <v>21</v>
      </c>
      <c r="U36" s="775">
        <f t="shared" si="13"/>
        <v>100</v>
      </c>
      <c r="V36" s="774" t="s">
        <v>21</v>
      </c>
      <c r="W36" s="775">
        <f t="shared" si="14"/>
        <v>100</v>
      </c>
      <c r="X36" s="1815"/>
      <c r="Y36" s="3353"/>
      <c r="Z36" s="1816" t="str">
        <f t="shared" si="18"/>
        <v>公共部分装修</v>
      </c>
      <c r="AA36" s="1813">
        <f t="shared" si="15"/>
        <v>1</v>
      </c>
      <c r="AB36" s="1813">
        <f t="shared" si="16"/>
        <v>1</v>
      </c>
      <c r="AC36" s="1813">
        <f t="shared" si="17"/>
        <v>1</v>
      </c>
    </row>
    <row r="37" spans="1:29" s="117" customFormat="1" ht="15">
      <c r="A37" s="473"/>
      <c r="B37" s="422" t="s">
        <v>2564</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4"/>
      <c r="M37" s="1135"/>
      <c r="N37" s="1135"/>
      <c r="O37" s="1135"/>
      <c r="P37" s="3351"/>
      <c r="Q37" s="1797" t="str">
        <f t="shared" si="11"/>
        <v>成新度</v>
      </c>
      <c r="R37" s="770" t="s">
        <v>21</v>
      </c>
      <c r="S37" s="771">
        <f t="shared" si="12"/>
        <v>100</v>
      </c>
      <c r="T37" s="770" t="s">
        <v>21</v>
      </c>
      <c r="U37" s="771">
        <f t="shared" si="13"/>
        <v>100</v>
      </c>
      <c r="V37" s="770" t="s">
        <v>21</v>
      </c>
      <c r="W37" s="771">
        <f t="shared" si="14"/>
        <v>100</v>
      </c>
      <c r="X37" s="772"/>
      <c r="Y37" s="3353"/>
      <c r="Z37" s="55" t="str">
        <f t="shared" si="18"/>
        <v>成新度</v>
      </c>
      <c r="AA37" s="773">
        <f t="shared" si="15"/>
        <v>1</v>
      </c>
      <c r="AB37" s="773">
        <f t="shared" si="16"/>
        <v>1</v>
      </c>
      <c r="AC37" s="773">
        <f t="shared" si="17"/>
        <v>1</v>
      </c>
    </row>
    <row r="38" spans="1:29" ht="15">
      <c r="A38" s="472"/>
      <c r="B38" s="422" t="s">
        <v>2565</v>
      </c>
      <c r="C38" s="2614" t="s">
        <v>3110</v>
      </c>
      <c r="D38" s="435">
        <v>100</v>
      </c>
      <c r="E38" s="2614" t="s">
        <v>3110</v>
      </c>
      <c r="F38" s="461">
        <f>SUMIF(114:114,E38,115:115)-SUMIF(114:114,C38,115:115)+100</f>
        <v>100</v>
      </c>
      <c r="G38" s="2614" t="s">
        <v>3110</v>
      </c>
      <c r="H38" s="435">
        <f>SUMIF(114:114,G38,115:115)-SUMIF(114:114,C38,115:115)+100</f>
        <v>100</v>
      </c>
      <c r="I38" s="2614" t="s">
        <v>3110</v>
      </c>
      <c r="J38" s="435">
        <f>SUMIF(114:114,I38,115:115)-SUMIF(114:114,C38,115:115)+100</f>
        <v>100</v>
      </c>
      <c r="K38" s="426">
        <v>2</v>
      </c>
      <c r="L38" s="1142"/>
      <c r="M38" s="1133"/>
      <c r="N38" s="1133"/>
      <c r="O38" s="1133"/>
      <c r="P38" s="3351" t="s">
        <v>2559</v>
      </c>
      <c r="Q38" s="1812" t="str">
        <f t="shared" si="11"/>
        <v>物业管理</v>
      </c>
      <c r="R38" s="774" t="s">
        <v>21</v>
      </c>
      <c r="S38" s="775">
        <f t="shared" si="12"/>
        <v>100</v>
      </c>
      <c r="T38" s="774" t="s">
        <v>21</v>
      </c>
      <c r="U38" s="775">
        <f t="shared" si="13"/>
        <v>100</v>
      </c>
      <c r="V38" s="774" t="s">
        <v>21</v>
      </c>
      <c r="W38" s="775">
        <f t="shared" si="14"/>
        <v>100</v>
      </c>
      <c r="X38" s="1815"/>
      <c r="Y38" s="3353" t="s">
        <v>2559</v>
      </c>
      <c r="Z38" s="1816" t="str">
        <f t="shared" si="18"/>
        <v>物业管理</v>
      </c>
      <c r="AA38" s="1813">
        <f t="shared" si="15"/>
        <v>1</v>
      </c>
      <c r="AB38" s="1813">
        <f t="shared" si="16"/>
        <v>1</v>
      </c>
      <c r="AC38" s="1813">
        <f t="shared" si="17"/>
        <v>1</v>
      </c>
    </row>
    <row r="39" spans="1:29" ht="15">
      <c r="A39" s="472"/>
      <c r="B39" s="422" t="s">
        <v>2566</v>
      </c>
      <c r="C39" s="2614" t="s">
        <v>3108</v>
      </c>
      <c r="D39" s="435">
        <v>100</v>
      </c>
      <c r="E39" s="2614" t="s">
        <v>3108</v>
      </c>
      <c r="F39" s="461">
        <f>SUMIF(116:116,E39,117:117)-SUMIF(116:116,C39,117:117)+100</f>
        <v>100</v>
      </c>
      <c r="G39" s="2614" t="s">
        <v>3108</v>
      </c>
      <c r="H39" s="435">
        <f>SUMIF(116:116,G39,117:117)-SUMIF(116:116,C39,117:117)+100</f>
        <v>100</v>
      </c>
      <c r="I39" s="2614" t="s">
        <v>3108</v>
      </c>
      <c r="J39" s="435">
        <f>SUMIF(116:116,I39,117:117)-SUMIF(116:116,C39,117:117)+100</f>
        <v>100</v>
      </c>
      <c r="K39" s="426">
        <v>2</v>
      </c>
      <c r="L39" s="1142"/>
      <c r="M39" s="1133"/>
      <c r="N39" s="1133"/>
      <c r="O39" s="1133"/>
      <c r="P39" s="3351"/>
      <c r="Q39" s="1812" t="str">
        <f t="shared" si="11"/>
        <v>市政基础设施</v>
      </c>
      <c r="R39" s="774" t="s">
        <v>21</v>
      </c>
      <c r="S39" s="775">
        <f t="shared" si="12"/>
        <v>100</v>
      </c>
      <c r="T39" s="774" t="s">
        <v>21</v>
      </c>
      <c r="U39" s="775">
        <f t="shared" si="13"/>
        <v>100</v>
      </c>
      <c r="V39" s="774" t="s">
        <v>21</v>
      </c>
      <c r="W39" s="775">
        <f t="shared" si="14"/>
        <v>100</v>
      </c>
      <c r="X39" s="1815"/>
      <c r="Y39" s="3353"/>
      <c r="Z39" s="1816" t="str">
        <f t="shared" si="18"/>
        <v>市政基础设施</v>
      </c>
      <c r="AA39" s="1813">
        <f t="shared" si="15"/>
        <v>1</v>
      </c>
      <c r="AB39" s="1813">
        <f t="shared" si="16"/>
        <v>1</v>
      </c>
      <c r="AC39" s="1813">
        <f t="shared" si="17"/>
        <v>1</v>
      </c>
    </row>
    <row r="40" spans="1:29" ht="15">
      <c r="A40" s="472"/>
      <c r="B40" s="422" t="s">
        <v>2567</v>
      </c>
      <c r="C40" s="2614" t="s">
        <v>3106</v>
      </c>
      <c r="D40" s="435">
        <v>100</v>
      </c>
      <c r="E40" s="2614" t="s">
        <v>3106</v>
      </c>
      <c r="F40" s="461">
        <f>SUMIF(118:118,E40,119:119)-SUMIF(118:118,C40,119:119)+100</f>
        <v>100</v>
      </c>
      <c r="G40" s="2614" t="s">
        <v>3106</v>
      </c>
      <c r="H40" s="435">
        <f>SUMIF(118:118,G40,119:119)-SUMIF(118:118,C40,119:119)+100</f>
        <v>100</v>
      </c>
      <c r="I40" s="2614" t="s">
        <v>3106</v>
      </c>
      <c r="J40" s="435">
        <f>SUMIF(118:118,I40,119:119)-SUMIF(118:118,C40,119:119)+100</f>
        <v>100</v>
      </c>
      <c r="K40" s="426">
        <v>2</v>
      </c>
      <c r="L40" s="1142"/>
      <c r="M40" s="1133"/>
      <c r="N40" s="1133"/>
      <c r="O40" s="1133"/>
      <c r="P40" s="3351"/>
      <c r="Q40" s="1812" t="str">
        <f t="shared" si="11"/>
        <v>房型</v>
      </c>
      <c r="R40" s="774" t="s">
        <v>21</v>
      </c>
      <c r="S40" s="775">
        <f t="shared" si="12"/>
        <v>100</v>
      </c>
      <c r="T40" s="774" t="s">
        <v>21</v>
      </c>
      <c r="U40" s="775">
        <f t="shared" si="13"/>
        <v>100</v>
      </c>
      <c r="V40" s="774" t="s">
        <v>21</v>
      </c>
      <c r="W40" s="775">
        <f t="shared" si="14"/>
        <v>100</v>
      </c>
      <c r="X40" s="1815"/>
      <c r="Y40" s="3353"/>
      <c r="Z40" s="1816" t="str">
        <f t="shared" si="18"/>
        <v>房型</v>
      </c>
      <c r="AA40" s="1813">
        <f t="shared" si="15"/>
        <v>1</v>
      </c>
      <c r="AB40" s="1813">
        <f t="shared" si="16"/>
        <v>1</v>
      </c>
      <c r="AC40" s="1813">
        <f t="shared" si="17"/>
        <v>1</v>
      </c>
    </row>
    <row r="41" spans="1:29" s="471" customFormat="1" ht="28.5">
      <c r="A41" s="468"/>
      <c r="B41" s="422" t="s">
        <v>2568</v>
      </c>
      <c r="C41" s="469"/>
      <c r="D41" s="136">
        <v>100</v>
      </c>
      <c r="E41" s="469" t="s">
        <v>3220</v>
      </c>
      <c r="F41" s="425">
        <f>SUMIF(120:120,E41,121:121)-SUMIF(120:120,C41,121:121)+100</f>
        <v>100</v>
      </c>
      <c r="G41" s="429" t="s">
        <v>3221</v>
      </c>
      <c r="H41" s="136">
        <f>SUMIF(120:120,G41,121:121)-SUMIF(120:120,C41,121:121)+100</f>
        <v>100</v>
      </c>
      <c r="I41" s="477" t="s">
        <v>3222</v>
      </c>
      <c r="J41" s="435">
        <f>SUMIF(120:120,I41,121:121)-SUMIF(120:120,C41,121:121)+100</f>
        <v>100</v>
      </c>
      <c r="K41" s="2602"/>
      <c r="L41" s="1140"/>
      <c r="M41" s="1143"/>
      <c r="N41" s="1143"/>
      <c r="O41" s="1143"/>
      <c r="P41" s="3351"/>
      <c r="Q41" s="776" t="str">
        <f t="shared" si="11"/>
        <v>单套/主力户型建筑面积</v>
      </c>
      <c r="R41" s="777" t="s">
        <v>21</v>
      </c>
      <c r="S41" s="778">
        <f t="shared" si="12"/>
        <v>100</v>
      </c>
      <c r="T41" s="777" t="s">
        <v>21</v>
      </c>
      <c r="U41" s="778">
        <f t="shared" si="13"/>
        <v>100</v>
      </c>
      <c r="V41" s="777" t="s">
        <v>21</v>
      </c>
      <c r="W41" s="778">
        <f t="shared" si="14"/>
        <v>100</v>
      </c>
      <c r="X41" s="779"/>
      <c r="Y41" s="3353"/>
      <c r="Z41" s="780" t="str">
        <f t="shared" si="18"/>
        <v>单套/主力户型建筑面积</v>
      </c>
      <c r="AA41" s="1813">
        <f t="shared" si="15"/>
        <v>1</v>
      </c>
      <c r="AB41" s="1813">
        <f t="shared" si="16"/>
        <v>1</v>
      </c>
      <c r="AC41" s="1813">
        <f t="shared" si="17"/>
        <v>1</v>
      </c>
    </row>
    <row r="42" spans="1:29" ht="15">
      <c r="A42" s="472"/>
      <c r="B42" s="422" t="s">
        <v>2569</v>
      </c>
      <c r="C42" s="2614" t="s">
        <v>3094</v>
      </c>
      <c r="D42" s="435">
        <v>100</v>
      </c>
      <c r="E42" s="2614" t="s">
        <v>3097</v>
      </c>
      <c r="F42" s="461">
        <f>SUMIF(122:122,E42,123:123)-SUMIF(122:122,C42,123:123)+100</f>
        <v>90</v>
      </c>
      <c r="G42" s="2615" t="s">
        <v>3097</v>
      </c>
      <c r="H42" s="435">
        <f>SUMIF(122:122,G42,123:123)-SUMIF(122:122,C42,123:123)+100</f>
        <v>90</v>
      </c>
      <c r="I42" s="2615" t="s">
        <v>3097</v>
      </c>
      <c r="J42" s="435">
        <f>SUMIF(122:122,I42,123:123)-SUMIF(122:122,C42,123:123)+100</f>
        <v>90</v>
      </c>
      <c r="K42" s="426">
        <v>5</v>
      </c>
      <c r="L42" s="1142"/>
      <c r="M42" s="1133"/>
      <c r="N42" s="1133"/>
      <c r="O42" s="1133"/>
      <c r="P42" s="3351"/>
      <c r="Q42" s="1812" t="str">
        <f t="shared" si="11"/>
        <v>内部装修</v>
      </c>
      <c r="R42" s="774" t="s">
        <v>21</v>
      </c>
      <c r="S42" s="775">
        <f t="shared" si="12"/>
        <v>90</v>
      </c>
      <c r="T42" s="774" t="s">
        <v>21</v>
      </c>
      <c r="U42" s="775">
        <f t="shared" si="13"/>
        <v>90</v>
      </c>
      <c r="V42" s="774" t="s">
        <v>21</v>
      </c>
      <c r="W42" s="775">
        <f t="shared" si="14"/>
        <v>90</v>
      </c>
      <c r="X42" s="1815"/>
      <c r="Y42" s="3353"/>
      <c r="Z42" s="1816" t="str">
        <f t="shared" si="18"/>
        <v>内部装修</v>
      </c>
      <c r="AA42" s="1813">
        <f t="shared" si="15"/>
        <v>1.1111111111111112</v>
      </c>
      <c r="AB42" s="1813">
        <f t="shared" si="16"/>
        <v>1.1111111111111112</v>
      </c>
      <c r="AC42" s="1813">
        <f t="shared" si="17"/>
        <v>1.1111111111111112</v>
      </c>
    </row>
    <row r="43" spans="1:29" ht="15.75" thickBot="1">
      <c r="A43" s="472"/>
      <c r="B43" s="422" t="s">
        <v>2570</v>
      </c>
      <c r="C43" s="2614" t="s">
        <v>3093</v>
      </c>
      <c r="D43" s="435">
        <v>100</v>
      </c>
      <c r="E43" s="2614" t="s">
        <v>3093</v>
      </c>
      <c r="F43" s="461">
        <f>SUMIF(124:124,E43,125:125)-SUMIF(124:124,C43,125:125)+100</f>
        <v>100</v>
      </c>
      <c r="G43" s="2614" t="s">
        <v>3093</v>
      </c>
      <c r="H43" s="435">
        <f>SUMIF(124:124,G43,125:125)-SUMIF(124:124,C43,125:125)+100</f>
        <v>100</v>
      </c>
      <c r="I43" s="2614" t="s">
        <v>3093</v>
      </c>
      <c r="J43" s="435">
        <f>SUMIF(124:124,I43,125:125)-SUMIF(124:124,C43,125:125)+100</f>
        <v>100</v>
      </c>
      <c r="K43" s="426">
        <v>2</v>
      </c>
      <c r="L43" s="1142"/>
      <c r="M43" s="1133"/>
      <c r="N43" s="1133"/>
      <c r="O43" s="1133"/>
      <c r="P43" s="3351"/>
      <c r="Q43" s="1812" t="str">
        <f t="shared" si="11"/>
        <v>内部装修维护情况</v>
      </c>
      <c r="R43" s="774" t="s">
        <v>21</v>
      </c>
      <c r="S43" s="775">
        <f t="shared" si="12"/>
        <v>100</v>
      </c>
      <c r="T43" s="774" t="s">
        <v>21</v>
      </c>
      <c r="U43" s="775">
        <f t="shared" si="13"/>
        <v>100</v>
      </c>
      <c r="V43" s="774" t="s">
        <v>21</v>
      </c>
      <c r="W43" s="775">
        <f t="shared" si="14"/>
        <v>100</v>
      </c>
      <c r="X43" s="1815"/>
      <c r="Y43" s="3353"/>
      <c r="Z43" s="1816" t="str">
        <f t="shared" si="18"/>
        <v>内部装修维护情况</v>
      </c>
      <c r="AA43" s="1813">
        <f t="shared" si="15"/>
        <v>1</v>
      </c>
      <c r="AB43" s="1813">
        <f t="shared" si="16"/>
        <v>1</v>
      </c>
      <c r="AC43" s="1813">
        <f t="shared" si="17"/>
        <v>1</v>
      </c>
    </row>
    <row r="44" spans="1:29" s="117" customFormat="1" ht="15" hidden="1">
      <c r="A44" s="473"/>
      <c r="B44" s="1388"/>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4"/>
      <c r="M44" s="1135"/>
      <c r="N44" s="1135"/>
      <c r="O44" s="1135"/>
      <c r="P44" s="3351"/>
      <c r="Q44" s="1797">
        <f t="shared" si="11"/>
        <v>0</v>
      </c>
      <c r="R44" s="770" t="s">
        <v>21</v>
      </c>
      <c r="S44" s="771">
        <f t="shared" si="12"/>
        <v>100</v>
      </c>
      <c r="T44" s="770" t="s">
        <v>21</v>
      </c>
      <c r="U44" s="771">
        <f t="shared" si="13"/>
        <v>100</v>
      </c>
      <c r="V44" s="770" t="s">
        <v>21</v>
      </c>
      <c r="W44" s="771">
        <f t="shared" si="14"/>
        <v>100</v>
      </c>
      <c r="X44" s="772"/>
      <c r="Y44" s="3353"/>
      <c r="Z44" s="55">
        <f t="shared" si="18"/>
        <v>0</v>
      </c>
      <c r="AA44" s="773">
        <f t="shared" si="15"/>
        <v>1</v>
      </c>
      <c r="AB44" s="773">
        <f t="shared" si="16"/>
        <v>1</v>
      </c>
      <c r="AC44" s="773">
        <f t="shared" si="17"/>
        <v>1</v>
      </c>
    </row>
    <row r="45" spans="1:29" ht="15" hidden="1">
      <c r="A45" s="472"/>
      <c r="B45" s="1388"/>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2"/>
      <c r="M45" s="1133"/>
      <c r="N45" s="1133"/>
      <c r="O45" s="1133"/>
      <c r="P45" s="3351"/>
      <c r="Q45" s="1812">
        <f t="shared" si="11"/>
        <v>0</v>
      </c>
      <c r="R45" s="774" t="s">
        <v>21</v>
      </c>
      <c r="S45" s="775">
        <f t="shared" si="12"/>
        <v>100</v>
      </c>
      <c r="T45" s="774" t="s">
        <v>21</v>
      </c>
      <c r="U45" s="775">
        <f t="shared" si="13"/>
        <v>100</v>
      </c>
      <c r="V45" s="774" t="s">
        <v>21</v>
      </c>
      <c r="W45" s="775">
        <f t="shared" si="14"/>
        <v>100</v>
      </c>
      <c r="X45" s="1815"/>
      <c r="Y45" s="3353"/>
      <c r="Z45" s="1816">
        <f t="shared" si="18"/>
        <v>0</v>
      </c>
      <c r="AA45" s="1813">
        <f t="shared" si="15"/>
        <v>1</v>
      </c>
      <c r="AB45" s="1813">
        <f t="shared" si="16"/>
        <v>1</v>
      </c>
      <c r="AC45" s="1813">
        <f t="shared" si="17"/>
        <v>1</v>
      </c>
    </row>
    <row r="46" spans="1:29" ht="15.75" hidden="1" thickBot="1">
      <c r="A46" s="478"/>
      <c r="B46" s="2603"/>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2"/>
      <c r="M46" s="1133"/>
      <c r="N46" s="1133"/>
      <c r="O46" s="1133"/>
      <c r="P46" s="3352"/>
      <c r="Q46" s="1812">
        <f t="shared" si="11"/>
        <v>0</v>
      </c>
      <c r="R46" s="774" t="s">
        <v>20</v>
      </c>
      <c r="S46" s="775">
        <f t="shared" si="12"/>
        <v>100</v>
      </c>
      <c r="T46" s="774" t="s">
        <v>20</v>
      </c>
      <c r="U46" s="775">
        <f t="shared" si="13"/>
        <v>100</v>
      </c>
      <c r="V46" s="774" t="s">
        <v>20</v>
      </c>
      <c r="W46" s="775">
        <f t="shared" si="14"/>
        <v>100</v>
      </c>
      <c r="X46" s="1815"/>
      <c r="Y46" s="3354"/>
      <c r="Z46" s="1816">
        <f t="shared" si="18"/>
        <v>0</v>
      </c>
      <c r="AA46" s="1813">
        <f t="shared" si="15"/>
        <v>1</v>
      </c>
      <c r="AB46" s="1813">
        <f t="shared" si="16"/>
        <v>1</v>
      </c>
      <c r="AC46" s="1813">
        <f t="shared" si="17"/>
        <v>1</v>
      </c>
    </row>
    <row r="47" spans="1:29" ht="15">
      <c r="A47" s="479" t="s">
        <v>2571</v>
      </c>
      <c r="B47" s="480"/>
      <c r="C47" s="1409" t="s">
        <v>19</v>
      </c>
      <c r="D47" s="1410"/>
      <c r="E47" s="1411">
        <v>71000</v>
      </c>
      <c r="F47" s="1412"/>
      <c r="G47" s="1413">
        <v>79000</v>
      </c>
      <c r="H47" s="1414"/>
      <c r="I47" s="1411">
        <v>60000</v>
      </c>
      <c r="J47" s="1414"/>
      <c r="K47" s="2621"/>
      <c r="L47" s="1145"/>
      <c r="M47" s="1146"/>
      <c r="N47" s="1133"/>
      <c r="O47" s="1146"/>
      <c r="P47" s="3346" t="str">
        <f>A47</f>
        <v>成交单价（元/平方米）</v>
      </c>
      <c r="Q47" s="3346"/>
      <c r="R47" s="3347">
        <f>E47</f>
        <v>71000</v>
      </c>
      <c r="S47" s="3347"/>
      <c r="T47" s="3347">
        <f>G47</f>
        <v>79000</v>
      </c>
      <c r="U47" s="3347"/>
      <c r="V47" s="3347">
        <f>I47</f>
        <v>60000</v>
      </c>
      <c r="W47" s="3347"/>
      <c r="X47" s="759"/>
      <c r="Y47" s="781"/>
      <c r="Z47" s="759"/>
      <c r="AA47" s="759"/>
      <c r="AB47" s="759"/>
      <c r="AC47" s="759"/>
    </row>
    <row r="48" spans="1:29" ht="15.75" thickBot="1">
      <c r="A48" s="486" t="s">
        <v>2572</v>
      </c>
      <c r="B48" s="487"/>
      <c r="C48" s="1415">
        <f>R49</f>
        <v>84399</v>
      </c>
      <c r="D48" s="1416"/>
      <c r="E48" s="1417">
        <f>R48</f>
        <v>83041</v>
      </c>
      <c r="F48" s="1417"/>
      <c r="G48" s="1415">
        <f>T48</f>
        <v>92398</v>
      </c>
      <c r="H48" s="1416"/>
      <c r="I48" s="1417">
        <f>V48</f>
        <v>77757</v>
      </c>
      <c r="J48" s="1416"/>
      <c r="K48" s="2622"/>
      <c r="L48" s="1145"/>
      <c r="M48" s="1146"/>
      <c r="N48" s="1146"/>
      <c r="O48" s="1146"/>
      <c r="P48" s="3346" t="str">
        <f>A48</f>
        <v>比较价值（元/平方米）</v>
      </c>
      <c r="Q48" s="3346"/>
      <c r="R48" s="3347">
        <f>IF(F1="售价",ROUND(PRODUCT(R47,AA7:AA46),0),ROUND(PRODUCT(R47,AA7:AA46),1))</f>
        <v>83041</v>
      </c>
      <c r="S48" s="3347"/>
      <c r="T48" s="3347">
        <f>IF(F1="售价",ROUND(PRODUCT(T47,AB7:AB46),0),ROUND(PRODUCT(T47,AB7:AB46),1))</f>
        <v>92398</v>
      </c>
      <c r="U48" s="3347"/>
      <c r="V48" s="3347">
        <f>IF(F1="售价",ROUND(PRODUCT(V47,AC7:AC46),0),ROUND(PRODUCT(V47,AC7:AC46),1))</f>
        <v>77757</v>
      </c>
      <c r="W48" s="3347"/>
      <c r="X48" s="759"/>
      <c r="Y48" s="759"/>
      <c r="Z48" s="759"/>
      <c r="AA48" s="759"/>
      <c r="AB48" s="759"/>
      <c r="AC48" s="759"/>
    </row>
    <row r="49" spans="1:29" ht="15.75" thickBot="1">
      <c r="A49" s="492" t="s">
        <v>2573</v>
      </c>
      <c r="B49" s="493"/>
      <c r="C49" s="1418">
        <f>R49</f>
        <v>84399</v>
      </c>
      <c r="D49" s="1419"/>
      <c r="E49" s="1419"/>
      <c r="F49" s="1419"/>
      <c r="G49" s="1419"/>
      <c r="H49" s="1419"/>
      <c r="I49" s="1419"/>
      <c r="J49" s="1419"/>
      <c r="K49" s="2623"/>
      <c r="L49" s="1145"/>
      <c r="M49" s="1146"/>
      <c r="N49" s="1146"/>
      <c r="O49" s="1146"/>
      <c r="P49" s="3343" t="str">
        <f>A49</f>
        <v>估价对象XX用房的比较价值（楼面单价，元/平方米）</v>
      </c>
      <c r="Q49" s="3344"/>
      <c r="R49" s="3345">
        <f>IF(F1="售价",ROUND(AVERAGE(R48:V48),0),ROUND(AVERAGE(R48:V48),1))</f>
        <v>84399</v>
      </c>
      <c r="S49" s="3345"/>
      <c r="T49" s="3345"/>
      <c r="U49" s="3345"/>
      <c r="V49" s="3345"/>
      <c r="W49" s="3345"/>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2574</v>
      </c>
      <c r="D52" s="498"/>
      <c r="E52" s="499">
        <f>IF(E47&lt;E48,E48/E47-1,E47/E48-1)</f>
        <v>0.16959154929577469</v>
      </c>
      <c r="F52" s="500" t="str">
        <f>IF(OR(E52&gt;=0.3,E52&lt;=-0.3),"超过30%","")</f>
        <v/>
      </c>
      <c r="G52" s="499">
        <f>IF(G47&lt;G48,G48/G47-1,G47/G48-1)</f>
        <v>0.16959493670886072</v>
      </c>
      <c r="H52" s="500" t="str">
        <f>IF(OR(G52&gt;=0.3,G52&lt;=-0.3),"超过30%","")</f>
        <v/>
      </c>
      <c r="I52" s="499">
        <f>IF(I47&lt;I48,I48/I47-1,I47/I48-1)</f>
        <v>0.29594999999999994</v>
      </c>
      <c r="J52" s="500" t="str">
        <f>IF(OR(I52&gt;=0.3,I52&lt;=-0.3),"超过30%","")</f>
        <v/>
      </c>
      <c r="K52" s="1107"/>
      <c r="L52" s="1108"/>
      <c r="M52" s="1146"/>
      <c r="N52" s="1146"/>
      <c r="O52" s="1146"/>
    </row>
    <row r="53" spans="1:29" ht="13.5" customHeight="1">
      <c r="A53" s="1146"/>
      <c r="B53" s="1146"/>
      <c r="C53" s="497" t="s">
        <v>2575</v>
      </c>
      <c r="D53" s="501"/>
      <c r="E53" s="499">
        <f>IF(E48&lt;G48,G48/E48-1,E48/G48-1)</f>
        <v>0.11267927891041785</v>
      </c>
      <c r="F53" s="500" t="str">
        <f>IF(OR(E53&gt;=0.2,E53&lt;=-0.2),"超过20%","")</f>
        <v/>
      </c>
      <c r="G53" s="499">
        <f>IF(G48&lt;I48,I48/G48-1,G48/I48-1)</f>
        <v>0.18829172936198679</v>
      </c>
      <c r="H53" s="500" t="str">
        <f>IF(OR(G53&gt;=0.2,G53&lt;=-0.2),"超过20%","")</f>
        <v/>
      </c>
      <c r="I53" s="499">
        <f>IF(I48&lt;E48,E48/I48-1,I48/E48-1)</f>
        <v>6.795529662924249E-2</v>
      </c>
      <c r="J53" s="500" t="str">
        <f>IF(OR(I53&gt;=0.2,I53&lt;=-0.2),"超过20%","")</f>
        <v/>
      </c>
      <c r="K53" s="1107"/>
      <c r="L53" s="1108"/>
      <c r="M53" s="1146"/>
      <c r="N53" s="1146"/>
      <c r="O53" s="1146"/>
    </row>
    <row r="54" spans="1:29" s="502" customFormat="1" ht="13.5" customHeight="1">
      <c r="A54" s="1147"/>
      <c r="B54" s="1147"/>
      <c r="C54" s="497" t="s">
        <v>2576</v>
      </c>
      <c r="D54" s="501"/>
      <c r="E54" s="499">
        <f>IF(E47&lt;G47,G47/E47-1,E47/G47-1)</f>
        <v>0.11267605633802824</v>
      </c>
      <c r="F54" s="500" t="str">
        <f>IF(OR(E54&gt;=0.3,E54&lt;=-0.3),"超过30%","")</f>
        <v/>
      </c>
      <c r="G54" s="499">
        <f>IF(G47&lt;I47,I47/G47-1,G47/I47-1)</f>
        <v>0.31666666666666665</v>
      </c>
      <c r="H54" s="500" t="str">
        <f>IF(OR(G54&gt;=0.3,G54&lt;=-0.3),"超过30%","")</f>
        <v>超过30%</v>
      </c>
      <c r="I54" s="499">
        <f>IF(I47&lt;E47,E47/I47-1,I47/E47-1)</f>
        <v>0.18333333333333335</v>
      </c>
      <c r="J54" s="500" t="str">
        <f>IF(OR(I54&gt;=0.3,I54&lt;=-0.3),"超过30%","")</f>
        <v/>
      </c>
      <c r="K54" s="1150"/>
      <c r="L54" s="1151"/>
      <c r="M54" s="1147"/>
      <c r="N54" s="1147"/>
      <c r="O54" s="1147"/>
      <c r="P54" s="2625"/>
    </row>
    <row r="55" spans="1:29" s="502"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3" t="s">
        <v>2577</v>
      </c>
      <c r="B57" s="759"/>
      <c r="C57" s="764"/>
      <c r="D57" s="764"/>
      <c r="E57" s="764"/>
      <c r="F57" s="765"/>
      <c r="G57" s="765"/>
      <c r="H57" s="764"/>
      <c r="I57" s="764"/>
      <c r="J57" s="764"/>
      <c r="K57" s="1162"/>
      <c r="L57" s="1163"/>
      <c r="M57" s="1161"/>
      <c r="N57" s="1161"/>
      <c r="O57" s="1161"/>
      <c r="P57" s="2626"/>
      <c r="Q57" s="504"/>
    </row>
    <row r="58" spans="1:29" s="508" customFormat="1" ht="15">
      <c r="A58" s="505" t="s">
        <v>2578</v>
      </c>
      <c r="B58" s="506"/>
      <c r="C58" s="1578" t="str">
        <f>YEAR(C7)&amp;"-"&amp;MONTH(C7)</f>
        <v>2019-1</v>
      </c>
      <c r="D58" s="1577">
        <f>EDATE(C58,-1)</f>
        <v>43435</v>
      </c>
      <c r="E58" s="1577">
        <f>EDATE(D58,-1)</f>
        <v>43405</v>
      </c>
      <c r="F58" s="1577">
        <f t="shared" ref="F58:O58" si="19">EDATE(E58,-1)</f>
        <v>43374</v>
      </c>
      <c r="G58" s="1577">
        <f t="shared" si="19"/>
        <v>43344</v>
      </c>
      <c r="H58" s="1577">
        <f t="shared" si="19"/>
        <v>43313</v>
      </c>
      <c r="I58" s="1577">
        <f t="shared" si="19"/>
        <v>43282</v>
      </c>
      <c r="J58" s="1577">
        <f t="shared" si="19"/>
        <v>43252</v>
      </c>
      <c r="K58" s="1577">
        <f t="shared" si="19"/>
        <v>43221</v>
      </c>
      <c r="L58" s="1577">
        <f t="shared" si="19"/>
        <v>43191</v>
      </c>
      <c r="M58" s="1577">
        <f t="shared" si="19"/>
        <v>43160</v>
      </c>
      <c r="N58" s="1577">
        <f t="shared" si="19"/>
        <v>43132</v>
      </c>
      <c r="O58" s="1577">
        <f t="shared" si="19"/>
        <v>43101</v>
      </c>
      <c r="P58" s="1572"/>
    </row>
    <row r="59" spans="1:29" s="117" customFormat="1" ht="15">
      <c r="A59" s="509"/>
      <c r="B59" s="2627"/>
      <c r="C59" s="1575">
        <v>100</v>
      </c>
      <c r="D59" s="511"/>
      <c r="E59" s="512"/>
      <c r="F59" s="512">
        <v>100</v>
      </c>
      <c r="G59" s="512"/>
      <c r="H59" s="512"/>
      <c r="I59" s="512"/>
      <c r="J59" s="512"/>
      <c r="K59" s="512"/>
      <c r="L59" s="512"/>
      <c r="M59" s="513"/>
      <c r="N59" s="512"/>
      <c r="O59" s="513"/>
      <c r="P59" s="2628"/>
    </row>
    <row r="60" spans="1:29" s="117" customFormat="1" ht="15.75" thickBot="1">
      <c r="A60" s="515" t="s">
        <v>2579</v>
      </c>
      <c r="B60" s="516"/>
      <c r="C60" s="517"/>
      <c r="D60" s="518"/>
      <c r="E60" s="518"/>
      <c r="F60" s="518"/>
      <c r="G60" s="518"/>
      <c r="H60" s="518"/>
      <c r="I60" s="518"/>
      <c r="J60" s="518"/>
      <c r="K60" s="518"/>
      <c r="L60" s="518"/>
      <c r="M60" s="519"/>
      <c r="N60" s="518"/>
      <c r="O60" s="519"/>
      <c r="P60" s="2628"/>
      <c r="Q60" s="504"/>
    </row>
    <row r="61" spans="1:29" s="117" customFormat="1" ht="15">
      <c r="A61" s="521" t="s">
        <v>2580</v>
      </c>
      <c r="B61" s="510"/>
      <c r="C61" s="522" t="s">
        <v>2581</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2582</v>
      </c>
      <c r="B63" s="528" t="s">
        <v>2548</v>
      </c>
      <c r="C63" s="529" t="str">
        <f>C9</f>
        <v>住宅</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8.5" thickTop="1">
      <c r="A65" s="534"/>
      <c r="B65" s="538" t="s">
        <v>2551</v>
      </c>
      <c r="C65" s="539" t="s">
        <v>2583</v>
      </c>
      <c r="D65" s="539" t="s">
        <v>2584</v>
      </c>
      <c r="E65" s="539" t="s">
        <v>2585</v>
      </c>
      <c r="F65" s="539" t="s">
        <v>2586</v>
      </c>
      <c r="G65" s="539" t="s">
        <v>2587</v>
      </c>
      <c r="H65" s="539" t="s">
        <v>2588</v>
      </c>
      <c r="I65" s="539" t="s">
        <v>2589</v>
      </c>
      <c r="J65" s="539"/>
      <c r="K65" s="540"/>
      <c r="L65" s="541"/>
      <c r="M65" s="542"/>
      <c r="N65" s="1154"/>
      <c r="O65" s="1154"/>
      <c r="P65" s="2630"/>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5"/>
      <c r="O66" s="1155"/>
      <c r="P66" s="2630"/>
      <c r="Q66" s="504"/>
    </row>
    <row r="67" spans="1:17" ht="15.75" thickTop="1">
      <c r="A67" s="534"/>
      <c r="B67" s="546" t="s">
        <v>2552</v>
      </c>
      <c r="C67" s="547" t="str">
        <f>C68&amp;"（含）"&amp;"-"&amp;D68</f>
        <v>0（含）-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0"/>
      <c r="Q67" s="504"/>
    </row>
    <row r="68" spans="1:17" ht="15">
      <c r="A68" s="534"/>
      <c r="B68" s="548"/>
      <c r="C68" s="549">
        <v>0</v>
      </c>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0"/>
      <c r="Q69" s="504"/>
    </row>
    <row r="70" spans="1:17" s="471" customFormat="1" ht="15.75" thickTop="1">
      <c r="A70" s="553"/>
      <c r="B70" s="538">
        <f>B12</f>
        <v>0</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0</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60"/>
      <c r="E73" s="560"/>
      <c r="F73" s="560"/>
      <c r="G73" s="560"/>
      <c r="H73" s="562"/>
      <c r="I73" s="562"/>
      <c r="J73" s="562"/>
      <c r="K73" s="562"/>
      <c r="L73" s="562"/>
      <c r="M73" s="563"/>
      <c r="N73" s="1156"/>
      <c r="O73" s="1156"/>
      <c r="P73" s="2631"/>
      <c r="Q73" s="559"/>
    </row>
    <row r="74" spans="1:17" s="471" customFormat="1" ht="15.75" thickTop="1">
      <c r="A74" s="553"/>
      <c r="B74" s="546">
        <f>B14</f>
        <v>0</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4"/>
      <c r="O76" s="1154"/>
      <c r="P76" s="2634"/>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5"/>
      <c r="O77" s="1155"/>
      <c r="P77" s="2630"/>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4"/>
      <c r="O78" s="1154"/>
      <c r="P78" s="2630"/>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55"/>
      <c r="O79" s="1155"/>
      <c r="P79" s="2630"/>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4"/>
      <c r="O80" s="1154"/>
      <c r="P80" s="2630"/>
      <c r="Q80" s="504"/>
    </row>
    <row r="81" spans="1:17" ht="15.75" thickBot="1">
      <c r="A81" s="534"/>
      <c r="B81" s="543"/>
      <c r="C81" s="544">
        <v>100</v>
      </c>
      <c r="D81" s="544">
        <f>C81-$K19</f>
        <v>95</v>
      </c>
      <c r="E81" s="544">
        <f>D81-$K19</f>
        <v>90</v>
      </c>
      <c r="F81" s="544">
        <f>E81-$K19</f>
        <v>85</v>
      </c>
      <c r="G81" s="544">
        <f>F81-$K19</f>
        <v>80</v>
      </c>
      <c r="H81" s="544"/>
      <c r="I81" s="544"/>
      <c r="J81" s="544"/>
      <c r="K81" s="544"/>
      <c r="L81" s="544"/>
      <c r="M81" s="545"/>
      <c r="N81" s="1155"/>
      <c r="O81" s="1155"/>
      <c r="P81" s="2630"/>
      <c r="Q81" s="504"/>
    </row>
    <row r="82" spans="1:17" ht="15.75" thickTop="1">
      <c r="A82" s="534"/>
      <c r="B82" s="546" t="s">
        <v>2091</v>
      </c>
      <c r="C82" s="539" t="s">
        <v>2598</v>
      </c>
      <c r="D82" s="539" t="s">
        <v>2599</v>
      </c>
      <c r="E82" s="539" t="s">
        <v>2600</v>
      </c>
      <c r="F82" s="539" t="s">
        <v>2601</v>
      </c>
      <c r="G82" s="539" t="s">
        <v>2602</v>
      </c>
      <c r="H82" s="539"/>
      <c r="I82" s="539"/>
      <c r="J82" s="539"/>
      <c r="K82" s="539"/>
      <c r="L82" s="539"/>
      <c r="M82" s="1384"/>
      <c r="N82" s="1155"/>
      <c r="O82" s="1155"/>
      <c r="P82" s="2630"/>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5"/>
      <c r="O83" s="1155"/>
      <c r="P83" s="2630"/>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4"/>
      <c r="O84" s="1154"/>
      <c r="P84" s="2630"/>
      <c r="Q84" s="504"/>
    </row>
    <row r="85" spans="1:17" ht="15.75" thickBot="1">
      <c r="A85" s="534"/>
      <c r="B85" s="543"/>
      <c r="C85" s="544">
        <v>100</v>
      </c>
      <c r="D85" s="544">
        <f>C85-$K23</f>
        <v>95</v>
      </c>
      <c r="E85" s="544">
        <f>D85-$K23</f>
        <v>90</v>
      </c>
      <c r="F85" s="544">
        <f>E85-$K23</f>
        <v>85</v>
      </c>
      <c r="G85" s="544">
        <f>F85-$K23</f>
        <v>80</v>
      </c>
      <c r="H85" s="544"/>
      <c r="I85" s="544"/>
      <c r="J85" s="544"/>
      <c r="K85" s="544"/>
      <c r="L85" s="544"/>
      <c r="M85" s="545"/>
      <c r="N85" s="1155"/>
      <c r="O85" s="1155"/>
      <c r="P85" s="2630"/>
      <c r="Q85" s="504"/>
    </row>
    <row r="86" spans="1:17" s="117" customFormat="1" ht="15.75" thickTop="1">
      <c r="A86" s="579"/>
      <c r="B86" s="538" t="s">
        <v>2604</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0"/>
      <c r="Q87" s="504"/>
    </row>
    <row r="88" spans="1:17" s="117" customFormat="1" ht="15.75" thickTop="1">
      <c r="A88" s="579"/>
      <c r="B88" s="538" t="s">
        <v>2605</v>
      </c>
      <c r="C88" s="554"/>
      <c r="D88" s="554"/>
      <c r="E88" s="554"/>
      <c r="F88" s="2635"/>
      <c r="G88" s="554"/>
      <c r="H88" s="554"/>
      <c r="I88" s="554"/>
      <c r="J88" s="554"/>
      <c r="K88" s="554"/>
      <c r="L88" s="554"/>
      <c r="M88" s="581"/>
      <c r="N88" s="1153"/>
      <c r="O88" s="1153"/>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0"/>
      <c r="Q89" s="504"/>
    </row>
    <row r="90" spans="1:17" s="471" customFormat="1" ht="15.75" thickTop="1">
      <c r="A90" s="553"/>
      <c r="B90" s="538">
        <f>B27</f>
        <v>0</v>
      </c>
      <c r="C90" s="554"/>
      <c r="D90" s="554"/>
      <c r="E90" s="554"/>
      <c r="F90" s="554"/>
      <c r="G90" s="554"/>
      <c r="H90" s="555"/>
      <c r="I90" s="555"/>
      <c r="J90" s="555"/>
      <c r="K90" s="555"/>
      <c r="L90" s="556"/>
      <c r="M90" s="557"/>
      <c r="N90" s="1156"/>
      <c r="O90" s="1156"/>
      <c r="P90" s="2631"/>
      <c r="Q90" s="559"/>
    </row>
    <row r="91" spans="1:17" s="471" customFormat="1" ht="15.75" thickBot="1">
      <c r="A91" s="553"/>
      <c r="B91" s="543"/>
      <c r="C91" s="560"/>
      <c r="D91" s="560"/>
      <c r="E91" s="560"/>
      <c r="F91" s="560"/>
      <c r="G91" s="560"/>
      <c r="H91" s="562"/>
      <c r="I91" s="562"/>
      <c r="J91" s="562"/>
      <c r="K91" s="562"/>
      <c r="L91" s="562"/>
      <c r="M91" s="563"/>
      <c r="N91" s="1156"/>
      <c r="O91" s="1156"/>
      <c r="P91" s="2631"/>
      <c r="Q91" s="559"/>
    </row>
    <row r="92" spans="1:17" ht="15.75" thickTop="1">
      <c r="A92" s="534"/>
      <c r="B92" s="538">
        <f>B28</f>
        <v>0</v>
      </c>
      <c r="C92" s="554"/>
      <c r="D92" s="554"/>
      <c r="E92" s="554"/>
      <c r="F92" s="554"/>
      <c r="G92" s="583"/>
      <c r="H92" s="583"/>
      <c r="I92" s="583"/>
      <c r="J92" s="583"/>
      <c r="K92" s="584"/>
      <c r="L92" s="585"/>
      <c r="M92" s="586"/>
      <c r="N92" s="1154"/>
      <c r="O92" s="1154"/>
      <c r="P92" s="2630"/>
      <c r="Q92" s="504"/>
    </row>
    <row r="93" spans="1:17" ht="15.75" thickBot="1">
      <c r="A93" s="534"/>
      <c r="B93" s="543"/>
      <c r="C93" s="560"/>
      <c r="D93" s="536"/>
      <c r="E93" s="536"/>
      <c r="F93" s="536"/>
      <c r="G93" s="536"/>
      <c r="H93" s="536"/>
      <c r="I93" s="536"/>
      <c r="J93" s="536"/>
      <c r="K93" s="536"/>
      <c r="L93" s="536"/>
      <c r="M93" s="537"/>
      <c r="N93" s="1155"/>
      <c r="O93" s="1155"/>
      <c r="P93" s="2630"/>
      <c r="Q93" s="504"/>
    </row>
    <row r="94" spans="1:17" ht="15.75" thickTop="1">
      <c r="A94" s="534"/>
      <c r="B94" s="538">
        <f>B29</f>
        <v>0</v>
      </c>
      <c r="C94" s="554"/>
      <c r="D94" s="554"/>
      <c r="E94" s="554"/>
      <c r="F94" s="554"/>
      <c r="G94" s="583"/>
      <c r="H94" s="583"/>
      <c r="I94" s="583"/>
      <c r="J94" s="583"/>
      <c r="K94" s="584"/>
      <c r="L94" s="585"/>
      <c r="M94" s="586"/>
      <c r="N94" s="1154"/>
      <c r="O94" s="1154"/>
      <c r="P94" s="2630"/>
      <c r="Q94" s="504"/>
    </row>
    <row r="95" spans="1:17" ht="15.75" thickBot="1">
      <c r="A95" s="534"/>
      <c r="B95" s="543"/>
      <c r="C95" s="560"/>
      <c r="D95" s="560"/>
      <c r="E95" s="560"/>
      <c r="F95" s="560"/>
      <c r="G95" s="536"/>
      <c r="H95" s="536"/>
      <c r="I95" s="536"/>
      <c r="J95" s="536"/>
      <c r="K95" s="536"/>
      <c r="L95" s="536"/>
      <c r="M95" s="537"/>
      <c r="N95" s="1155"/>
      <c r="O95" s="1155"/>
      <c r="P95" s="2630"/>
      <c r="Q95" s="504"/>
    </row>
    <row r="96" spans="1:17" ht="15.75" thickTop="1">
      <c r="A96" s="534"/>
      <c r="B96" s="538">
        <f>B30</f>
        <v>0</v>
      </c>
      <c r="C96" s="554"/>
      <c r="D96" s="554"/>
      <c r="E96" s="554"/>
      <c r="F96" s="554"/>
      <c r="G96" s="583"/>
      <c r="H96" s="583"/>
      <c r="I96" s="583"/>
      <c r="J96" s="583"/>
      <c r="K96" s="584"/>
      <c r="L96" s="585"/>
      <c r="M96" s="586"/>
      <c r="N96" s="1154"/>
      <c r="O96" s="1154"/>
      <c r="P96" s="2630"/>
      <c r="Q96" s="504"/>
    </row>
    <row r="97" spans="1:17" ht="15.75" thickBot="1">
      <c r="A97" s="534"/>
      <c r="B97" s="543"/>
      <c r="C97" s="570"/>
      <c r="D97" s="570"/>
      <c r="E97" s="570"/>
      <c r="F97" s="570"/>
      <c r="G97" s="536"/>
      <c r="H97" s="536"/>
      <c r="I97" s="536"/>
      <c r="J97" s="536"/>
      <c r="K97" s="536"/>
      <c r="L97" s="536"/>
      <c r="M97" s="537"/>
      <c r="N97" s="1155"/>
      <c r="O97" s="1155"/>
      <c r="P97" s="2630"/>
      <c r="Q97" s="504"/>
    </row>
    <row r="98" spans="1:17" ht="15.75" thickTop="1">
      <c r="A98" s="534"/>
      <c r="B98" s="546">
        <f>B31</f>
        <v>0</v>
      </c>
      <c r="C98" s="587"/>
      <c r="D98" s="587"/>
      <c r="E98" s="587"/>
      <c r="F98" s="587"/>
      <c r="G98" s="587"/>
      <c r="H98" s="587"/>
      <c r="I98" s="587"/>
      <c r="J98" s="587"/>
      <c r="K98" s="588"/>
      <c r="L98" s="589"/>
      <c r="M98" s="590"/>
      <c r="N98" s="1154"/>
      <c r="O98" s="1154"/>
      <c r="P98" s="2630"/>
      <c r="Q98" s="504"/>
    </row>
    <row r="99" spans="1:17" ht="15.75" thickBot="1">
      <c r="A99" s="2636"/>
      <c r="B99" s="569"/>
      <c r="C99" s="591"/>
      <c r="D99" s="591"/>
      <c r="E99" s="591"/>
      <c r="F99" s="591"/>
      <c r="G99" s="591"/>
      <c r="H99" s="591"/>
      <c r="I99" s="591"/>
      <c r="J99" s="591"/>
      <c r="K99" s="591"/>
      <c r="L99" s="591"/>
      <c r="M99" s="592"/>
      <c r="N99" s="1155"/>
      <c r="O99" s="1155"/>
      <c r="P99" s="2630"/>
      <c r="Q99" s="504"/>
    </row>
    <row r="100" spans="1:17">
      <c r="A100" s="527" t="s">
        <v>2557</v>
      </c>
      <c r="B100" s="528" t="s">
        <v>2606</v>
      </c>
      <c r="C100" s="2974" t="s">
        <v>3120</v>
      </c>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0"/>
      <c r="Q101" s="504"/>
    </row>
    <row r="102" spans="1:17" ht="15.75" thickTop="1">
      <c r="A102" s="534"/>
      <c r="B102" s="538" t="s">
        <v>2607</v>
      </c>
      <c r="C102" s="578" t="str">
        <f>C103&amp;"(含)"&amp;"-"&amp;D103</f>
        <v>0(含)-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0"/>
      <c r="Q102" s="504"/>
    </row>
    <row r="103" spans="1:17" s="471" customFormat="1">
      <c r="A103" s="593"/>
      <c r="B103" s="594"/>
      <c r="C103" s="595">
        <v>0</v>
      </c>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1"/>
      <c r="Q104" s="559"/>
    </row>
    <row r="105" spans="1:17" ht="15" thickTop="1">
      <c r="A105" s="599"/>
      <c r="B105" s="538" t="s">
        <v>2608</v>
      </c>
      <c r="C105" s="2972" t="s">
        <v>3118</v>
      </c>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5"/>
      <c r="O106" s="1155"/>
      <c r="P106" s="2630"/>
      <c r="Q106" s="504"/>
    </row>
    <row r="107" spans="1:17" ht="15" thickTop="1">
      <c r="A107" s="599"/>
      <c r="B107" s="538" t="s">
        <v>2609</v>
      </c>
      <c r="C107" s="2973" t="s">
        <v>3117</v>
      </c>
      <c r="D107" s="2973" t="s">
        <v>3115</v>
      </c>
      <c r="E107" s="583"/>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9">C108-$K35</f>
        <v>95</v>
      </c>
      <c r="E108" s="544">
        <f t="shared" si="29"/>
        <v>90</v>
      </c>
      <c r="F108" s="544">
        <f t="shared" si="29"/>
        <v>85</v>
      </c>
      <c r="G108" s="544">
        <f t="shared" si="29"/>
        <v>80</v>
      </c>
      <c r="H108" s="544">
        <f t="shared" si="29"/>
        <v>75</v>
      </c>
      <c r="I108" s="544">
        <f t="shared" si="29"/>
        <v>70</v>
      </c>
      <c r="J108" s="544">
        <f t="shared" si="29"/>
        <v>65</v>
      </c>
      <c r="K108" s="544">
        <f t="shared" si="29"/>
        <v>60</v>
      </c>
      <c r="L108" s="544">
        <f t="shared" si="29"/>
        <v>55</v>
      </c>
      <c r="M108" s="544">
        <f t="shared" si="29"/>
        <v>50</v>
      </c>
      <c r="N108" s="1155"/>
      <c r="O108" s="1155"/>
      <c r="P108" s="2630"/>
      <c r="Q108" s="504"/>
    </row>
    <row r="109" spans="1:17" ht="15" thickTop="1">
      <c r="A109" s="599"/>
      <c r="B109" s="538" t="s">
        <v>2610</v>
      </c>
      <c r="C109" s="2972" t="s">
        <v>3113</v>
      </c>
      <c r="D109" s="554"/>
      <c r="E109" s="554"/>
      <c r="F109" s="583"/>
      <c r="G109" s="583"/>
      <c r="H109" s="583"/>
      <c r="I109" s="583"/>
      <c r="J109" s="583"/>
      <c r="K109" s="584"/>
      <c r="L109" s="585"/>
      <c r="M109" s="586"/>
      <c r="N109" s="1154"/>
      <c r="O109" s="1154"/>
      <c r="P109" s="2630"/>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5"/>
      <c r="O110" s="1155"/>
      <c r="P110" s="2630"/>
      <c r="Q110" s="504"/>
    </row>
    <row r="111" spans="1:17" s="471" customFormat="1" ht="29.2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1"/>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6"/>
      <c r="O113" s="1156"/>
      <c r="P113" s="2631"/>
      <c r="Q113" s="559"/>
    </row>
    <row r="114" spans="1:17" ht="15" thickTop="1">
      <c r="A114" s="599"/>
      <c r="B114" s="538" t="s">
        <v>2611</v>
      </c>
      <c r="C114" s="2972" t="s">
        <v>3111</v>
      </c>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5"/>
      <c r="O115" s="1155"/>
      <c r="P115" s="2630"/>
      <c r="Q115" s="504"/>
    </row>
    <row r="116" spans="1:17" ht="15" thickTop="1">
      <c r="A116" s="599"/>
      <c r="B116" s="538" t="s">
        <v>2612</v>
      </c>
      <c r="C116" s="2972" t="s">
        <v>3109</v>
      </c>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5"/>
      <c r="O117" s="1155"/>
      <c r="P117" s="2630"/>
      <c r="Q117" s="504"/>
    </row>
    <row r="118" spans="1:17" ht="15" thickTop="1">
      <c r="A118" s="599"/>
      <c r="B118" s="538" t="s">
        <v>2613</v>
      </c>
      <c r="C118" s="2973" t="s">
        <v>3107</v>
      </c>
      <c r="D118" s="583"/>
      <c r="E118" s="583"/>
      <c r="F118" s="583"/>
      <c r="G118" s="583"/>
      <c r="H118" s="583"/>
      <c r="I118" s="583"/>
      <c r="J118" s="583"/>
      <c r="K118" s="584"/>
      <c r="L118" s="585"/>
      <c r="M118" s="586"/>
      <c r="N118" s="1154"/>
      <c r="O118" s="1154"/>
      <c r="P118" s="2630"/>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55"/>
      <c r="O119" s="1155"/>
      <c r="P119" s="2630"/>
      <c r="Q119" s="504"/>
    </row>
    <row r="120" spans="1:17" s="471" customFormat="1" ht="28.5" thickTop="1">
      <c r="A120" s="593"/>
      <c r="B120" s="538" t="s">
        <v>2568</v>
      </c>
      <c r="C120" s="554"/>
      <c r="D120" s="554"/>
      <c r="E120" s="554"/>
      <c r="F120" s="554"/>
      <c r="G120" s="554"/>
      <c r="H120" s="554"/>
      <c r="I120" s="554"/>
      <c r="J120" s="554"/>
      <c r="K120" s="554"/>
      <c r="L120" s="580"/>
      <c r="M120" s="581"/>
      <c r="N120" s="1156"/>
      <c r="O120" s="1156"/>
      <c r="P120" s="2631"/>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1"/>
      <c r="Q121" s="559"/>
    </row>
    <row r="122" spans="1:17" ht="15" thickTop="1">
      <c r="A122" s="599"/>
      <c r="B122" s="538" t="s">
        <v>2614</v>
      </c>
      <c r="C122" s="2972" t="s">
        <v>3095</v>
      </c>
      <c r="D122" s="2972" t="s">
        <v>3096</v>
      </c>
      <c r="E122" s="2972" t="s">
        <v>3098</v>
      </c>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3">C123-$K42</f>
        <v>95</v>
      </c>
      <c r="E123" s="544">
        <f t="shared" si="33"/>
        <v>90</v>
      </c>
      <c r="F123" s="544">
        <f t="shared" si="33"/>
        <v>85</v>
      </c>
      <c r="G123" s="544">
        <f t="shared" si="33"/>
        <v>80</v>
      </c>
      <c r="H123" s="544">
        <f t="shared" si="33"/>
        <v>75</v>
      </c>
      <c r="I123" s="544">
        <f t="shared" si="33"/>
        <v>70</v>
      </c>
      <c r="J123" s="544">
        <f t="shared" si="33"/>
        <v>65</v>
      </c>
      <c r="K123" s="544">
        <f t="shared" si="33"/>
        <v>60</v>
      </c>
      <c r="L123" s="544">
        <f t="shared" si="33"/>
        <v>55</v>
      </c>
      <c r="M123" s="544">
        <f t="shared" si="33"/>
        <v>50</v>
      </c>
      <c r="N123" s="1155"/>
      <c r="O123" s="1155"/>
      <c r="P123" s="2630"/>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4"/>
      <c r="O124" s="1154"/>
      <c r="P124" s="2631"/>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5"/>
      <c r="O125" s="1155"/>
      <c r="P125" s="2630"/>
      <c r="Q125" s="504"/>
    </row>
    <row r="126" spans="1:17" s="471" customFormat="1" ht="15" thickTop="1">
      <c r="A126" s="593"/>
      <c r="B126" s="538">
        <f>B44</f>
        <v>0</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0</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60"/>
      <c r="E129" s="560"/>
      <c r="F129" s="560"/>
      <c r="G129" s="536"/>
      <c r="H129" s="536"/>
      <c r="I129" s="536"/>
      <c r="J129" s="536"/>
      <c r="K129" s="536"/>
      <c r="L129" s="536"/>
      <c r="M129" s="537"/>
      <c r="N129" s="1155"/>
      <c r="O129" s="1155"/>
      <c r="P129" s="2630"/>
      <c r="Q129" s="504"/>
    </row>
    <row r="130" spans="1:17" ht="15" thickTop="1">
      <c r="A130" s="599"/>
      <c r="B130" s="546">
        <f>B46</f>
        <v>0</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row r="136" spans="1:17" ht="15" thickBot="1">
      <c r="B136" s="2637" t="s">
        <v>2616</v>
      </c>
    </row>
    <row r="137" spans="1:17" ht="15">
      <c r="B137" s="2638" t="s">
        <v>2617</v>
      </c>
      <c r="C137" s="2639"/>
      <c r="D137" s="2639"/>
      <c r="E137" s="2639"/>
      <c r="F137" s="2639"/>
      <c r="G137" s="2640"/>
      <c r="H137" s="2641"/>
      <c r="I137" s="2642" t="s">
        <v>2618</v>
      </c>
      <c r="J137" s="2639"/>
      <c r="K137" s="2643"/>
    </row>
    <row r="138" spans="1:17" ht="15">
      <c r="B138" s="2644"/>
      <c r="C138" s="146" t="s">
        <v>2619</v>
      </c>
      <c r="D138" s="146" t="s">
        <v>2620</v>
      </c>
      <c r="E138" s="2645" t="s">
        <v>2621</v>
      </c>
      <c r="F138" s="2646" t="s">
        <v>2622</v>
      </c>
      <c r="G138" s="146" t="s">
        <v>2620</v>
      </c>
      <c r="H138" s="147" t="s">
        <v>2621</v>
      </c>
      <c r="I138" s="2647"/>
      <c r="J138" s="146" t="s">
        <v>2623</v>
      </c>
      <c r="K138" s="147" t="s">
        <v>2624</v>
      </c>
    </row>
    <row r="139" spans="1:17" ht="15">
      <c r="B139" s="1086">
        <v>6</v>
      </c>
      <c r="C139" s="1087">
        <v>96</v>
      </c>
      <c r="D139" s="2648" t="s">
        <v>2625</v>
      </c>
      <c r="E139" s="1088">
        <v>100</v>
      </c>
      <c r="F139" s="1089">
        <v>102.5</v>
      </c>
      <c r="G139" s="2648" t="s">
        <v>2625</v>
      </c>
      <c r="H139" s="1090">
        <v>105</v>
      </c>
      <c r="I139" s="2649" t="s">
        <v>2626</v>
      </c>
      <c r="J139" s="1087">
        <v>20</v>
      </c>
      <c r="K139" s="1091">
        <f>C145/(J139-2)</f>
        <v>4.0555555555555553E-3</v>
      </c>
    </row>
    <row r="140" spans="1:17" ht="15">
      <c r="B140" s="1092">
        <v>5</v>
      </c>
      <c r="C140" s="1093">
        <v>100</v>
      </c>
      <c r="D140" s="1093"/>
      <c r="E140" s="1094"/>
      <c r="F140" s="1095">
        <v>102</v>
      </c>
      <c r="G140" s="1093"/>
      <c r="H140" s="1096"/>
      <c r="I140" s="2650" t="s">
        <v>2627</v>
      </c>
      <c r="J140" s="315">
        <f>ROUNDUP((J139-1)/2,0)</f>
        <v>10</v>
      </c>
      <c r="K140" s="1097">
        <v>100</v>
      </c>
    </row>
    <row r="141" spans="1:17" ht="15">
      <c r="B141" s="1092">
        <v>4</v>
      </c>
      <c r="C141" s="1093">
        <v>102</v>
      </c>
      <c r="D141" s="1093"/>
      <c r="E141" s="1094"/>
      <c r="F141" s="1095">
        <v>101.5</v>
      </c>
      <c r="G141" s="1093"/>
      <c r="H141" s="1096"/>
      <c r="I141" s="2650" t="s">
        <v>2628</v>
      </c>
      <c r="J141" s="315">
        <v>1</v>
      </c>
      <c r="K141" s="1098">
        <f>ROUND(100+(J141-J140)*K139*100,1)</f>
        <v>96.4</v>
      </c>
    </row>
    <row r="142" spans="1:17" ht="15">
      <c r="B142" s="1092">
        <v>3</v>
      </c>
      <c r="C142" s="1093">
        <v>103</v>
      </c>
      <c r="D142" s="1093"/>
      <c r="E142" s="1094"/>
      <c r="F142" s="1095">
        <v>101</v>
      </c>
      <c r="G142" s="1093"/>
      <c r="H142" s="1096"/>
      <c r="I142" s="2650" t="s">
        <v>2629</v>
      </c>
      <c r="J142" s="315">
        <f>J139</f>
        <v>20</v>
      </c>
      <c r="K142" s="1099">
        <v>95</v>
      </c>
    </row>
    <row r="143" spans="1:17" ht="15">
      <c r="B143" s="1092">
        <v>2</v>
      </c>
      <c r="C143" s="1093">
        <v>100</v>
      </c>
      <c r="D143" s="1093"/>
      <c r="E143" s="1094"/>
      <c r="F143" s="1095">
        <v>100.5</v>
      </c>
      <c r="G143" s="1093"/>
      <c r="H143" s="1096"/>
      <c r="I143" s="2650" t="s">
        <v>2630</v>
      </c>
      <c r="J143" s="1093">
        <v>15</v>
      </c>
      <c r="K143" s="1098">
        <f>ROUND(100+(J143-J140)*K139*100,1)</f>
        <v>102</v>
      </c>
    </row>
    <row r="144" spans="1:17" ht="15">
      <c r="B144" s="1092">
        <v>1</v>
      </c>
      <c r="C144" s="1093">
        <v>98</v>
      </c>
      <c r="D144" s="2651" t="s">
        <v>2631</v>
      </c>
      <c r="E144" s="1094">
        <v>102</v>
      </c>
      <c r="F144" s="1100">
        <v>100</v>
      </c>
      <c r="G144" s="2651" t="s">
        <v>2631</v>
      </c>
      <c r="H144" s="1096">
        <v>105</v>
      </c>
      <c r="I144" s="2650" t="s">
        <v>2630</v>
      </c>
      <c r="J144" s="1093">
        <v>18</v>
      </c>
      <c r="K144" s="1098">
        <f>ROUND(100+(J144-J140)*K139*100,1)</f>
        <v>103.2</v>
      </c>
    </row>
    <row r="145" spans="2:11" ht="15.75" thickBot="1">
      <c r="B145" s="2652" t="s">
        <v>2632</v>
      </c>
      <c r="C145" s="1101">
        <f>ROUND(MAX(C139:C144)/MIN(C139:C144)-1,3)</f>
        <v>7.2999999999999995E-2</v>
      </c>
      <c r="D145" s="1102"/>
      <c r="E145" s="1102"/>
      <c r="F145" s="2653" t="s">
        <v>2633</v>
      </c>
      <c r="G145" s="2654"/>
      <c r="H145" s="2655"/>
      <c r="I145" s="2656" t="s">
        <v>2630</v>
      </c>
      <c r="J145" s="1103">
        <v>8</v>
      </c>
      <c r="K145" s="1104">
        <f>ROUND(100+(J145-J140)*K139*100,1)</f>
        <v>99.2</v>
      </c>
    </row>
    <row r="147" spans="2:11">
      <c r="B147" s="2637" t="s">
        <v>2634</v>
      </c>
    </row>
    <row r="148" spans="2:11">
      <c r="B148" s="2637"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6" priority="15" stopIfTrue="1" operator="containsText" text="超过">
      <formula>NOT(ISERROR(SEARCH("超过",F52)))</formula>
    </cfRule>
  </conditionalFormatting>
  <conditionalFormatting sqref="J54">
    <cfRule type="containsText" dxfId="175" priority="14" stopIfTrue="1" operator="containsText" text="超过">
      <formula>NOT(ISERROR(SEARCH("超过",J54)))</formula>
    </cfRule>
  </conditionalFormatting>
  <conditionalFormatting sqref="H54">
    <cfRule type="containsText" dxfId="174" priority="13" stopIfTrue="1" operator="containsText" text="超过">
      <formula>NOT(ISERROR(SEARCH("超过",H54)))</formula>
    </cfRule>
  </conditionalFormatting>
  <conditionalFormatting sqref="F54">
    <cfRule type="containsText" dxfId="173" priority="12" stopIfTrue="1" operator="containsText" text="超过">
      <formula>NOT(ISERROR(SEARCH("超过",F54)))</formula>
    </cfRule>
  </conditionalFormatting>
  <conditionalFormatting sqref="F53 H53 J53">
    <cfRule type="containsText" dxfId="172" priority="11" stopIfTrue="1" operator="containsText" text="超过">
      <formula>NOT(ISERROR(SEARCH("超过",F53)))</formula>
    </cfRule>
  </conditionalFormatting>
  <conditionalFormatting sqref="E52">
    <cfRule type="expression" dxfId="171" priority="10" stopIfTrue="1">
      <formula>$F$52="超过30%"</formula>
    </cfRule>
  </conditionalFormatting>
  <conditionalFormatting sqref="G54">
    <cfRule type="expression" dxfId="170" priority="8" stopIfTrue="1">
      <formula>$H$54="超过30%"</formula>
    </cfRule>
  </conditionalFormatting>
  <conditionalFormatting sqref="E53">
    <cfRule type="expression" dxfId="169" priority="7" stopIfTrue="1">
      <formula>$F$53="超过20%"</formula>
    </cfRule>
  </conditionalFormatting>
  <conditionalFormatting sqref="E54">
    <cfRule type="expression" dxfId="168" priority="6" stopIfTrue="1">
      <formula>$F$54="超过30%"</formula>
    </cfRule>
  </conditionalFormatting>
  <conditionalFormatting sqref="G52">
    <cfRule type="expression" dxfId="167" priority="5" stopIfTrue="1">
      <formula>$H$52="超过30%"</formula>
    </cfRule>
  </conditionalFormatting>
  <conditionalFormatting sqref="G53">
    <cfRule type="expression" dxfId="166" priority="4" stopIfTrue="1">
      <formula>$H$53="超过20%"</formula>
    </cfRule>
  </conditionalFormatting>
  <conditionalFormatting sqref="I52">
    <cfRule type="expression" dxfId="165" priority="3" stopIfTrue="1">
      <formula>$J$52="超过30%"</formula>
    </cfRule>
  </conditionalFormatting>
  <conditionalFormatting sqref="I53">
    <cfRule type="expression" dxfId="164" priority="2" stopIfTrue="1">
      <formula>$J$53="超过20%"</formula>
    </cfRule>
  </conditionalFormatting>
  <conditionalFormatting sqref="I54">
    <cfRule type="expression" dxfId="16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topLeftCell="A7" zoomScale="80" zoomScaleNormal="80" zoomScaleSheetLayoutView="90" zoomScalePageLayoutView="70" workbookViewId="0">
      <selection activeCell="D42" sqref="D4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7" customWidth="1"/>
    <col min="12" max="12" width="16.375" style="302" customWidth="1"/>
    <col min="13" max="13" width="13" style="302" customWidth="1"/>
    <col min="14" max="14" width="13.875" style="1844" customWidth="1"/>
    <col min="15" max="15" width="5.125" style="1844" customWidth="1"/>
    <col min="16" max="16" width="25.875" style="1844" customWidth="1"/>
    <col min="17" max="17" width="13.875" style="1844" customWidth="1"/>
    <col min="18" max="18" width="20.5" style="1844" customWidth="1"/>
    <col min="19" max="19" width="13.125" style="1844" customWidth="1"/>
    <col min="20" max="37" width="9" style="1844"/>
    <col min="38" max="16384" width="9" style="302"/>
  </cols>
  <sheetData>
    <row r="1" spans="1:37" s="337" customFormat="1" ht="21">
      <c r="A1" s="1835" t="s">
        <v>1585</v>
      </c>
      <c r="B1" s="782"/>
      <c r="C1" s="1839" t="s">
        <v>3075</v>
      </c>
      <c r="D1" s="1822" t="s">
        <v>70</v>
      </c>
      <c r="E1" s="1823" t="s">
        <v>1383</v>
      </c>
      <c r="F1" s="1285">
        <f ca="1">J53</f>
        <v>67.41</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654960</v>
      </c>
      <c r="C2" s="1847" t="s">
        <v>1512</v>
      </c>
      <c r="D2" s="1847"/>
      <c r="E2" s="1848"/>
      <c r="F2" s="1849"/>
      <c r="G2" s="1850"/>
      <c r="H2" s="1842"/>
      <c r="I2" s="1842"/>
      <c r="J2" s="1842"/>
      <c r="K2" s="1843"/>
      <c r="L2" s="1842"/>
      <c r="M2" s="1842"/>
    </row>
    <row r="3" spans="1:37" ht="18" customHeight="1" thickBot="1">
      <c r="A3" s="1851" t="s">
        <v>1513</v>
      </c>
      <c r="B3" s="1852">
        <f ca="1">IF(ISERROR(B2*10000/F43),0,ROUND(B2*10000/F43,0))</f>
        <v>50311</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22261</v>
      </c>
      <c r="D5" s="1824" t="s">
        <v>1398</v>
      </c>
      <c r="E5" s="1295"/>
      <c r="F5" s="1296"/>
      <c r="G5" s="1853"/>
      <c r="H5" s="344">
        <v>1</v>
      </c>
      <c r="I5" s="345" t="s">
        <v>1397</v>
      </c>
      <c r="J5" s="1294">
        <f ca="1">J6+J10+J12</f>
        <v>0</v>
      </c>
      <c r="K5" s="1824" t="s">
        <v>1398</v>
      </c>
      <c r="L5" s="1295"/>
      <c r="M5" s="1296"/>
    </row>
    <row r="6" spans="1:37" ht="18" customHeight="1">
      <c r="A6" s="1293" t="s">
        <v>1032</v>
      </c>
      <c r="B6" s="3359" t="s">
        <v>1399</v>
      </c>
      <c r="C6" s="1298">
        <f ca="1">ROUND(F6*F8*F7*(1-F9)/10000,0)</f>
        <v>22261</v>
      </c>
      <c r="D6" s="164" t="s">
        <v>3028</v>
      </c>
      <c r="E6" s="347" t="s">
        <v>1401</v>
      </c>
      <c r="F6" s="348">
        <f ca="1">INDIRECT("'数据-取费表'!u"&amp;$G$1)</f>
        <v>150</v>
      </c>
      <c r="G6" s="1853"/>
      <c r="H6" s="1293" t="s">
        <v>1032</v>
      </c>
      <c r="I6" s="3359" t="s">
        <v>1399</v>
      </c>
      <c r="J6" s="346">
        <f ca="1">ROUND(M6*M8*M7*(1-M9)/10000,0)</f>
        <v>0</v>
      </c>
      <c r="K6" s="164" t="s">
        <v>3027</v>
      </c>
      <c r="L6" s="347" t="s">
        <v>1401</v>
      </c>
      <c r="M6" s="348">
        <f ca="1">INDIRECT("'数据-取费表'!z"&amp;$G$1)</f>
        <v>0</v>
      </c>
    </row>
    <row r="7" spans="1:37" ht="18" customHeight="1">
      <c r="A7" s="1297"/>
      <c r="B7" s="3360"/>
      <c r="C7" s="1299"/>
      <c r="D7" s="352"/>
      <c r="E7" s="1300" t="s">
        <v>1402</v>
      </c>
      <c r="F7" s="348">
        <f ca="1">IF(INDIRECT("'数据-取费表'!ah"&amp;$G$1)="",INDIRECT("'数据-取费表'!k"&amp;$G$1),INDIRECT("'数据-取费表'!ah"&amp;$G$1))</f>
        <v>130182.69</v>
      </c>
      <c r="G7" s="1853"/>
      <c r="H7" s="349"/>
      <c r="I7" s="3360"/>
      <c r="J7" s="351"/>
      <c r="K7" s="352"/>
      <c r="L7" s="347" t="s">
        <v>1402</v>
      </c>
      <c r="M7" s="348">
        <f ca="1">F7</f>
        <v>130182.69</v>
      </c>
    </row>
    <row r="8" spans="1:37" ht="18" customHeight="1">
      <c r="A8" s="349"/>
      <c r="B8" s="3360"/>
      <c r="C8" s="351"/>
      <c r="D8" s="352"/>
      <c r="E8" s="347" t="s">
        <v>1403</v>
      </c>
      <c r="F8" s="348">
        <f ca="1">INDIRECT("'数据-取费表'!ai"&amp;$G$1)</f>
        <v>12</v>
      </c>
      <c r="G8" s="1853"/>
      <c r="H8" s="349"/>
      <c r="I8" s="3360"/>
      <c r="J8" s="351"/>
      <c r="K8" s="352"/>
      <c r="L8" s="347" t="s">
        <v>1403</v>
      </c>
      <c r="M8" s="348">
        <f ca="1">INDIRECT("'数据-取费表'!ai"&amp;$G$1)</f>
        <v>12</v>
      </c>
    </row>
    <row r="9" spans="1:37" ht="18" customHeight="1">
      <c r="A9" s="349"/>
      <c r="B9" s="3361"/>
      <c r="C9" s="351"/>
      <c r="D9" s="352"/>
      <c r="E9" s="347" t="s">
        <v>1404</v>
      </c>
      <c r="F9" s="357">
        <f ca="1">INDIRECT("'数据-取费表'!w"&amp;$G$1)</f>
        <v>0.05</v>
      </c>
      <c r="G9" s="1853"/>
      <c r="H9" s="349"/>
      <c r="I9" s="3361"/>
      <c r="J9" s="351"/>
      <c r="K9" s="352"/>
      <c r="L9" s="358" t="s">
        <v>1404</v>
      </c>
      <c r="M9" s="359">
        <f ca="1">INDIRECT("'数据-取费表'!ab"&amp;$G$1)</f>
        <v>0</v>
      </c>
    </row>
    <row r="10" spans="1:37" ht="18" customHeight="1">
      <c r="A10" s="1293" t="s">
        <v>1036</v>
      </c>
      <c r="B10" s="1825" t="s">
        <v>1405</v>
      </c>
      <c r="C10" s="361">
        <f ca="1">ROUND(IF(F10="押一",C6/12*F11,IF(F10="押二",C6/12*2*F11,IF(F10="押三",C6/12*3*F11,C11*F11))),0)</f>
        <v>0</v>
      </c>
      <c r="D10" s="1826" t="s">
        <v>3037</v>
      </c>
      <c r="E10" s="358" t="s">
        <v>1406</v>
      </c>
      <c r="F10" s="1368"/>
      <c r="G10" s="1853"/>
      <c r="H10" s="1293" t="s">
        <v>1036</v>
      </c>
      <c r="I10" s="1825" t="s">
        <v>1405</v>
      </c>
      <c r="J10" s="346">
        <f ca="1">ROUND(IF(M10="押一",J6/12*M11,IF(M10="押二",J6/12*2*M11,IF(M10="押三",J6/12*3*M11,J11*M11))),0)</f>
        <v>0</v>
      </c>
      <c r="K10" s="1826" t="s">
        <v>3036</v>
      </c>
      <c r="L10" s="358" t="s">
        <v>1406</v>
      </c>
      <c r="M10" s="1368" t="s">
        <v>1407</v>
      </c>
    </row>
    <row r="11" spans="1:37" ht="18" customHeight="1">
      <c r="A11" s="353"/>
      <c r="B11" s="1827" t="s">
        <v>1384</v>
      </c>
      <c r="C11" s="1180"/>
      <c r="D11" s="1828"/>
      <c r="E11" s="358" t="s">
        <v>1408</v>
      </c>
      <c r="F11" s="359">
        <f ca="1">'数据-取费表'!B39</f>
        <v>1.4999999999999999E-2</v>
      </c>
      <c r="G11" s="1853"/>
      <c r="H11" s="1301"/>
      <c r="I11" s="1827" t="s">
        <v>1384</v>
      </c>
      <c r="J11" s="1180"/>
      <c r="K11" s="748"/>
      <c r="L11" s="358"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145163</v>
      </c>
      <c r="D13" s="1333" t="s">
        <v>1411</v>
      </c>
      <c r="E13" s="1333" t="s">
        <v>1412</v>
      </c>
      <c r="F13" s="1334">
        <f ca="1">INDIRECT("'数据-取费表'!y"&amp;$G$1)</f>
        <v>1</v>
      </c>
      <c r="G13" s="1853"/>
      <c r="H13" s="1331">
        <v>2</v>
      </c>
      <c r="I13" s="1332" t="s">
        <v>1410</v>
      </c>
      <c r="J13" s="1292">
        <f ca="1">ROUND(J14*J15,0)</f>
        <v>0</v>
      </c>
      <c r="K13" s="1339" t="s">
        <v>1411</v>
      </c>
      <c r="L13" s="1854"/>
      <c r="M13" s="1855"/>
    </row>
    <row r="14" spans="1:37" ht="18" customHeight="1">
      <c r="A14" s="1203" t="s">
        <v>1031</v>
      </c>
      <c r="B14" s="347" t="s">
        <v>1413</v>
      </c>
      <c r="C14" s="363">
        <f ca="1">INDIRECT("'数据-取费表'!m"&amp;$G$1)+INDIRECT("'数据-取费表'!t"&amp;$G$1)</f>
        <v>104146</v>
      </c>
      <c r="D14" s="1802" t="s">
        <v>1414</v>
      </c>
      <c r="E14" s="1796"/>
      <c r="F14" s="364"/>
      <c r="G14" s="1853"/>
      <c r="H14" s="1203" t="s">
        <v>1032</v>
      </c>
      <c r="I14" s="347" t="s">
        <v>1415</v>
      </c>
      <c r="J14" s="24">
        <f ca="1">C29</f>
        <v>145163</v>
      </c>
      <c r="K14" s="15"/>
      <c r="L14" s="981"/>
      <c r="M14" s="982"/>
    </row>
    <row r="15" spans="1:37" s="1860" customFormat="1" ht="18" customHeight="1" thickBot="1">
      <c r="A15" s="1203" t="s">
        <v>1033</v>
      </c>
      <c r="B15" s="347" t="s">
        <v>1416</v>
      </c>
      <c r="C15" s="24">
        <f ca="1">ROUND(C14*F15,0)</f>
        <v>3124</v>
      </c>
      <c r="D15" s="365" t="s">
        <v>1417</v>
      </c>
      <c r="E15" s="365" t="s">
        <v>1418</v>
      </c>
      <c r="F15" s="366">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1419</v>
      </c>
      <c r="C16" s="24">
        <f ca="1">ROUND(INDIRECT("'数据-取费表'!m"&amp;$G$1)*F16,0)</f>
        <v>3124</v>
      </c>
      <c r="D16" s="347" t="s">
        <v>1417</v>
      </c>
      <c r="E16" s="347" t="s">
        <v>1418</v>
      </c>
      <c r="F16" s="367">
        <f ca="1">IF(INDIRECT("'数据-取费表'!c"&amp;$G$1)="住宅",'数据-取费表'!B34,0)</f>
        <v>0.03</v>
      </c>
      <c r="G16" s="1853"/>
      <c r="H16" s="1331" t="s">
        <v>1027</v>
      </c>
      <c r="I16" s="1332" t="s">
        <v>1420</v>
      </c>
      <c r="J16" s="355">
        <f ca="1">ROUND(J17+J22+J23+J24,0)</f>
        <v>3404</v>
      </c>
      <c r="K16" s="1339" t="s">
        <v>1421</v>
      </c>
      <c r="L16" s="1340"/>
      <c r="M16" s="1296"/>
    </row>
    <row r="17" spans="1:37" s="1860" customFormat="1" ht="18" customHeight="1">
      <c r="A17" s="1203" t="s">
        <v>1386</v>
      </c>
      <c r="B17" s="347" t="s">
        <v>1422</v>
      </c>
      <c r="C17" s="24">
        <f ca="1">ROUND(F17*(F43+INDIRECT("'数据-取费表'!S"&amp;$G$1))/10000,0)</f>
        <v>2604</v>
      </c>
      <c r="D17" s="347" t="s">
        <v>1423</v>
      </c>
      <c r="E17" s="347" t="s">
        <v>1424</v>
      </c>
      <c r="F17" s="26">
        <f>'数据-取费表'!B35</f>
        <v>200</v>
      </c>
      <c r="G17" s="1856"/>
      <c r="H17" s="1203" t="s">
        <v>1032</v>
      </c>
      <c r="I17" s="347" t="s">
        <v>1425</v>
      </c>
      <c r="J17" s="24">
        <f ca="1">ROUND(IF(项目基本情况!B11="自然人",J5*M17,J18+J19+J20),1)</f>
        <v>1226.4000000000001</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1428</v>
      </c>
      <c r="C18" s="24">
        <f ca="1">ROUND(C14*F18,0)</f>
        <v>1562</v>
      </c>
      <c r="D18" s="347" t="s">
        <v>1417</v>
      </c>
      <c r="E18" s="347" t="s">
        <v>1418</v>
      </c>
      <c r="F18" s="367">
        <f>'数据-取费表'!B36</f>
        <v>1.4999999999999999E-2</v>
      </c>
      <c r="G18" s="1856"/>
      <c r="H18" s="1203" t="s">
        <v>1031</v>
      </c>
      <c r="I18" s="347" t="s">
        <v>1429</v>
      </c>
      <c r="J18" s="24">
        <f ca="1">ROUND(J5*M18/(1+'数据-取费表'!C42),2)</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7" t="s">
        <v>1431</v>
      </c>
      <c r="C19" s="24">
        <f ca="1">SUM(C14:C18)</f>
        <v>114560</v>
      </c>
      <c r="D19" s="140" t="s">
        <v>1432</v>
      </c>
      <c r="E19" s="1820"/>
      <c r="F19" s="26"/>
      <c r="G19" s="1853"/>
      <c r="H19" s="1203" t="s">
        <v>1033</v>
      </c>
      <c r="I19" s="347" t="s">
        <v>1433</v>
      </c>
      <c r="J19" s="24">
        <f ca="1">IF(K19="按租金收入计税",ROUND(J5*M19,2),ROUND(C29*M19*0.7,2))</f>
        <v>1219.3699999999999</v>
      </c>
      <c r="K19" s="1830" t="s">
        <v>1434</v>
      </c>
      <c r="L19" s="347" t="s">
        <v>1418</v>
      </c>
      <c r="M19" s="367">
        <f>IF(K19="按租金收入计税",'数据-取费表'!B51,'数据-取费表'!B50)</f>
        <v>1.2E-2</v>
      </c>
    </row>
    <row r="20" spans="1:37" s="1860" customFormat="1" ht="18" customHeight="1">
      <c r="A20" s="1203" t="s">
        <v>1036</v>
      </c>
      <c r="B20" s="347" t="s">
        <v>1435</v>
      </c>
      <c r="C20" s="24">
        <f ca="1">ROUND(C19*F20,0)</f>
        <v>2291</v>
      </c>
      <c r="D20" s="369" t="s">
        <v>1436</v>
      </c>
      <c r="E20" s="347" t="s">
        <v>1418</v>
      </c>
      <c r="F20" s="367">
        <f>'数据-取费表'!B37</f>
        <v>0.02</v>
      </c>
      <c r="G20" s="1856"/>
      <c r="H20" s="1203" t="s">
        <v>1385</v>
      </c>
      <c r="I20" s="164" t="s">
        <v>1437</v>
      </c>
      <c r="J20" s="25">
        <f ca="1">ROUND(M20*M21/10000,2)</f>
        <v>7.01</v>
      </c>
      <c r="K20" s="370" t="s">
        <v>1438</v>
      </c>
      <c r="L20" s="347" t="s">
        <v>1439</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7" t="s">
        <v>1440</v>
      </c>
      <c r="C21" s="24" t="s">
        <v>18</v>
      </c>
      <c r="D21" s="369" t="s">
        <v>1441</v>
      </c>
      <c r="E21" s="347" t="s">
        <v>1442</v>
      </c>
      <c r="F21" s="367">
        <f>'数据-取费表'!B38</f>
        <v>0.02</v>
      </c>
      <c r="G21" s="1856"/>
      <c r="H21" s="372"/>
      <c r="I21" s="356"/>
      <c r="J21" s="29"/>
      <c r="K21" s="373"/>
      <c r="L21" s="347" t="s">
        <v>1443</v>
      </c>
      <c r="M21" s="348">
        <f ca="1">INDIRECT("'数据-取费表'!r"&amp;$G$1)</f>
        <v>23379.05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1444</v>
      </c>
      <c r="C22" s="24"/>
      <c r="D22" s="140" t="str">
        <f>IF(F23&lt;=1,"单利计息。","复利计息。")&amp;"建造成本、管理费用、销售费用产生的利息。"</f>
        <v>复利计息。建造成本、管理费用、销售费用产生的利息。</v>
      </c>
      <c r="E22" s="1820"/>
      <c r="F22" s="26"/>
      <c r="G22" s="1853"/>
      <c r="H22" s="1203" t="s">
        <v>1036</v>
      </c>
      <c r="I22" s="347" t="s">
        <v>1445</v>
      </c>
      <c r="J22" s="24">
        <f ca="1">ROUND(J14*M22,1)</f>
        <v>2177.4</v>
      </c>
      <c r="K22" s="1800" t="s">
        <v>1446</v>
      </c>
      <c r="L22" s="347" t="s">
        <v>1418</v>
      </c>
      <c r="M22" s="374">
        <f ca="1">INDIRECT("'数据-取费表'!Ak"&amp;$G$1)</f>
        <v>1.4999999999999999E-2</v>
      </c>
    </row>
    <row r="23" spans="1:37" s="1860" customFormat="1" ht="18" customHeight="1">
      <c r="A23" s="1203" t="s">
        <v>1031</v>
      </c>
      <c r="B23" s="347" t="s">
        <v>1447</v>
      </c>
      <c r="C23" s="24">
        <f ca="1">IF('数据-取费表'!B22&lt;=1,ROUND(C19*F24*F23/2,0)+ROUND(C20*F24*F23/2,0),ROUND(C19*(POWER((1+F24),F23/2)-1),0)+ROUND(C20*(POWER((1+F24),F23/2)-1),0))</f>
        <v>5551</v>
      </c>
      <c r="D23" s="375" t="str">
        <f>IF(F23&lt;=1,"(建造成本+管理费用)×利率×(建设周期÷2)","(建造成本+管理费用)×((1+利率)^(建设周期÷2)-1)")</f>
        <v>(建造成本+管理费用)×((1+利率)^(建设周期÷2)-1)</v>
      </c>
      <c r="E23" s="347" t="s">
        <v>1448</v>
      </c>
      <c r="F23" s="371">
        <f>'数据-取费表'!B20</f>
        <v>2</v>
      </c>
      <c r="G23" s="1856"/>
      <c r="H23" s="1203" t="s">
        <v>1072</v>
      </c>
      <c r="I23" s="347" t="s">
        <v>1449</v>
      </c>
      <c r="J23" s="24">
        <f ca="1">ROUND(J13*M23,1)</f>
        <v>0</v>
      </c>
      <c r="K23" s="1800" t="s">
        <v>1450</v>
      </c>
      <c r="L23" s="347" t="s">
        <v>1451</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1" t="s">
        <v>1389</v>
      </c>
      <c r="I24" s="1342" t="s">
        <v>1435</v>
      </c>
      <c r="J24" s="1343">
        <f ca="1">ROUND(J5*M24,1)</f>
        <v>0</v>
      </c>
      <c r="K24" s="1344" t="s">
        <v>1455</v>
      </c>
      <c r="L24" s="1342" t="s">
        <v>1451</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1456</v>
      </c>
      <c r="B25" s="347" t="s">
        <v>1457</v>
      </c>
      <c r="C25" s="24"/>
      <c r="D25" s="140" t="s">
        <v>1458</v>
      </c>
      <c r="E25" s="1820"/>
      <c r="F25" s="26"/>
      <c r="G25" s="1853"/>
      <c r="H25" s="1331" t="s">
        <v>1028</v>
      </c>
      <c r="I25" s="1346" t="s">
        <v>1459</v>
      </c>
      <c r="J25" s="355">
        <f ca="1">J5-J16</f>
        <v>-3404</v>
      </c>
      <c r="K25" s="1347" t="s">
        <v>1460</v>
      </c>
      <c r="L25" s="1348"/>
      <c r="M25" s="1349"/>
    </row>
    <row r="26" spans="1:37">
      <c r="A26" s="1203" t="s">
        <v>1031</v>
      </c>
      <c r="B26" s="347" t="s">
        <v>1461</v>
      </c>
      <c r="C26" s="24">
        <f ca="1">ROUND((C19+C20)*F26,0)</f>
        <v>11685</v>
      </c>
      <c r="D26" s="369" t="s">
        <v>1462</v>
      </c>
      <c r="E26" s="358" t="s">
        <v>1463</v>
      </c>
      <c r="F26" s="357">
        <f ca="1">INDIRECT("'数据-取费表'!q"&amp;$G$1)</f>
        <v>0.1</v>
      </c>
      <c r="G26" s="1853"/>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3" t="s">
        <v>1033</v>
      </c>
      <c r="B27" s="347" t="s">
        <v>1467</v>
      </c>
      <c r="C27" s="24">
        <f ca="1">ROUND(F21*F26,4)</f>
        <v>2E-3</v>
      </c>
      <c r="D27" s="369" t="s">
        <v>1468</v>
      </c>
      <c r="E27" s="365"/>
      <c r="F27" s="366"/>
      <c r="G27" s="1853"/>
      <c r="H27" s="349"/>
      <c r="I27" s="350"/>
      <c r="J27" s="351"/>
      <c r="K27" s="378" t="s">
        <v>1469</v>
      </c>
      <c r="L27" s="347" t="s">
        <v>1470</v>
      </c>
      <c r="M27" s="379">
        <f ca="1">INDIRECT("'数据-取费表'!ag"&amp;$G$1)</f>
        <v>0</v>
      </c>
    </row>
    <row r="28" spans="1:37" s="1860" customFormat="1" ht="18" customHeight="1">
      <c r="A28" s="1203"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145163</v>
      </c>
      <c r="D29" s="1344"/>
      <c r="E29" s="1342"/>
      <c r="F29" s="1345"/>
      <c r="G29" s="1856"/>
      <c r="H29" s="380" t="s">
        <v>1030</v>
      </c>
      <c r="I29" s="381" t="s">
        <v>1475</v>
      </c>
      <c r="J29" s="382">
        <f ca="1">ROUND(J26/(1+F40)^F41,0)</f>
        <v>0</v>
      </c>
      <c r="K29" s="383" t="s">
        <v>1476</v>
      </c>
      <c r="L29" s="384"/>
      <c r="M29" s="385">
        <f ca="1">INDIRECT("'数据-取费表'!k"&amp;$G$1)</f>
        <v>130182.69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6483</v>
      </c>
      <c r="D30" s="1339" t="s">
        <v>1421</v>
      </c>
      <c r="E30" s="1340"/>
      <c r="F30" s="1296"/>
      <c r="G30" s="1853"/>
      <c r="H30" s="745"/>
      <c r="I30" s="746"/>
      <c r="J30" s="747"/>
      <c r="K30" s="748"/>
      <c r="L30" s="749"/>
      <c r="M30" s="750"/>
    </row>
    <row r="31" spans="1:37" ht="18" customHeight="1">
      <c r="A31" s="1203" t="s">
        <v>1032</v>
      </c>
      <c r="B31" s="347" t="s">
        <v>1425</v>
      </c>
      <c r="C31" s="24">
        <f ca="1">ROUND(IF(项目基本情况!B11="自然人",C5*F31,C32+C33+C34),1)</f>
        <v>3865.6</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1031</v>
      </c>
      <c r="B32" s="347" t="s">
        <v>1429</v>
      </c>
      <c r="C32" s="24">
        <f ca="1">IF(项目基本情况!B11="自然人","——",ROUND(C5*F32/(1+'数据-取费表'!C42),2))</f>
        <v>1187.25</v>
      </c>
      <c r="D32" s="1800" t="s">
        <v>1430</v>
      </c>
      <c r="E32" s="347" t="s">
        <v>1418</v>
      </c>
      <c r="F32" s="377">
        <f>'数据-取费表'!B41</f>
        <v>5.6000000000000001E-2</v>
      </c>
      <c r="G32" s="1853"/>
      <c r="H32" s="745"/>
      <c r="I32" s="746"/>
      <c r="J32" s="747"/>
      <c r="K32" s="748"/>
      <c r="L32" s="749"/>
      <c r="M32" s="750"/>
    </row>
    <row r="33" spans="1:18" ht="18" customHeight="1">
      <c r="A33" s="1203" t="s">
        <v>1033</v>
      </c>
      <c r="B33" s="347" t="s">
        <v>1433</v>
      </c>
      <c r="C33" s="24">
        <f ca="1">IF(项目基本情况!B11="自然人","——",IF(D33="按租金收入计税",ROUND(C5*F33,2),IF(D33="按房产原值计税",ROUND(C29*F33*0.7,2),INDIRECT("'数据-取费表'!Aj"&amp;$G$1))))</f>
        <v>2671.32</v>
      </c>
      <c r="D33" s="1830" t="s">
        <v>3086</v>
      </c>
      <c r="E33" s="347" t="s">
        <v>1418</v>
      </c>
      <c r="F33" s="367">
        <f>IF(D33="按票据","——",IF(D33="按租金收入计税",'数据-取费表'!B51,'数据-取费表'!B50))</f>
        <v>0.12</v>
      </c>
      <c r="G33" s="1853"/>
      <c r="H33" s="1861"/>
      <c r="I33" s="1862"/>
      <c r="J33" s="1863"/>
      <c r="K33" s="1864"/>
      <c r="L33" s="1861"/>
      <c r="M33" s="1861"/>
    </row>
    <row r="34" spans="1:18" ht="18" customHeight="1">
      <c r="A34" s="1293" t="s">
        <v>1385</v>
      </c>
      <c r="B34" s="164" t="s">
        <v>1437</v>
      </c>
      <c r="C34" s="25">
        <f ca="1">IF(项目基本情况!B11="自然人","——",ROUND(F34*F35/10000,2))</f>
        <v>7.01</v>
      </c>
      <c r="D34" s="370" t="s">
        <v>1438</v>
      </c>
      <c r="E34" s="347" t="s">
        <v>1439</v>
      </c>
      <c r="F34" s="371">
        <f>'数据-取费表'!B52</f>
        <v>3</v>
      </c>
      <c r="G34" s="1853"/>
      <c r="H34" s="745"/>
      <c r="I34" s="1862"/>
      <c r="J34" s="1863"/>
      <c r="K34" s="1865"/>
      <c r="L34" s="1866"/>
      <c r="M34" s="1866"/>
    </row>
    <row r="35" spans="1:18" ht="18" customHeight="1">
      <c r="A35" s="1355"/>
      <c r="B35" s="1353"/>
      <c r="C35" s="29"/>
      <c r="D35" s="373"/>
      <c r="E35" s="347" t="s">
        <v>1443</v>
      </c>
      <c r="F35" s="348">
        <f ca="1">INDIRECT("'数据-取费表'!r"&amp;$G$1)</f>
        <v>23379.05</v>
      </c>
      <c r="G35" s="1853"/>
      <c r="H35" s="745"/>
      <c r="I35" s="1862"/>
      <c r="J35" s="1863"/>
      <c r="K35" s="1864"/>
      <c r="L35" s="1861"/>
      <c r="M35" s="1861"/>
    </row>
    <row r="36" spans="1:18" ht="18" customHeight="1">
      <c r="A36" s="1354" t="s">
        <v>1036</v>
      </c>
      <c r="B36" s="347" t="s">
        <v>1445</v>
      </c>
      <c r="C36" s="24">
        <f ca="1">ROUND(C29*F36,1)</f>
        <v>2177.4</v>
      </c>
      <c r="D36" s="1800" t="s">
        <v>1478</v>
      </c>
      <c r="E36" s="347" t="s">
        <v>1418</v>
      </c>
      <c r="F36" s="374">
        <f ca="1">INDIRECT("'数据-取费表'!Ak"&amp;$G$1)</f>
        <v>1.4999999999999999E-2</v>
      </c>
      <c r="G36" s="1853"/>
      <c r="H36" s="1861"/>
      <c r="I36" s="1862"/>
      <c r="J36" s="1863"/>
      <c r="K36" s="751"/>
      <c r="L36" s="1861"/>
      <c r="M36" s="1861"/>
    </row>
    <row r="37" spans="1:18" ht="18" customHeight="1">
      <c r="A37" s="1203" t="s">
        <v>1072</v>
      </c>
      <c r="B37" s="347" t="s">
        <v>1449</v>
      </c>
      <c r="C37" s="24">
        <f ca="1">ROUND(C13*F37,1)</f>
        <v>217.7</v>
      </c>
      <c r="D37" s="1800" t="s">
        <v>1450</v>
      </c>
      <c r="E37" s="347" t="s">
        <v>1451</v>
      </c>
      <c r="F37" s="376">
        <f ca="1">INDIRECT("'数据-取费表'!Al"&amp;$G$1)</f>
        <v>1.5E-3</v>
      </c>
      <c r="G37" s="1853"/>
      <c r="H37" s="1861"/>
      <c r="I37" s="1862"/>
      <c r="J37" s="1863"/>
      <c r="K37" s="751"/>
      <c r="L37" s="1861"/>
      <c r="M37" s="1861"/>
    </row>
    <row r="38" spans="1:18" ht="18" customHeight="1" thickBot="1">
      <c r="A38" s="1341" t="s">
        <v>1389</v>
      </c>
      <c r="B38" s="1342" t="s">
        <v>1435</v>
      </c>
      <c r="C38" s="1343">
        <f ca="1">ROUND(C5*F38,1)</f>
        <v>222.6</v>
      </c>
      <c r="D38" s="1344" t="s">
        <v>1455</v>
      </c>
      <c r="E38" s="1342" t="s">
        <v>1451</v>
      </c>
      <c r="F38" s="1338">
        <f ca="1">INDIRECT("'数据-取费表'!Am"&amp;$G$1)</f>
        <v>0.01</v>
      </c>
      <c r="G38" s="1853"/>
      <c r="H38" s="1861"/>
      <c r="I38" s="1862"/>
      <c r="J38" s="1863"/>
      <c r="K38" s="1867"/>
      <c r="L38" s="1861"/>
      <c r="M38" s="1861"/>
    </row>
    <row r="39" spans="1:18" ht="24.6" customHeight="1" thickTop="1">
      <c r="A39" s="1331" t="s">
        <v>1028</v>
      </c>
      <c r="B39" s="1346" t="s">
        <v>1479</v>
      </c>
      <c r="C39" s="355">
        <f ca="1">C5-C30</f>
        <v>15778</v>
      </c>
      <c r="D39" s="1347" t="s">
        <v>1480</v>
      </c>
      <c r="E39" s="1348"/>
      <c r="F39" s="1349"/>
      <c r="G39" s="1853"/>
      <c r="H39" s="1861"/>
      <c r="I39" s="1862"/>
      <c r="J39" s="1863"/>
      <c r="K39" s="1867"/>
      <c r="L39" s="1861"/>
      <c r="M39" s="1861"/>
    </row>
    <row r="40" spans="1:18" ht="18" customHeight="1">
      <c r="A40" s="344" t="s">
        <v>1029</v>
      </c>
      <c r="B40" s="345" t="s">
        <v>1481</v>
      </c>
      <c r="C40" s="346">
        <f ca="1">ROUND(C39*(1-((1+F42)/(1+F40))^F41)/(F40-F42),0)</f>
        <v>654960</v>
      </c>
      <c r="D40" s="370" t="s">
        <v>1465</v>
      </c>
      <c r="E40" s="347" t="s">
        <v>1466</v>
      </c>
      <c r="F40" s="357">
        <f ca="1">INDIRECT("'数据-取费表'!I"&amp;$G$1)</f>
        <v>4.4999999999999998E-2</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67.41</v>
      </c>
      <c r="G41" s="1853"/>
      <c r="H41" s="732"/>
      <c r="I41" s="1862"/>
      <c r="J41" s="1863"/>
      <c r="K41" s="751"/>
      <c r="L41" s="732"/>
      <c r="M41" s="732"/>
    </row>
    <row r="42" spans="1:18" ht="18" customHeight="1">
      <c r="A42" s="353"/>
      <c r="B42" s="354"/>
      <c r="C42" s="355"/>
      <c r="D42" s="373"/>
      <c r="E42" s="347" t="s">
        <v>1473</v>
      </c>
      <c r="F42" s="357">
        <f ca="1">INDIRECT("'数据-取费表'!v"&amp;$G$1)</f>
        <v>0.03</v>
      </c>
      <c r="G42" s="1853"/>
      <c r="H42" s="732"/>
      <c r="I42" s="1862"/>
      <c r="J42" s="1863"/>
      <c r="K42" s="751"/>
      <c r="L42" s="732"/>
      <c r="M42" s="732"/>
    </row>
    <row r="43" spans="1:18" ht="18" customHeight="1" thickBot="1">
      <c r="A43" s="380" t="s">
        <v>1030</v>
      </c>
      <c r="B43" s="381" t="s">
        <v>1483</v>
      </c>
      <c r="C43" s="382">
        <f ca="1">ROUND(C40*10000/F43,0)</f>
        <v>50311</v>
      </c>
      <c r="D43" s="383" t="s">
        <v>1484</v>
      </c>
      <c r="E43" s="384" t="s">
        <v>1485</v>
      </c>
      <c r="F43" s="385">
        <f ca="1">INDIRECT("'数据-取费表'!k"&amp;$G$1)</f>
        <v>130182.69</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f ca="1">C68-C40</f>
        <v>-962628</v>
      </c>
      <c r="D46" s="1874" t="str">
        <f>C2</f>
        <v>万元</v>
      </c>
      <c r="E46" s="1868"/>
      <c r="F46" s="1868"/>
      <c r="I46" s="1875" t="s">
        <v>1517</v>
      </c>
      <c r="J46" s="1876"/>
      <c r="K46" s="1877"/>
      <c r="L46" s="1878">
        <f>IF(M47="住宅",0,IF(L48&gt;J51,L60,J60))</f>
        <v>0</v>
      </c>
      <c r="O46" s="1879" t="s">
        <v>1518</v>
      </c>
      <c r="P46" s="1880" t="s">
        <v>1519</v>
      </c>
      <c r="Q46" s="1881" t="s">
        <v>1520</v>
      </c>
      <c r="R46" s="1881" t="s">
        <v>1521</v>
      </c>
    </row>
    <row r="47" spans="1:18" s="1844" customFormat="1" ht="13.5" thickBot="1">
      <c r="A47" s="1167" t="s">
        <v>1392</v>
      </c>
      <c r="B47" s="1199" t="s">
        <v>1393</v>
      </c>
      <c r="C47" s="1369" t="s">
        <v>1394</v>
      </c>
      <c r="D47" s="1199" t="s">
        <v>1395</v>
      </c>
      <c r="E47" s="1281" t="s">
        <v>1396</v>
      </c>
      <c r="F47" s="1282"/>
      <c r="G47" s="792"/>
      <c r="I47" s="1882" t="s">
        <v>1522</v>
      </c>
      <c r="J47" s="1883" t="s">
        <v>3087</v>
      </c>
      <c r="K47" s="1884" t="s">
        <v>1523</v>
      </c>
      <c r="L47" s="1885">
        <f ca="1">INDIRECT("'数据-取费表'!d"&amp;$G$1)</f>
        <v>70</v>
      </c>
      <c r="M47" s="1840" t="str">
        <f>IF(ISNUMBER(FIND("住宅",C1)),"住宅","非住宅")</f>
        <v>住宅</v>
      </c>
      <c r="O47" s="1886" t="s">
        <v>1037</v>
      </c>
      <c r="P47" s="1887" t="s">
        <v>1524</v>
      </c>
      <c r="Q47" s="1888">
        <f ca="1">C40+J29</f>
        <v>654960</v>
      </c>
      <c r="R47" s="1888" t="s">
        <v>1525</v>
      </c>
    </row>
    <row r="48" spans="1:18" s="1844" customFormat="1" ht="28.5" thickBot="1">
      <c r="A48" s="1362" t="s">
        <v>1132</v>
      </c>
      <c r="B48" s="345" t="s">
        <v>1397</v>
      </c>
      <c r="C48" s="1819">
        <f ca="1">C49+C53+C55</f>
        <v>0</v>
      </c>
      <c r="D48" s="1364"/>
      <c r="E48" s="1365"/>
      <c r="F48" s="1183"/>
      <c r="G48" s="792"/>
      <c r="H48" s="793"/>
      <c r="I48" s="1889" t="s">
        <v>1526</v>
      </c>
      <c r="J48" s="1890" t="s">
        <v>3088</v>
      </c>
      <c r="K48" s="1891" t="s">
        <v>1527</v>
      </c>
      <c r="L48" s="1892">
        <f ca="1">INDIRECT("'数据-取费表'!f"&amp;$G$1)</f>
        <v>67.41</v>
      </c>
      <c r="O48" s="1886" t="s">
        <v>1038</v>
      </c>
      <c r="P48" s="1887" t="s">
        <v>1528</v>
      </c>
      <c r="Q48" s="1888" t="str">
        <f ca="1">J60</f>
        <v>0</v>
      </c>
      <c r="R48" s="1888" t="s">
        <v>1529</v>
      </c>
    </row>
    <row r="49" spans="1:18" s="1844" customFormat="1" ht="13.5" thickBot="1">
      <c r="A49" s="1196" t="s">
        <v>1133</v>
      </c>
      <c r="B49" s="1831" t="s">
        <v>1486</v>
      </c>
      <c r="C49" s="1366">
        <f ca="1">ROUND(F49*F51*F50*(1-F52)/10000,0)</f>
        <v>0</v>
      </c>
      <c r="D49" s="1278" t="s">
        <v>3029</v>
      </c>
      <c r="E49" s="1832" t="s">
        <v>1487</v>
      </c>
      <c r="F49" s="1283"/>
      <c r="G49" s="1893"/>
      <c r="H49" s="793"/>
      <c r="I49" s="1889" t="s">
        <v>1530</v>
      </c>
      <c r="J49" s="1894">
        <v>2019</v>
      </c>
      <c r="K49" s="1891" t="s">
        <v>1531</v>
      </c>
      <c r="L49" s="1895"/>
      <c r="O49" s="1896" t="s">
        <v>1039</v>
      </c>
      <c r="P49" s="1887" t="s">
        <v>1532</v>
      </c>
      <c r="Q49" s="1888">
        <f ca="1">C29</f>
        <v>145163</v>
      </c>
      <c r="R49" s="1888" t="s">
        <v>1525</v>
      </c>
    </row>
    <row r="50" spans="1:18" s="1844" customFormat="1" ht="13.5" thickBot="1">
      <c r="A50" s="1197"/>
      <c r="B50" s="1200"/>
      <c r="C50" s="1370"/>
      <c r="D50" s="1174"/>
      <c r="E50" s="1279" t="s">
        <v>1402</v>
      </c>
      <c r="F50" s="1280">
        <f ca="1">F7</f>
        <v>130182.69</v>
      </c>
      <c r="H50" s="793"/>
      <c r="I50" s="1889" t="s">
        <v>1533</v>
      </c>
      <c r="J50" s="1897">
        <f>SUMPRODUCT((I63:I65=J47)*(J62:L62=J48)*(J63:L65))</f>
        <v>60</v>
      </c>
      <c r="K50" s="1891" t="s">
        <v>1534</v>
      </c>
      <c r="L50" s="1895"/>
      <c r="M50" s="1898"/>
      <c r="O50" s="1896" t="s">
        <v>1040</v>
      </c>
      <c r="P50" s="1887" t="s">
        <v>1535</v>
      </c>
      <c r="Q50" s="1899" t="e">
        <f ca="1">J58</f>
        <v>#VALUE!</v>
      </c>
      <c r="R50" s="1888"/>
    </row>
    <row r="51" spans="1:18" s="1844" customFormat="1" ht="13.5" thickBot="1">
      <c r="A51" s="1198"/>
      <c r="B51" s="1200"/>
      <c r="C51" s="1201"/>
      <c r="D51" s="1174"/>
      <c r="E51" s="1202" t="s">
        <v>1403</v>
      </c>
      <c r="F51" s="348">
        <f ca="1">F8</f>
        <v>12</v>
      </c>
      <c r="I51" s="1900" t="s">
        <v>1536</v>
      </c>
      <c r="J51" s="1901">
        <f>IF(J49="",J50,J49+J50-YEAR('数据-取费表'!B2))</f>
        <v>60</v>
      </c>
      <c r="K51" s="1902" t="s">
        <v>1537</v>
      </c>
      <c r="L51" s="1903">
        <f ca="1">ROUND(-PV(INDIRECT("'数据-取费表'!h"&amp;$G$1),L48,(C39-C13*C76),0),0)</f>
        <v>79867</v>
      </c>
      <c r="M51" s="1904"/>
      <c r="O51" s="1896" t="s">
        <v>1041</v>
      </c>
      <c r="P51" s="1887" t="s">
        <v>1538</v>
      </c>
      <c r="Q51" s="1899">
        <f>J52</f>
        <v>0.09</v>
      </c>
      <c r="R51" s="1888"/>
    </row>
    <row r="52" spans="1:18" s="1844" customFormat="1" ht="13.5" thickBot="1">
      <c r="A52" s="1198"/>
      <c r="B52" s="1200"/>
      <c r="C52" s="1201"/>
      <c r="D52" s="1174"/>
      <c r="E52" s="1202" t="s">
        <v>1404</v>
      </c>
      <c r="F52" s="1277"/>
      <c r="I52" s="1905" t="s">
        <v>1539</v>
      </c>
      <c r="J52" s="1906">
        <v>0.09</v>
      </c>
      <c r="K52" s="1905" t="s">
        <v>1540</v>
      </c>
      <c r="L52" s="1906"/>
      <c r="O52" s="1896" t="s">
        <v>1042</v>
      </c>
      <c r="P52" s="1887" t="s">
        <v>1541</v>
      </c>
      <c r="Q52" s="1888">
        <f ca="1">J53</f>
        <v>67.41</v>
      </c>
      <c r="R52" s="1888" t="s">
        <v>1542</v>
      </c>
    </row>
    <row r="53" spans="1:18" s="1844" customFormat="1" ht="24.75" thickBot="1">
      <c r="A53" s="1407" t="s">
        <v>1134</v>
      </c>
      <c r="B53" s="1833" t="s">
        <v>1405</v>
      </c>
      <c r="C53" s="361">
        <f ca="1">ROUND(IF(F53="押一",C49/12*F11,IF(F53="押二",C49/12*2*F11,IF(F53="押三",C49/12*3*F11,C54*F11))),0)</f>
        <v>0</v>
      </c>
      <c r="D53" s="1826" t="s">
        <v>3036</v>
      </c>
      <c r="E53" s="358"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67.41</v>
      </c>
      <c r="K53" s="3357" t="s">
        <v>1544</v>
      </c>
      <c r="L53" s="3358"/>
      <c r="O53" s="1886" t="s">
        <v>1043</v>
      </c>
      <c r="P53" s="1887" t="s">
        <v>1545</v>
      </c>
      <c r="Q53" s="1888">
        <f ca="1">Q47+Q48</f>
        <v>654960</v>
      </c>
      <c r="R53" s="1888" t="s">
        <v>1044</v>
      </c>
    </row>
    <row r="54" spans="1:18" s="1844" customFormat="1" ht="13.5" thickBot="1">
      <c r="A54" s="1408"/>
      <c r="B54" s="1827" t="s">
        <v>1384</v>
      </c>
      <c r="C54" s="1180"/>
      <c r="D54" s="1826"/>
      <c r="E54" s="1834"/>
      <c r="F54" s="1909"/>
      <c r="I54" s="19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25.5" thickTop="1" thickBot="1">
      <c r="A56" s="1178">
        <v>2</v>
      </c>
      <c r="B56" s="1179" t="s">
        <v>1410</v>
      </c>
      <c r="C56" s="276">
        <f ca="1">C13</f>
        <v>145163</v>
      </c>
      <c r="D56" s="1916"/>
      <c r="E56" s="1917"/>
      <c r="F56" s="1909"/>
      <c r="I56" s="1918" t="s">
        <v>1550</v>
      </c>
      <c r="J56" s="1919" t="s">
        <v>3085</v>
      </c>
      <c r="K56" s="1889" t="s">
        <v>1551</v>
      </c>
      <c r="L56" s="1892">
        <f ca="1">IF(L48&lt;J51,"——",L48-J53)</f>
        <v>0</v>
      </c>
      <c r="O56" s="1886" t="s">
        <v>1037</v>
      </c>
      <c r="P56" s="1887" t="s">
        <v>1524</v>
      </c>
      <c r="Q56" s="1888">
        <f ca="1">C40+J29</f>
        <v>654960</v>
      </c>
      <c r="R56" s="1888" t="s">
        <v>1525</v>
      </c>
    </row>
    <row r="57" spans="1:18" s="1844" customFormat="1" ht="24.75" thickBot="1">
      <c r="A57" s="1920"/>
      <c r="B57" s="1171" t="s">
        <v>1474</v>
      </c>
      <c r="C57" s="282">
        <f ca="1">C29</f>
        <v>145163</v>
      </c>
      <c r="D57" s="1921"/>
      <c r="E57" s="1922"/>
      <c r="F57" s="1923"/>
      <c r="I57" s="1924" t="s">
        <v>1552</v>
      </c>
      <c r="J57" s="1925" t="str">
        <f ca="1">IF(OR(M47="住宅",J51&lt;L48,J56="是"),"——",J51-L48)</f>
        <v>——</v>
      </c>
      <c r="K57" s="1889" t="s">
        <v>1553</v>
      </c>
      <c r="L57" s="1892">
        <f ca="1">IF(L48&lt;J51,"——",IF(L55="比较法",L49,IF(L55="基准地价",L50,L51)))</f>
        <v>79867</v>
      </c>
      <c r="O57" s="1886" t="s">
        <v>1038</v>
      </c>
      <c r="P57" s="1887" t="s">
        <v>1554</v>
      </c>
      <c r="Q57" s="1888">
        <f ca="1">L60</f>
        <v>0</v>
      </c>
      <c r="R57" s="1888" t="s">
        <v>1555</v>
      </c>
    </row>
    <row r="58" spans="1:18" s="1844" customFormat="1" ht="24.75" thickBot="1">
      <c r="A58" s="360" t="s">
        <v>1027</v>
      </c>
      <c r="B58" s="1179" t="s">
        <v>1420</v>
      </c>
      <c r="C58" s="361">
        <f ca="1">ROUND(C59+C64+C65+C66,0)</f>
        <v>14596</v>
      </c>
      <c r="D58" s="1181" t="s">
        <v>1421</v>
      </c>
      <c r="E58" s="1182"/>
      <c r="F58" s="1183"/>
      <c r="I58" s="1924" t="s">
        <v>1556</v>
      </c>
      <c r="J58" s="1926" t="e">
        <f ca="1">IF(J55&lt;0.4,0.4,J55)</f>
        <v>#VALUE!</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4">
        <f ca="1">ROUND(IF(项目基本情况!B11="自然人",C48*F59,C60+C61+C62),1)</f>
        <v>12200.7</v>
      </c>
      <c r="D59" s="1184" t="s">
        <v>1426</v>
      </c>
      <c r="E59" s="1185"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4">
        <f ca="1">IF(项目基本情况!B11="自然人","——",ROUND(C48*F60/(1+'数据-取费表'!C42),2))</f>
        <v>0</v>
      </c>
      <c r="D60" s="1185" t="s">
        <v>1430</v>
      </c>
      <c r="E60" s="1171" t="s">
        <v>1418</v>
      </c>
      <c r="F60" s="377">
        <f t="shared" ref="F60:F66" si="0">F32</f>
        <v>5.6000000000000001E-2</v>
      </c>
      <c r="I60" s="1927" t="s">
        <v>1561</v>
      </c>
      <c r="J60" s="1928" t="str">
        <f ca="1">IF(OR(M47="住宅",J51&lt;L48,J56="是"),"0",ROUND(J59/(1+J52)^J53,0))</f>
        <v>0</v>
      </c>
      <c r="K60" s="1929" t="s">
        <v>1562</v>
      </c>
      <c r="L60" s="1928">
        <f ca="1">IF(OR(M47="住宅",L48&lt;J51),0,ROUND(L57*(L58/L59-1),0))</f>
        <v>0</v>
      </c>
      <c r="O60" s="1896" t="s">
        <v>1041</v>
      </c>
      <c r="P60" s="1887" t="s">
        <v>1563</v>
      </c>
      <c r="Q60" s="1888" t="e">
        <f ca="1">L58</f>
        <v>#DIV/0!</v>
      </c>
      <c r="R60" s="1888" t="s">
        <v>1564</v>
      </c>
    </row>
    <row r="61" spans="1:18" s="1844" customFormat="1" ht="13.5" thickBot="1">
      <c r="A61" s="1203" t="s">
        <v>1488</v>
      </c>
      <c r="B61" s="1171" t="s">
        <v>1489</v>
      </c>
      <c r="C61" s="24">
        <f ca="1">IF(项目基本情况!B11="自然人","——",IF(D61="按租金收入计税",ROUND(C48*F61,2),IF(D61="按房产原值计税",ROUND(C57*F61*0.7,2),INDIRECT("'数据-取费表'!Aj"&amp;$G$1))))</f>
        <v>12193.69</v>
      </c>
      <c r="D61" s="1830" t="s">
        <v>1434</v>
      </c>
      <c r="E61" s="1171" t="s">
        <v>1490</v>
      </c>
      <c r="F61" s="367">
        <f t="shared" si="0"/>
        <v>0.12</v>
      </c>
      <c r="I61" s="1930"/>
      <c r="J61" s="1930"/>
      <c r="K61" s="1930"/>
      <c r="L61" s="1930"/>
      <c r="O61" s="1896" t="s">
        <v>1042</v>
      </c>
      <c r="P61" s="1887" t="str">
        <f>K59</f>
        <v>建筑物剩余耐用年限下的土地年期修正系数Kn</v>
      </c>
      <c r="Q61" s="1888" t="e">
        <f ca="1">L59</f>
        <v>#DIV/0!</v>
      </c>
      <c r="R61" s="1888" t="s">
        <v>1565</v>
      </c>
    </row>
    <row r="62" spans="1:18" s="1844" customFormat="1" ht="13.5" thickBot="1">
      <c r="A62" s="1203" t="s">
        <v>1491</v>
      </c>
      <c r="B62" s="1170" t="s">
        <v>1492</v>
      </c>
      <c r="C62" s="25">
        <f ca="1">IF(项目基本情况!B11="自然人","——",ROUND(F62*F63/10000,2))</f>
        <v>7.01</v>
      </c>
      <c r="D62" s="1186" t="s">
        <v>1493</v>
      </c>
      <c r="E62" s="1171" t="s">
        <v>1494</v>
      </c>
      <c r="F62" s="371">
        <f t="shared" si="0"/>
        <v>3</v>
      </c>
      <c r="I62" s="1931" t="s">
        <v>1566</v>
      </c>
      <c r="J62" s="1932" t="s">
        <v>1567</v>
      </c>
      <c r="K62" s="1932" t="s">
        <v>1568</v>
      </c>
      <c r="L62" s="1932" t="s">
        <v>1569</v>
      </c>
      <c r="M62" s="1933" t="s">
        <v>1570</v>
      </c>
      <c r="O62" s="1886" t="s">
        <v>1043</v>
      </c>
      <c r="P62" s="1887" t="s">
        <v>1571</v>
      </c>
      <c r="Q62" s="1888">
        <f ca="1">Q56+Q57</f>
        <v>654960</v>
      </c>
      <c r="R62" s="1888" t="s">
        <v>1044</v>
      </c>
    </row>
    <row r="63" spans="1:18" s="1844" customFormat="1" ht="13.5" thickBot="1">
      <c r="A63" s="372"/>
      <c r="B63" s="1177"/>
      <c r="C63" s="29"/>
      <c r="D63" s="1187"/>
      <c r="E63" s="1171" t="s">
        <v>1495</v>
      </c>
      <c r="F63" s="348">
        <f t="shared" ca="1" si="0"/>
        <v>23379.05</v>
      </c>
      <c r="I63" s="1931" t="s">
        <v>1572</v>
      </c>
      <c r="J63" s="1932">
        <v>70</v>
      </c>
      <c r="K63" s="1932">
        <v>50</v>
      </c>
      <c r="L63" s="1932">
        <v>80</v>
      </c>
      <c r="M63" s="1934">
        <v>0.02</v>
      </c>
      <c r="O63" s="1871" t="s">
        <v>1573</v>
      </c>
      <c r="P63" s="1841"/>
      <c r="Q63" s="1841"/>
      <c r="R63" s="1841"/>
    </row>
    <row r="64" spans="1:18" s="1844" customFormat="1" ht="13.5" thickBot="1">
      <c r="A64" s="1203" t="s">
        <v>1496</v>
      </c>
      <c r="B64" s="1171" t="s">
        <v>1497</v>
      </c>
      <c r="C64" s="24">
        <f ca="1">ROUND(C57*F64,1)</f>
        <v>2177.4</v>
      </c>
      <c r="D64" s="1185" t="s">
        <v>1498</v>
      </c>
      <c r="E64" s="1171" t="s">
        <v>1490</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4">
        <f ca="1">ROUND(C56*F65,1)</f>
        <v>217.7</v>
      </c>
      <c r="D65" s="1185" t="s">
        <v>1450</v>
      </c>
      <c r="E65" s="1171" t="s">
        <v>1451</v>
      </c>
      <c r="F65" s="376">
        <f t="shared" ca="1" si="0"/>
        <v>1.5E-3</v>
      </c>
      <c r="I65" s="1931" t="s">
        <v>1575</v>
      </c>
      <c r="J65" s="1932">
        <v>40</v>
      </c>
      <c r="K65" s="1932">
        <v>30</v>
      </c>
      <c r="L65" s="1932">
        <v>50</v>
      </c>
      <c r="M65" s="1934">
        <v>0.02</v>
      </c>
      <c r="O65" s="1886" t="s">
        <v>1037</v>
      </c>
      <c r="P65" s="1887" t="s">
        <v>1576</v>
      </c>
      <c r="Q65" s="1888">
        <f ca="1">C40+J29</f>
        <v>654960</v>
      </c>
      <c r="R65" s="1888" t="s">
        <v>1525</v>
      </c>
    </row>
    <row r="66" spans="1:18" s="1844" customFormat="1" ht="16.5" thickBot="1">
      <c r="A66" s="1203" t="s">
        <v>1500</v>
      </c>
      <c r="B66" s="1171" t="s">
        <v>1435</v>
      </c>
      <c r="C66" s="24">
        <f ca="1">ROUND(C48*F66,1)</f>
        <v>0</v>
      </c>
      <c r="D66" s="1185" t="s">
        <v>1501</v>
      </c>
      <c r="E66" s="1171" t="s">
        <v>1418</v>
      </c>
      <c r="F66" s="357">
        <f t="shared" ca="1" si="0"/>
        <v>0.01</v>
      </c>
      <c r="O66" s="1886" t="s">
        <v>1038</v>
      </c>
      <c r="P66" s="1887" t="s">
        <v>1554</v>
      </c>
      <c r="Q66" s="1888">
        <f ca="1">L60</f>
        <v>0</v>
      </c>
      <c r="R66" s="1888" t="s">
        <v>1577</v>
      </c>
    </row>
    <row r="67" spans="1:18" s="1844" customFormat="1" ht="16.5" thickBot="1">
      <c r="A67" s="1178" t="s">
        <v>1028</v>
      </c>
      <c r="B67" s="1188" t="s">
        <v>1459</v>
      </c>
      <c r="C67" s="361">
        <f ca="1">C48-C58</f>
        <v>-14596</v>
      </c>
      <c r="D67" s="1184" t="s">
        <v>1460</v>
      </c>
      <c r="E67" s="1189"/>
      <c r="F67" s="1190"/>
      <c r="O67" s="1896" t="s">
        <v>1039</v>
      </c>
      <c r="P67" s="1887" t="s">
        <v>1558</v>
      </c>
      <c r="Q67" s="1935">
        <f ca="1">L51</f>
        <v>79867</v>
      </c>
      <c r="R67" s="1888" t="s">
        <v>1578</v>
      </c>
    </row>
    <row r="68" spans="1:18" s="1844" customFormat="1" ht="16.5" thickBot="1">
      <c r="A68" s="1168" t="s">
        <v>1029</v>
      </c>
      <c r="B68" s="1169" t="s">
        <v>1481</v>
      </c>
      <c r="C68" s="346">
        <f ca="1">ROUND(C67*(1-((1+F70)/(1+F68))^F69)/(F68-F70),0)</f>
        <v>-307668</v>
      </c>
      <c r="D68" s="1186" t="s">
        <v>1465</v>
      </c>
      <c r="E68" s="1171" t="s">
        <v>1466</v>
      </c>
      <c r="F68" s="357">
        <f ca="1">F40</f>
        <v>4.4999999999999998E-2</v>
      </c>
      <c r="O68" s="1896" t="s">
        <v>1040</v>
      </c>
      <c r="P68" s="1936" t="s">
        <v>1579</v>
      </c>
      <c r="Q68" s="1888">
        <f ca="1">ROUND(Q69-Q70*Q71,0)</f>
        <v>3439</v>
      </c>
      <c r="R68" s="1888" t="s">
        <v>1048</v>
      </c>
    </row>
    <row r="69" spans="1:18" s="1844" customFormat="1" ht="13.5" thickBot="1">
      <c r="A69" s="1172"/>
      <c r="B69" s="1173"/>
      <c r="C69" s="351"/>
      <c r="D69" s="1191" t="s">
        <v>1469</v>
      </c>
      <c r="E69" s="1171" t="s">
        <v>1470</v>
      </c>
      <c r="F69" s="379">
        <f ca="1">F41</f>
        <v>67.41</v>
      </c>
      <c r="O69" s="1896" t="s">
        <v>1045</v>
      </c>
      <c r="P69" s="1936" t="s">
        <v>1580</v>
      </c>
      <c r="Q69" s="1888">
        <f ca="1">C39</f>
        <v>15778</v>
      </c>
      <c r="R69" s="1888" t="s">
        <v>1525</v>
      </c>
    </row>
    <row r="70" spans="1:18" s="1844" customFormat="1" ht="13.5" thickBot="1">
      <c r="A70" s="1175"/>
      <c r="B70" s="1176"/>
      <c r="C70" s="355"/>
      <c r="D70" s="1187"/>
      <c r="E70" s="1171" t="s">
        <v>1473</v>
      </c>
      <c r="F70" s="1277"/>
      <c r="O70" s="1896" t="s">
        <v>1046</v>
      </c>
      <c r="P70" s="1936" t="s">
        <v>1581</v>
      </c>
      <c r="Q70" s="1888">
        <f ca="1">C13</f>
        <v>145163</v>
      </c>
      <c r="R70" s="1888" t="s">
        <v>1525</v>
      </c>
    </row>
    <row r="71" spans="1:18" s="1844" customFormat="1" ht="13.5" thickBot="1">
      <c r="A71" s="1192" t="s">
        <v>1030</v>
      </c>
      <c r="B71" s="1193" t="s">
        <v>1483</v>
      </c>
      <c r="C71" s="382">
        <f ca="1">ROUND(C68*10000/F71,0)</f>
        <v>-23634</v>
      </c>
      <c r="D71" s="1194" t="s">
        <v>1484</v>
      </c>
      <c r="E71" s="1195" t="s">
        <v>1485</v>
      </c>
      <c r="F71" s="385">
        <f ca="1">F43</f>
        <v>130182.69</v>
      </c>
      <c r="O71" s="1896" t="s">
        <v>1047</v>
      </c>
      <c r="P71" s="1936" t="s">
        <v>1582</v>
      </c>
      <c r="Q71" s="1899">
        <f ca="1">C76</f>
        <v>8.5000000000000006E-2</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建筑物剩余耐用年限下的土地年期修正系数Kn</v>
      </c>
      <c r="Q74" s="1888" t="e">
        <f ca="1">L59</f>
        <v>#DIV/0!</v>
      </c>
      <c r="R74" s="1888" t="s">
        <v>1565</v>
      </c>
    </row>
    <row r="75" spans="1:18" ht="13.5" thickBot="1">
      <c r="A75" s="1844"/>
      <c r="B75" s="386" t="s">
        <v>1502</v>
      </c>
      <c r="C75" s="387">
        <f ca="1">ROUND(C13*C76,0)</f>
        <v>12339</v>
      </c>
      <c r="D75" s="1844"/>
      <c r="E75" s="1844"/>
      <c r="F75" s="1844"/>
      <c r="K75" s="1870"/>
      <c r="L75" s="1844"/>
      <c r="O75" s="1886" t="s">
        <v>1043</v>
      </c>
      <c r="P75" s="1887" t="s">
        <v>1545</v>
      </c>
      <c r="Q75" s="1888">
        <f ca="1">Q65+Q66</f>
        <v>654960</v>
      </c>
      <c r="R75" s="1888" t="s">
        <v>1044</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0.21799999999999997</v>
      </c>
    </row>
    <row r="80" spans="1:18">
      <c r="B80" s="386" t="s">
        <v>1507</v>
      </c>
      <c r="C80" s="318">
        <f ca="1">ROUND(C75/C39,3)</f>
        <v>0.78200000000000003</v>
      </c>
    </row>
    <row r="81" spans="2:3">
      <c r="B81" s="314" t="s">
        <v>1508</v>
      </c>
      <c r="C81" s="282"/>
    </row>
    <row r="82" spans="2:3">
      <c r="B82" s="317" t="s">
        <v>1509</v>
      </c>
      <c r="C82" s="319">
        <f ca="1">1-C83</f>
        <v>0.77800000000000002</v>
      </c>
    </row>
    <row r="83" spans="2:3">
      <c r="B83" s="317" t="s">
        <v>1510</v>
      </c>
      <c r="C83" s="318">
        <f ca="1">ROUND(C13/C40,3)</f>
        <v>0.222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3"/>
  <sheetViews>
    <sheetView workbookViewId="0">
      <selection activeCell="K22" sqref="K22"/>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2520</v>
      </c>
      <c r="B1" s="2563"/>
      <c r="C1" s="2563"/>
      <c r="D1" s="2563"/>
      <c r="E1" s="2564"/>
    </row>
    <row r="2" spans="1:6" ht="15.75">
      <c r="A2" s="2565" t="s">
        <v>2321</v>
      </c>
      <c r="B2" s="2566">
        <f ca="1">SUMIF(B6:B13,"&lt;&gt;#ref!",B6:B13)</f>
        <v>682923</v>
      </c>
      <c r="C2" s="2567" t="s">
        <v>2513</v>
      </c>
      <c r="D2" s="2568" t="s">
        <v>2514</v>
      </c>
      <c r="E2" s="2569">
        <f>SUM(E6:E13)</f>
        <v>137390</v>
      </c>
    </row>
    <row r="3" spans="1:6" ht="15.75">
      <c r="A3" s="2565" t="s">
        <v>1391</v>
      </c>
      <c r="B3" s="2566">
        <f ca="1">ROUND(B2*10000/E2,0)</f>
        <v>49707</v>
      </c>
      <c r="C3" s="2567" t="s">
        <v>2521</v>
      </c>
      <c r="D3" s="2570"/>
      <c r="E3" s="2571"/>
    </row>
    <row r="4" spans="1:6" ht="15.75">
      <c r="A4" s="2572"/>
      <c r="B4" s="2570"/>
      <c r="C4" s="2570"/>
      <c r="D4" s="2570"/>
      <c r="E4" s="2571"/>
    </row>
    <row r="5" spans="1:6" ht="15">
      <c r="A5" s="2573" t="s">
        <v>2515</v>
      </c>
      <c r="B5" s="3362" t="s">
        <v>2516</v>
      </c>
      <c r="C5" s="3362"/>
      <c r="D5" s="2574"/>
      <c r="E5" s="2575" t="s">
        <v>2517</v>
      </c>
      <c r="F5" s="2576" t="s">
        <v>2518</v>
      </c>
    </row>
    <row r="6" spans="1:6">
      <c r="A6" s="2577" t="str">
        <f>'数据-取费表'!AN6</f>
        <v>收益法（住宅）</v>
      </c>
      <c r="B6" s="2576">
        <f ca="1">IF(F6="是",'数据-取费表'!AO6,0)</f>
        <v>654960</v>
      </c>
      <c r="C6" s="2567" t="s">
        <v>2513</v>
      </c>
      <c r="D6" s="2570"/>
      <c r="E6" s="2578">
        <f>IF(OR(A6=0,F6="否"),0,'数据-取费表'!K6+'数据-取费表'!S6)</f>
        <v>130182.69</v>
      </c>
      <c r="F6" s="2579" t="s">
        <v>2519</v>
      </c>
    </row>
    <row r="7" spans="1:6">
      <c r="A7" s="2577" t="str">
        <f>'数据-取费表'!AN7</f>
        <v>收益法（商业）</v>
      </c>
      <c r="B7" s="2576">
        <f ca="1">IF(F7="是",'数据-取费表'!AO7,0)</f>
        <v>22414</v>
      </c>
      <c r="C7" s="2567" t="s">
        <v>2513</v>
      </c>
      <c r="D7" s="2570"/>
      <c r="E7" s="2578">
        <f>IF(OR(A7=0,F7="否"),0,'数据-取费表'!K7+'数据-取费表'!S7)</f>
        <v>4829.75</v>
      </c>
      <c r="F7" s="2579" t="s">
        <v>2519</v>
      </c>
    </row>
    <row r="8" spans="1:6">
      <c r="A8" s="2577">
        <f>'数据-取费表'!AN8</f>
        <v>0</v>
      </c>
      <c r="B8" s="2576" t="e">
        <f ca="1">IF(F8="是",'数据-取费表'!AO8,0)</f>
        <v>#REF!</v>
      </c>
      <c r="C8" s="2567" t="s">
        <v>2513</v>
      </c>
      <c r="D8" s="2570"/>
      <c r="E8" s="2578">
        <f>IF(OR(A8=0,F8="否"),0,'数据-取费表'!K8+'数据-取费表'!S8)</f>
        <v>0</v>
      </c>
      <c r="F8" s="2579" t="s">
        <v>2519</v>
      </c>
    </row>
    <row r="9" spans="1:6">
      <c r="A9" s="2577" t="str">
        <f>'数据-取费表'!AN9</f>
        <v>收益法（公寓）</v>
      </c>
      <c r="B9" s="2576">
        <f ca="1">IF(F9="是",'数据-取费表'!AO9,0)</f>
        <v>5549</v>
      </c>
      <c r="C9" s="2567" t="s">
        <v>2513</v>
      </c>
      <c r="D9" s="2570"/>
      <c r="E9" s="2578">
        <f>IF(OR(A9=0,F9="否"),0,'数据-取费表'!K9+'数据-取费表'!S9)</f>
        <v>2377.56</v>
      </c>
      <c r="F9" s="2579" t="s">
        <v>2519</v>
      </c>
    </row>
    <row r="10" spans="1:6">
      <c r="A10" s="2577">
        <f>'数据-取费表'!AN10</f>
        <v>0</v>
      </c>
      <c r="B10" s="2576" t="e">
        <f ca="1">IF(F10="是",'数据-取费表'!AO10,0)</f>
        <v>#REF!</v>
      </c>
      <c r="C10" s="2567" t="s">
        <v>2513</v>
      </c>
      <c r="D10" s="2570"/>
      <c r="E10" s="2578">
        <f>IF(OR(A10=0,F10="否"),0,'数据-取费表'!K10+'数据-取费表'!S10)</f>
        <v>0</v>
      </c>
      <c r="F10" s="2579" t="s">
        <v>2519</v>
      </c>
    </row>
    <row r="11" spans="1:6">
      <c r="A11" s="2577">
        <f>'数据-取费表'!AN11</f>
        <v>0</v>
      </c>
      <c r="B11" s="2576" t="e">
        <f ca="1">IF(F11="是",'数据-取费表'!AO11,0)</f>
        <v>#REF!</v>
      </c>
      <c r="C11" s="2567" t="s">
        <v>2513</v>
      </c>
      <c r="D11" s="2570"/>
      <c r="E11" s="2578">
        <f>IF(OR(A11=0,F11="否"),0,'数据-取费表'!K11+'数据-取费表'!S11)</f>
        <v>0</v>
      </c>
      <c r="F11" s="2579" t="s">
        <v>2519</v>
      </c>
    </row>
    <row r="12" spans="1:6">
      <c r="A12" s="2577">
        <f>'数据-取费表'!AN12</f>
        <v>0</v>
      </c>
      <c r="B12" s="2576" t="e">
        <f ca="1">IF(F12="是",'数据-取费表'!AO12,0)</f>
        <v>#REF!</v>
      </c>
      <c r="C12" s="2567" t="s">
        <v>2513</v>
      </c>
      <c r="D12" s="2570"/>
      <c r="E12" s="2578">
        <f>IF(OR(A12=0,F12="否"),0,'数据-取费表'!K12+'数据-取费表'!S12)</f>
        <v>0</v>
      </c>
      <c r="F12" s="2579" t="s">
        <v>2519</v>
      </c>
    </row>
    <row r="13" spans="1:6" ht="15" thickBot="1">
      <c r="A13" s="2580">
        <f>'数据-取费表'!AN13</f>
        <v>0</v>
      </c>
      <c r="B13" s="2576" t="e">
        <f ca="1">IF(F13="是",'数据-取费表'!AO13,0)</f>
        <v>#REF!</v>
      </c>
      <c r="C13" s="2581" t="s">
        <v>2513</v>
      </c>
      <c r="D13" s="2582"/>
      <c r="E13" s="2578">
        <f>IF(OR(A13=0,F13="否"),0,'数据-取费表'!K13+'数据-取费表'!S13)</f>
        <v>0</v>
      </c>
      <c r="F13" s="2579"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44" sqref="A44"/>
    </sheetView>
  </sheetViews>
  <sheetFormatPr defaultRowHeight="13.5"/>
  <sheetData/>
  <phoneticPr fontId="143"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8" sqref="M18"/>
    </sheetView>
  </sheetViews>
  <sheetFormatPr defaultColWidth="11" defaultRowHeight="13.5"/>
  <sheetData/>
  <phoneticPr fontId="143" type="noConversion"/>
  <pageMargins left="0.75" right="0.75" top="1" bottom="1" header="0.5" footer="0.5"/>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中信信托有限责任公司：</v>
      </c>
    </row>
    <row r="4" spans="1:1" ht="36">
      <c r="A4" s="1950" t="str">
        <f>"受贵公司委托，我公司对"&amp;项目基本情况!S1&amp;"进行了预评估。"</f>
        <v>受贵公司委托，我公司对广东省深圳市龙华新区民治街道腾龙路与建设路交汇处“金茂府”居住项目房地产抵押价值进行了预评估。</v>
      </c>
    </row>
    <row r="5" spans="1:1" ht="18.75">
      <c r="A5" s="1951" t="s">
        <v>1608</v>
      </c>
    </row>
    <row r="6" spans="1:1" ht="18.75">
      <c r="A6" s="1952" t="s">
        <v>1609</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深圳市龙华新区民治街道腾龙路与建设路交汇处“金茂府”居住项目房地产，为深圳悦茂置业有限公司所有。根据《不动产权证书》[粤（2017）深圳市不动产权第0082279号]，估价对象（分摊）出让国有建设用地使用权面积为24673.39平方米，建筑面积为137390平方米。</v>
      </c>
    </row>
    <row r="8" spans="1:1" ht="57.75">
      <c r="A8" s="1953" t="s">
        <v>1610</v>
      </c>
    </row>
    <row r="9" spans="1:1" ht="18.75">
      <c r="A9" s="1952" t="s">
        <v>1611</v>
      </c>
    </row>
    <row r="10" spans="1:1" ht="90">
      <c r="A10" s="1950"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深圳市龙华新区民治街道腾龙路与建设路交汇处“金茂府”居住项目房地产,属深圳悦茂置业有限公司开发建设的居住项目，该项目尚在开发建设中。根据《不动产权证书》[粤（2017）深圳市不动产权第0082279号]，估价对象（分摊）出让国有建设用地使用权面积为24673.39平方米，规划建筑面积为137390平方米。</v>
      </c>
    </row>
    <row r="11" spans="1:1" ht="76.5">
      <c r="A11" s="1953" t="s">
        <v>1612</v>
      </c>
    </row>
    <row r="12" spans="1:1" ht="18.75">
      <c r="A12" s="1951" t="s">
        <v>1613</v>
      </c>
    </row>
    <row r="13" spans="1:1" ht="38.25" customHeight="1">
      <c r="A13" s="1954" t="str">
        <f>IF(项目基本情况!B8="抵押",IF(项目基本情况!B5=项目基本情况!B6,定义!C51,定义!B51),定义!D51)</f>
        <v>深圳悦茂置业有限公司拟使用广东省深圳市龙华新区民治街道腾龙路与建设路交汇处“金茂府”居住项目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2019年1月17日（评估专业人员实地查勘之日）</v>
      </c>
    </row>
    <row r="16" spans="1:1" ht="18.75">
      <c r="A16" s="1955" t="s">
        <v>1615</v>
      </c>
    </row>
    <row r="17" spans="1:1" ht="75">
      <c r="A17" s="1950" t="s">
        <v>1616</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17日，估价对象规划用途为住宅、商业，土地取得方式为出让，出让国有建设用地使用权剩余土地使用年限为住宅67年、商业37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实际开发程度为宗地红线外“六通”（即通路、通电、通讯、通上水、通下水、燃气）、红线内场地平整条件下，剩余土地使用年限为住宅67年、商业37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"本次评估采用的主估价方法为"&amp;'结果表（住宅）'!K4&amp;"和"&amp;'结果表（住宅）'!L4&amp;"。"</f>
        <v>本次评估采用的主估价方法为比较法和收益法。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Q9" workbookViewId="0">
      <selection activeCell="C45" sqref="C45:U46"/>
    </sheetView>
  </sheetViews>
  <sheetFormatPr defaultRowHeight="13.5"/>
  <sheetData/>
  <phoneticPr fontId="143"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0000"/>
  </sheetPr>
  <dimension ref="A1:AI512"/>
  <sheetViews>
    <sheetView view="pageBreakPreview" zoomScaleSheetLayoutView="100" workbookViewId="0">
      <selection activeCell="F26" sqref="A26:F30"/>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2111</v>
      </c>
      <c r="B1" s="2417"/>
      <c r="C1" s="2418" t="s">
        <v>1373</v>
      </c>
      <c r="D1" s="2417"/>
      <c r="E1" s="2417"/>
      <c r="F1" s="2419" t="s">
        <v>2112</v>
      </c>
      <c r="G1" s="2070" t="s">
        <v>3082</v>
      </c>
      <c r="H1" s="2420" t="str">
        <f>IF(G1="现房","——","估价对象范围")</f>
        <v>——</v>
      </c>
      <c r="I1" s="2421" t="s">
        <v>3083</v>
      </c>
    </row>
    <row r="2" spans="1:12" ht="21.75" customHeight="1" thickBot="1">
      <c r="A2" s="3281" t="str">
        <f>项目基本情况!S2</f>
        <v>广东省深圳市龙华新区民治街道腾龙路与建设路交汇处“金茂府”居住项目房地产</v>
      </c>
      <c r="B2" s="3282"/>
      <c r="C2" s="3282"/>
      <c r="D2" s="3282"/>
      <c r="E2" s="3282"/>
      <c r="F2" s="3282"/>
      <c r="G2" s="3282"/>
      <c r="H2" s="3282"/>
      <c r="I2" s="3283"/>
    </row>
    <row r="3" spans="1:12" ht="12.75">
      <c r="A3" s="3284" t="s">
        <v>2113</v>
      </c>
      <c r="B3" s="3285"/>
      <c r="C3" s="3285"/>
      <c r="D3" s="3285"/>
      <c r="E3" s="3285"/>
      <c r="F3" s="3285"/>
      <c r="G3" s="3285"/>
      <c r="H3" s="3285"/>
      <c r="I3" s="3285"/>
    </row>
    <row r="4" spans="1:12" ht="14.25">
      <c r="A4" s="2424" t="s">
        <v>2114</v>
      </c>
      <c r="B4" s="2425" t="s">
        <v>2115</v>
      </c>
      <c r="C4" s="2426" t="s">
        <v>3099</v>
      </c>
      <c r="D4" s="2426" t="s">
        <v>3219</v>
      </c>
      <c r="E4" s="3265" t="s">
        <v>2116</v>
      </c>
      <c r="F4" s="3278"/>
      <c r="G4" s="3278"/>
      <c r="H4" s="3278"/>
      <c r="I4" s="3266"/>
      <c r="K4" s="2427" t="str">
        <f>IF(ISNUMBER(FIND("比较法",'结果表 (商业)'!C4)),"比较法",IF(ISNUMBER(FIND("成本法",'结果表 (商业)'!C4)),"成本法",IF(ISNUMBER(FIND("假设开发法",'结果表 (商业)'!C4)),"假设开发法",IF(ISNUMBER(FIND("收益法",'结果表 (商业)'!C4)),"收益法","基准地价系数修正法"))))</f>
        <v>比较法</v>
      </c>
      <c r="L4" s="2427" t="str">
        <f>IF(ISNUMBER(FIND("比较法",'结果表 (商业)'!D4)),"比较法",IF(ISNUMBER(FIND("成本法",'结果表 (商业)'!D4)),"成本法",IF(ISNUMBER(FIND("假设开发法",'结果表 (商业)'!D4)),"假设开发法",IF(ISNUMBER(FIND("收益法",'结果表 (商业)'!D4)),"收益法","基准地价系数修正法"))))</f>
        <v>收益法</v>
      </c>
    </row>
    <row r="5" spans="1:12" ht="12.75">
      <c r="A5" s="3256" t="s">
        <v>2117</v>
      </c>
      <c r="B5" s="3160">
        <v>25</v>
      </c>
      <c r="C5" s="3286"/>
      <c r="D5" s="3274"/>
      <c r="E5" s="140" t="s">
        <v>2118</v>
      </c>
      <c r="F5" s="2428"/>
      <c r="G5" s="2428"/>
      <c r="H5" s="2428"/>
      <c r="I5" s="1833"/>
    </row>
    <row r="6" spans="1:12" ht="12.75">
      <c r="A6" s="3256"/>
      <c r="B6" s="3160"/>
      <c r="C6" s="3288"/>
      <c r="D6" s="3274"/>
      <c r="E6" s="140" t="s">
        <v>2119</v>
      </c>
      <c r="F6" s="2428"/>
      <c r="G6" s="2428"/>
      <c r="H6" s="2428"/>
      <c r="I6" s="1833"/>
    </row>
    <row r="7" spans="1:12" ht="12.75">
      <c r="A7" s="3256"/>
      <c r="B7" s="3160"/>
      <c r="C7" s="3287"/>
      <c r="D7" s="3274"/>
      <c r="E7" s="140" t="s">
        <v>2120</v>
      </c>
      <c r="F7" s="2428"/>
      <c r="G7" s="2428"/>
      <c r="H7" s="2428"/>
      <c r="I7" s="1833"/>
    </row>
    <row r="8" spans="1:12" ht="12.75">
      <c r="A8" s="3256" t="s">
        <v>2121</v>
      </c>
      <c r="B8" s="3160">
        <v>15</v>
      </c>
      <c r="C8" s="3286"/>
      <c r="D8" s="3274"/>
      <c r="E8" s="140" t="s">
        <v>2122</v>
      </c>
      <c r="F8" s="2428"/>
      <c r="G8" s="2428"/>
      <c r="H8" s="2428"/>
      <c r="I8" s="1833"/>
    </row>
    <row r="9" spans="1:12" ht="12.75">
      <c r="A9" s="3256"/>
      <c r="B9" s="3160"/>
      <c r="C9" s="3287"/>
      <c r="D9" s="3274"/>
      <c r="E9" s="140" t="s">
        <v>2123</v>
      </c>
      <c r="F9" s="2428"/>
      <c r="G9" s="2428"/>
      <c r="H9" s="2428"/>
      <c r="I9" s="1833"/>
    </row>
    <row r="10" spans="1:12" ht="12.75">
      <c r="A10" s="3256" t="s">
        <v>2124</v>
      </c>
      <c r="B10" s="3160">
        <v>15</v>
      </c>
      <c r="C10" s="3286"/>
      <c r="D10" s="3274"/>
      <c r="E10" s="140" t="s">
        <v>2125</v>
      </c>
      <c r="F10" s="2428"/>
      <c r="G10" s="2428"/>
      <c r="H10" s="2428"/>
      <c r="I10" s="1833"/>
    </row>
    <row r="11" spans="1:12" ht="12.75">
      <c r="A11" s="3256"/>
      <c r="B11" s="3160"/>
      <c r="C11" s="3287"/>
      <c r="D11" s="3274"/>
      <c r="E11" s="140" t="s">
        <v>2126</v>
      </c>
      <c r="F11" s="2428"/>
      <c r="G11" s="2428"/>
      <c r="H11" s="2428"/>
      <c r="I11" s="1833"/>
    </row>
    <row r="12" spans="1:12" ht="12.75">
      <c r="A12" s="3256" t="s">
        <v>2127</v>
      </c>
      <c r="B12" s="3160">
        <v>15</v>
      </c>
      <c r="C12" s="3286"/>
      <c r="D12" s="3274"/>
      <c r="E12" s="140" t="s">
        <v>2128</v>
      </c>
      <c r="F12" s="2428"/>
      <c r="G12" s="2428"/>
      <c r="H12" s="2428"/>
      <c r="I12" s="1833"/>
    </row>
    <row r="13" spans="1:12" ht="12.75">
      <c r="A13" s="3256"/>
      <c r="B13" s="3160"/>
      <c r="C13" s="3287"/>
      <c r="D13" s="3274"/>
      <c r="E13" s="140" t="s">
        <v>2129</v>
      </c>
      <c r="F13" s="2428"/>
      <c r="G13" s="2428"/>
      <c r="H13" s="2428"/>
      <c r="I13" s="1833"/>
    </row>
    <row r="14" spans="1:12" ht="12.75">
      <c r="A14" s="3256" t="s">
        <v>2130</v>
      </c>
      <c r="B14" s="3160">
        <v>30</v>
      </c>
      <c r="C14" s="3286">
        <f>'结果表（住宅）'!C14:C16</f>
        <v>7</v>
      </c>
      <c r="D14" s="3274">
        <f>'结果表（住宅）'!D14:D16</f>
        <v>3</v>
      </c>
      <c r="E14" s="140" t="s">
        <v>2131</v>
      </c>
      <c r="F14" s="2428"/>
      <c r="G14" s="2428"/>
      <c r="H14" s="2428"/>
      <c r="I14" s="1833"/>
    </row>
    <row r="15" spans="1:12" ht="12.75">
      <c r="A15" s="3256"/>
      <c r="B15" s="3160"/>
      <c r="C15" s="3288"/>
      <c r="D15" s="3274"/>
      <c r="E15" s="140" t="s">
        <v>2132</v>
      </c>
      <c r="F15" s="2428"/>
      <c r="G15" s="2428"/>
      <c r="H15" s="2428"/>
      <c r="I15" s="1833"/>
    </row>
    <row r="16" spans="1:12" ht="12.75">
      <c r="A16" s="3256"/>
      <c r="B16" s="3160"/>
      <c r="C16" s="3287"/>
      <c r="D16" s="3274"/>
      <c r="E16" s="140" t="s">
        <v>2133</v>
      </c>
      <c r="F16" s="2428"/>
      <c r="G16" s="2428"/>
      <c r="H16" s="2428"/>
      <c r="I16" s="1833"/>
    </row>
    <row r="17" spans="1:35" ht="15">
      <c r="A17" s="2429" t="s">
        <v>2134</v>
      </c>
      <c r="B17" s="64"/>
      <c r="C17" s="141">
        <f>SUM(C5:C16)</f>
        <v>7</v>
      </c>
      <c r="D17" s="141">
        <f>SUM(D5:D16)</f>
        <v>3</v>
      </c>
      <c r="E17" s="138"/>
      <c r="F17" s="138"/>
      <c r="G17" s="138"/>
      <c r="H17" s="138"/>
      <c r="I17" s="138"/>
      <c r="K17" s="2427"/>
      <c r="L17" s="2430" t="s">
        <v>2135</v>
      </c>
      <c r="M17" s="2430" t="s">
        <v>2136</v>
      </c>
    </row>
    <row r="18" spans="1:35" ht="15.75" thickBot="1">
      <c r="A18" s="2431" t="s">
        <v>2137</v>
      </c>
      <c r="B18" s="2432"/>
      <c r="C18" s="142">
        <f>ROUND(C17/SUM(C17:D17),2)</f>
        <v>0.7</v>
      </c>
      <c r="D18" s="142">
        <f>1-C18</f>
        <v>0.30000000000000004</v>
      </c>
      <c r="E18" s="138"/>
      <c r="F18" s="138"/>
      <c r="G18" s="138"/>
      <c r="H18" s="138"/>
      <c r="I18" s="138"/>
      <c r="K18" s="2427" t="s">
        <v>2138</v>
      </c>
      <c r="L18" s="2427">
        <f>IF(C1="",'数据-汇总表'!E3,SUMIF(项目类型,C1,'数据-汇总表'!E17:E26)+SUMIF(项目类型,C1,'数据-汇总表'!I17:I26))</f>
        <v>4829.75</v>
      </c>
      <c r="M18" s="2427">
        <f>IF(C1="",'数据-汇总表'!E3,SUMIF(项目类型,C1,'数据-汇总表'!E17:E26))</f>
        <v>4829.75</v>
      </c>
    </row>
    <row r="19" spans="1:35" ht="15">
      <c r="A19" s="2433" t="s">
        <v>2139</v>
      </c>
      <c r="B19" s="2434" t="s">
        <v>2140</v>
      </c>
      <c r="C19" s="143">
        <f ca="1">SUMIF(INDIRECT("'"&amp;C4&amp;"'"&amp;"!A:A"),'结果表 (商业)'!B19,INDIRECT("'"&amp;C4&amp;"'"&amp;"!B:B"))</f>
        <v>54995</v>
      </c>
      <c r="D19" s="144">
        <f ca="1">SUMIF(INDIRECT("'"&amp;D4&amp;"'"&amp;"!A:A"),'结果表 (商业)'!B19,INDIRECT("'"&amp;D4&amp;"'"&amp;"!B:B"))</f>
        <v>22414</v>
      </c>
      <c r="E19" s="2433" t="s">
        <v>2141</v>
      </c>
      <c r="F19" s="2434" t="s">
        <v>2140</v>
      </c>
      <c r="G19" s="145">
        <f ca="1">ROUND(C19*$C$18+D19*$D$18,0)</f>
        <v>45221</v>
      </c>
      <c r="H19" s="2435" t="s">
        <v>2142</v>
      </c>
      <c r="I19" s="138"/>
      <c r="K19" s="2427" t="s">
        <v>2143</v>
      </c>
      <c r="L19" s="2427">
        <f>IF(C1="",'数据-汇总表'!D3,SUMIF(项目类型,C1,'数据-汇总表'!D17:D26)+SUMIF(项目类型,C1,'数据-汇总表'!H17:H27))</f>
        <v>867.36</v>
      </c>
      <c r="M19" s="2427">
        <f>IF(C1="",'数据-汇总表'!D3,SUMIF(项目类型,C1,'数据-汇总表'!D17:D26))</f>
        <v>867.36</v>
      </c>
    </row>
    <row r="20" spans="1:35" ht="15">
      <c r="A20" s="2436"/>
      <c r="B20" s="1249" t="s">
        <v>2144</v>
      </c>
      <c r="C20" s="146">
        <f ca="1">SUMIF(INDIRECT("'"&amp;C4&amp;"'"&amp;"!A:A"),'结果表 (商业)'!B20,INDIRECT("'"&amp;C4&amp;"'"&amp;"!B:B"))</f>
        <v>113867</v>
      </c>
      <c r="D20" s="147">
        <f ca="1">SUMIF(INDIRECT("'"&amp;D4&amp;"'"&amp;"!A:A"),'结果表 (商业)'!B20,INDIRECT("'"&amp;D4&amp;"'"&amp;"!B:B"))</f>
        <v>46408</v>
      </c>
      <c r="E20" s="2436"/>
      <c r="F20" s="1249" t="s">
        <v>2144</v>
      </c>
      <c r="G20" s="148">
        <f ca="1">ROUND(C20*$C$18+D20*$D$18,0)</f>
        <v>93629</v>
      </c>
      <c r="H20" s="982" t="s">
        <v>2145</v>
      </c>
      <c r="I20" s="138"/>
    </row>
    <row r="21" spans="1:35" ht="15" customHeight="1" thickBot="1">
      <c r="A21" s="1002"/>
      <c r="B21" s="2437" t="s">
        <v>2146</v>
      </c>
      <c r="C21" s="789">
        <f ca="1">ROUND(C19*10000/L19,0)</f>
        <v>634050</v>
      </c>
      <c r="D21" s="790">
        <f ca="1">ROUND(D19*10000/L19,0)</f>
        <v>258416</v>
      </c>
      <c r="E21" s="1002"/>
      <c r="F21" s="2437" t="s">
        <v>2146</v>
      </c>
      <c r="G21" s="149">
        <f ca="1">ROUND(G19*10000/L19,0)</f>
        <v>521364</v>
      </c>
      <c r="H21" s="2438" t="s">
        <v>2145</v>
      </c>
      <c r="I21" s="138"/>
    </row>
    <row r="22" spans="1:35" ht="15" thickBot="1">
      <c r="A22" s="2279" t="s">
        <v>2147</v>
      </c>
      <c r="B22" s="2439"/>
      <c r="C22" s="2440"/>
      <c r="D22" s="791">
        <f ca="1">IF(C19&lt;D19,D19/C19-1,C19/D19-1)</f>
        <v>1.4536004283037389</v>
      </c>
      <c r="E22" s="138"/>
      <c r="F22" s="138"/>
      <c r="G22" s="138"/>
      <c r="H22" s="138"/>
      <c r="I22" s="138"/>
    </row>
    <row r="23" spans="1:35" ht="13.5" thickBot="1">
      <c r="A23" s="2417"/>
      <c r="B23" s="2417"/>
      <c r="C23" s="2417"/>
      <c r="D23" s="2417"/>
      <c r="E23" s="138"/>
      <c r="F23" s="138"/>
      <c r="G23" s="138"/>
      <c r="H23" s="138"/>
      <c r="I23" s="138"/>
    </row>
    <row r="24" spans="1:35" ht="14.25">
      <c r="A24" s="3295" t="s">
        <v>2148</v>
      </c>
      <c r="B24" s="2434" t="s">
        <v>2140</v>
      </c>
      <c r="C24" s="145">
        <f>IF(B30=0,0,D30)</f>
        <v>0</v>
      </c>
      <c r="D24" s="2441"/>
      <c r="E24" s="138"/>
      <c r="F24" s="138"/>
      <c r="G24" s="138"/>
      <c r="H24" s="138"/>
      <c r="I24" s="138"/>
    </row>
    <row r="25" spans="1:35" ht="14.25">
      <c r="A25" s="3296"/>
      <c r="B25" s="1249" t="s">
        <v>2144</v>
      </c>
      <c r="C25" s="150">
        <f>IF(B30=0,0,C30)</f>
        <v>0</v>
      </c>
      <c r="D25" s="2442"/>
      <c r="E25" s="138"/>
      <c r="F25" s="138"/>
      <c r="G25" s="138"/>
      <c r="H25" s="138"/>
      <c r="I25" s="138"/>
    </row>
    <row r="26" spans="1:35" ht="13.5" customHeight="1">
      <c r="A26" s="2443" t="s">
        <v>2149</v>
      </c>
      <c r="B26" s="151" t="s">
        <v>2150</v>
      </c>
      <c r="C26" s="151" t="s">
        <v>2151</v>
      </c>
      <c r="D26" s="152" t="s">
        <v>2152</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2153</v>
      </c>
      <c r="B30" s="151"/>
      <c r="C30" s="151"/>
      <c r="D30" s="151"/>
      <c r="E30" s="2923" t="s">
        <v>3032</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2154</v>
      </c>
      <c r="B32" s="2447"/>
      <c r="C32" s="153">
        <f ca="1">IF(D32="总价",G19-C24,G20-C25)</f>
        <v>45221</v>
      </c>
      <c r="D32" s="2448" t="s">
        <v>2155</v>
      </c>
      <c r="E32" s="138"/>
      <c r="F32" s="138"/>
      <c r="G32" s="138"/>
      <c r="H32" s="138"/>
      <c r="I32" s="138"/>
    </row>
    <row r="33" spans="1:15" ht="15">
      <c r="A33" s="959" t="s">
        <v>2156</v>
      </c>
      <c r="B33" s="2449"/>
      <c r="C33" s="2450" t="s">
        <v>3084</v>
      </c>
      <c r="D33" s="2451" t="s">
        <v>3219</v>
      </c>
      <c r="E33" s="2452" t="s">
        <v>2157</v>
      </c>
      <c r="F33" s="2941" t="str">
        <f>IF(D32="楼面单价","取值（单价）","取值（总价）")</f>
        <v>取值（总价）</v>
      </c>
      <c r="G33" s="138"/>
      <c r="H33" s="138"/>
      <c r="I33" s="138"/>
    </row>
    <row r="34" spans="1:15" ht="15">
      <c r="A34" s="2454"/>
      <c r="B34" s="2455" t="s">
        <v>2158</v>
      </c>
      <c r="C34" s="157">
        <f ca="1">IF(C33="自定义",F34,C32-C35)</f>
        <v>31609</v>
      </c>
      <c r="D34" s="1057">
        <f ca="1">IF(C33="自定义",ROUND(C34/C32,3),IF(C33="收益比率",SUMIF(INDIRECT("'"&amp;D33&amp;"'"&amp;"!b:b"),"土地收益比率",INDIRECT("'"&amp;D33&amp;"'"&amp;"!c:c")),SUMIF(INDIRECT("'"&amp;D33&amp;"'"&amp;"!b:b"),"土地成本比率",INDIRECT("'"&amp;D33&amp;"'"&amp;"!c:c"))))</f>
        <v>0.69900000000000007</v>
      </c>
      <c r="E34" s="2456" t="s">
        <v>2159</v>
      </c>
      <c r="F34" s="1738"/>
      <c r="G34" s="138"/>
      <c r="H34" s="138"/>
      <c r="I34" s="138"/>
    </row>
    <row r="35" spans="1:15" ht="15.75" thickBot="1">
      <c r="A35" s="2457"/>
      <c r="B35" s="2458" t="s">
        <v>2160</v>
      </c>
      <c r="C35" s="1443">
        <f ca="1">IF(C33="自定义",F35,ROUND(C32*D35,0))</f>
        <v>13612</v>
      </c>
      <c r="D35" s="1444">
        <f ca="1">IF(C33="自定义",ROUND(C35/C32,3),IF(C33="收益比率",SUMIF(INDIRECT("'"&amp;D33&amp;"'"&amp;"!b:b"),"建筑物收益比率",INDIRECT("'"&amp;D33&amp;"'"&amp;"!c:c")),SUMIF(INDIRECT("'"&amp;D33&amp;"'"&amp;"!b:b"),"建筑物成本比率",INDIRECT("'"&amp;D33&amp;"'"&amp;"!c:c"))))</f>
        <v>0.30099999999999999</v>
      </c>
      <c r="E35" s="2459" t="s">
        <v>2161</v>
      </c>
      <c r="F35" s="163"/>
      <c r="G35" s="138"/>
      <c r="H35" s="138"/>
      <c r="I35" s="138"/>
    </row>
    <row r="36" spans="1:15" ht="15.75" thickBot="1">
      <c r="A36" s="3275" t="s">
        <v>2162</v>
      </c>
      <c r="B36" s="2460" t="s">
        <v>2163</v>
      </c>
      <c r="C36" s="154"/>
      <c r="D36" s="2461"/>
      <c r="E36" s="2462"/>
      <c r="F36" s="2463"/>
      <c r="G36" s="138"/>
      <c r="H36" s="138"/>
      <c r="I36" s="138"/>
    </row>
    <row r="37" spans="1:15" ht="15.75" thickBot="1">
      <c r="A37" s="3276"/>
      <c r="B37" s="2265" t="s">
        <v>2164</v>
      </c>
      <c r="C37" s="156"/>
      <c r="D37" s="1394"/>
      <c r="E37" s="1394"/>
      <c r="F37" s="2463"/>
      <c r="G37" s="138"/>
      <c r="H37" s="138"/>
      <c r="I37" s="138"/>
    </row>
    <row r="38" spans="1:15" ht="15.75" thickBot="1">
      <c r="A38" s="3277"/>
      <c r="B38" s="2464" t="s">
        <v>2165</v>
      </c>
      <c r="C38" s="727"/>
      <c r="D38" s="2465" t="s">
        <v>2166</v>
      </c>
      <c r="E38" s="1394"/>
      <c r="F38" s="2463"/>
      <c r="G38" s="138"/>
      <c r="H38" s="138"/>
      <c r="I38" s="138"/>
    </row>
    <row r="39" spans="1:15" ht="15">
      <c r="A39" s="2436" t="s">
        <v>2167</v>
      </c>
      <c r="B39" s="2466" t="s">
        <v>2168</v>
      </c>
      <c r="C39" s="2467" t="s">
        <v>2151</v>
      </c>
      <c r="D39" s="2467" t="s">
        <v>2170</v>
      </c>
      <c r="E39" s="2468" t="s">
        <v>2152</v>
      </c>
      <c r="F39" s="2463"/>
      <c r="G39" s="138"/>
      <c r="H39" s="138"/>
      <c r="I39" s="138"/>
    </row>
    <row r="40" spans="1:15" ht="14.25">
      <c r="A40" s="2469" t="s">
        <v>2172</v>
      </c>
      <c r="B40" s="158"/>
      <c r="C40" s="159"/>
      <c r="D40" s="159"/>
      <c r="E40" s="160"/>
      <c r="F40" s="2463"/>
      <c r="G40" s="138"/>
      <c r="H40" s="138"/>
      <c r="I40" s="138"/>
    </row>
    <row r="41" spans="1:15" ht="14.25">
      <c r="A41" s="2469" t="s">
        <v>2173</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2174</v>
      </c>
      <c r="B44" s="2474"/>
      <c r="C44" s="2474"/>
      <c r="D44" s="2475"/>
      <c r="E44" s="2475"/>
      <c r="F44" s="2476"/>
      <c r="G44" s="2476"/>
      <c r="H44" s="2476"/>
      <c r="I44" s="2476"/>
      <c r="J44" s="2477" t="s">
        <v>2175</v>
      </c>
      <c r="K44" s="2478"/>
      <c r="L44" s="2478"/>
      <c r="M44" s="2478"/>
      <c r="N44" s="2478"/>
      <c r="O44" s="2478"/>
    </row>
    <row r="45" spans="1:15" ht="14.25" customHeight="1" thickBot="1">
      <c r="A45" s="3292" t="s">
        <v>2176</v>
      </c>
      <c r="B45" s="3293"/>
      <c r="C45" s="3294"/>
      <c r="D45" s="164">
        <f ca="1">ROUND(H101*F45,0)</f>
        <v>45221</v>
      </c>
      <c r="E45" s="165" t="s">
        <v>2177</v>
      </c>
      <c r="F45" s="166">
        <v>1</v>
      </c>
      <c r="G45" s="167" t="s">
        <v>2178</v>
      </c>
      <c r="H45" s="138"/>
      <c r="I45" s="138"/>
      <c r="J45" s="3211" t="s">
        <v>2179</v>
      </c>
      <c r="K45" s="3211"/>
      <c r="L45" s="3211"/>
      <c r="M45" s="3211"/>
      <c r="N45" s="3211"/>
      <c r="O45" s="3211"/>
    </row>
    <row r="46" spans="1:15" ht="14.25" customHeight="1">
      <c r="A46" s="3289" t="s">
        <v>2180</v>
      </c>
      <c r="B46" s="3290"/>
      <c r="C46" s="3290"/>
      <c r="D46" s="3290"/>
      <c r="E46" s="3290"/>
      <c r="F46" s="3290"/>
      <c r="G46" s="3291"/>
      <c r="H46" s="2479"/>
      <c r="I46" s="168"/>
      <c r="J46" s="2955">
        <v>1</v>
      </c>
      <c r="K46" s="3211" t="s">
        <v>2181</v>
      </c>
      <c r="L46" s="3211"/>
      <c r="M46" s="3212"/>
      <c r="N46" s="3212"/>
      <c r="O46" s="3212"/>
    </row>
    <row r="47" spans="1:15" ht="12" customHeight="1">
      <c r="A47" s="169" t="s">
        <v>2182</v>
      </c>
      <c r="B47" s="170"/>
      <c r="C47" s="171"/>
      <c r="D47" s="172" t="s">
        <v>2183</v>
      </c>
      <c r="E47" s="24" t="s">
        <v>2184</v>
      </c>
      <c r="F47" s="173" t="s">
        <v>2185</v>
      </c>
      <c r="G47" s="174" t="s">
        <v>2186</v>
      </c>
      <c r="H47" s="2479"/>
      <c r="I47" s="168"/>
      <c r="J47" s="2955">
        <v>2</v>
      </c>
      <c r="K47" s="3211" t="s">
        <v>2187</v>
      </c>
      <c r="L47" s="3211"/>
      <c r="M47" s="3213">
        <f>'数据-取费表'!B2</f>
        <v>43482</v>
      </c>
      <c r="N47" s="3213"/>
      <c r="O47" s="3213"/>
    </row>
    <row r="48" spans="1:15" ht="25.5">
      <c r="A48" s="3279" t="s">
        <v>2188</v>
      </c>
      <c r="B48" s="3280"/>
      <c r="C48" s="3280"/>
      <c r="D48" s="140">
        <f>IF(H48="情况1",0,IF(H48="情况2",D52,IF(H48="情况3",D53,IF(H48="情况4",D54))))</f>
        <v>0</v>
      </c>
      <c r="E48" s="2946" t="str">
        <f>IF(H48="情况4","(销售额-原购置价)×税（费）率","销售额×税（费）率")</f>
        <v>销售额×税（费）率</v>
      </c>
      <c r="F48" s="175" t="str">
        <f>IF(H48="情况1","免征",'数据-取费表'!B41)</f>
        <v>免征</v>
      </c>
      <c r="G48" s="2480" t="s">
        <v>2189</v>
      </c>
      <c r="H48" s="2481" t="s">
        <v>2190</v>
      </c>
      <c r="I48" s="2479"/>
      <c r="J48" s="2955">
        <v>3</v>
      </c>
      <c r="K48" s="3211" t="s">
        <v>2191</v>
      </c>
      <c r="L48" s="3211"/>
      <c r="M48" s="3214">
        <f ca="1">H101</f>
        <v>45221</v>
      </c>
      <c r="N48" s="3214"/>
      <c r="O48" s="3214"/>
    </row>
    <row r="49" spans="1:35" ht="25.5" customHeight="1">
      <c r="A49" s="176" t="s">
        <v>2192</v>
      </c>
      <c r="B49" s="3259" t="s">
        <v>2193</v>
      </c>
      <c r="C49" s="3259"/>
      <c r="D49" s="177">
        <v>0</v>
      </c>
      <c r="E49" s="23" t="s">
        <v>2194</v>
      </c>
      <c r="F49" s="28" t="s">
        <v>34</v>
      </c>
      <c r="G49" s="3240"/>
      <c r="H49" s="138"/>
      <c r="I49" s="2482"/>
      <c r="J49" s="2955">
        <v>4</v>
      </c>
      <c r="K49" s="3211" t="str">
        <f>IF(项目基本情况!E8="房地产抵押价值","房地产抵押价值","抵押担保权已注销时的房地产抵押价值")</f>
        <v>房地产抵押价值</v>
      </c>
      <c r="L49" s="3211"/>
      <c r="M49" s="3214">
        <f ca="1">IF(项目基本情况!E8="房地产抵押价值",H107,H109)</f>
        <v>45221</v>
      </c>
      <c r="N49" s="3214"/>
      <c r="O49" s="3214"/>
    </row>
    <row r="50" spans="1:35" ht="25.5" customHeight="1">
      <c r="A50" s="178"/>
      <c r="B50" s="3259" t="s">
        <v>2195</v>
      </c>
      <c r="C50" s="3259"/>
      <c r="D50" s="179"/>
      <c r="E50" s="31"/>
      <c r="F50" s="180"/>
      <c r="G50" s="3241"/>
      <c r="H50" s="138"/>
      <c r="I50" s="2482"/>
      <c r="J50" s="3211" t="s">
        <v>2196</v>
      </c>
      <c r="K50" s="3211"/>
      <c r="L50" s="3211"/>
      <c r="M50" s="3211"/>
      <c r="N50" s="3211"/>
      <c r="O50" s="3211"/>
    </row>
    <row r="51" spans="1:35" ht="12" customHeight="1">
      <c r="A51" s="181"/>
      <c r="B51" s="3259" t="s">
        <v>2197</v>
      </c>
      <c r="C51" s="3259"/>
      <c r="D51" s="182"/>
      <c r="E51" s="30"/>
      <c r="F51" s="180"/>
      <c r="G51" s="3242"/>
      <c r="H51" s="138"/>
      <c r="I51" s="2482"/>
      <c r="J51" s="2954" t="s">
        <v>2198</v>
      </c>
      <c r="K51" s="3211" t="s">
        <v>2199</v>
      </c>
      <c r="L51" s="3211"/>
      <c r="M51" s="2954" t="s">
        <v>2200</v>
      </c>
      <c r="N51" s="2954" t="s">
        <v>2201</v>
      </c>
      <c r="O51" s="2954" t="s">
        <v>2202</v>
      </c>
    </row>
    <row r="52" spans="1:35" ht="24" customHeight="1">
      <c r="A52" s="183" t="s">
        <v>2203</v>
      </c>
      <c r="B52" s="3259" t="s">
        <v>2204</v>
      </c>
      <c r="C52" s="3259"/>
      <c r="D52" s="182">
        <f ca="1">ROUND(D45*'数据-取费表'!B41/(1+'数据-取费表'!C42),0)</f>
        <v>2412</v>
      </c>
      <c r="E52" s="11" t="s">
        <v>2205</v>
      </c>
      <c r="F52" s="184">
        <f>'数据-取费表'!B41</f>
        <v>5.6000000000000001E-2</v>
      </c>
      <c r="G52" s="2484"/>
      <c r="H52" s="138"/>
      <c r="I52" s="2482"/>
      <c r="J52" s="2955">
        <v>1</v>
      </c>
      <c r="K52" s="3234" t="s">
        <v>2206</v>
      </c>
      <c r="L52" s="3234"/>
      <c r="M52" s="1753">
        <f>D48</f>
        <v>0</v>
      </c>
      <c r="N52" s="2955" t="str">
        <f>E48</f>
        <v>销售额×税（费）率</v>
      </c>
      <c r="O52" s="1754" t="str">
        <f>F48</f>
        <v>免征</v>
      </c>
    </row>
    <row r="53" spans="1:35" ht="12" customHeight="1">
      <c r="A53" s="183" t="s">
        <v>2207</v>
      </c>
      <c r="B53" s="3260" t="s">
        <v>2208</v>
      </c>
      <c r="C53" s="3261"/>
      <c r="D53" s="182">
        <f ca="1">ROUND(D45*'数据-取费表'!B41/(1+'数据-取费表'!C42),0)</f>
        <v>2412</v>
      </c>
      <c r="E53" s="11" t="s">
        <v>2205</v>
      </c>
      <c r="F53" s="184">
        <f>'数据-取费表'!B41</f>
        <v>5.6000000000000001E-2</v>
      </c>
      <c r="G53" s="2484"/>
      <c r="H53" s="138"/>
      <c r="I53" s="2482"/>
      <c r="J53" s="2955">
        <v>2</v>
      </c>
      <c r="K53" s="3234" t="s">
        <v>2209</v>
      </c>
      <c r="L53" s="3234"/>
      <c r="M53" s="1753">
        <f t="shared" ref="M53:O54" ca="1" si="0">D55</f>
        <v>23</v>
      </c>
      <c r="N53" s="2955" t="str">
        <f t="shared" si="0"/>
        <v>销售额×税（费）率</v>
      </c>
      <c r="O53" s="1754">
        <f t="shared" si="0"/>
        <v>5.0000000000000001E-4</v>
      </c>
    </row>
    <row r="54" spans="1:35" ht="12" customHeight="1">
      <c r="A54" s="183" t="s">
        <v>2210</v>
      </c>
      <c r="B54" s="3260" t="s">
        <v>2211</v>
      </c>
      <c r="C54" s="3261"/>
      <c r="D54" s="182">
        <f ca="1">C68</f>
        <v>2412</v>
      </c>
      <c r="E54" s="30" t="s">
        <v>2212</v>
      </c>
      <c r="F54" s="184">
        <f>'数据-取费表'!B41</f>
        <v>5.6000000000000001E-2</v>
      </c>
      <c r="G54" s="2484"/>
      <c r="H54" s="2485"/>
      <c r="I54" s="2482"/>
      <c r="J54" s="2955">
        <v>3</v>
      </c>
      <c r="K54" s="3234" t="s">
        <v>2213</v>
      </c>
      <c r="L54" s="3234"/>
      <c r="M54" s="1753">
        <f t="shared" ca="1" si="0"/>
        <v>25596</v>
      </c>
      <c r="N54" s="2955" t="str">
        <f t="shared" si="0"/>
        <v>增值额×税（费）率</v>
      </c>
      <c r="O54" s="1755" t="str">
        <f t="shared" si="0"/>
        <v>——</v>
      </c>
    </row>
    <row r="55" spans="1:35" ht="24" customHeight="1">
      <c r="A55" s="3298" t="s">
        <v>2214</v>
      </c>
      <c r="B55" s="3280"/>
      <c r="C55" s="3280"/>
      <c r="D55" s="185">
        <f ca="1">IF(H55="个人住宅",0,ROUND(D45*I55,0))</f>
        <v>23</v>
      </c>
      <c r="E55" s="11" t="s">
        <v>2215</v>
      </c>
      <c r="F55" s="184">
        <f>IF(H55="正常",I55,"免征")</f>
        <v>5.0000000000000001E-4</v>
      </c>
      <c r="G55" s="2484"/>
      <c r="H55" s="2481" t="s">
        <v>2216</v>
      </c>
      <c r="I55" s="186">
        <f>'数据-取费表'!B49</f>
        <v>5.0000000000000001E-4</v>
      </c>
      <c r="J55" s="2955" t="str">
        <f>IF(H59="非个人房产","",4)</f>
        <v/>
      </c>
      <c r="K55" s="3234" t="str">
        <f>IF(H59="非个人房产","——","个人所得税")</f>
        <v>——</v>
      </c>
      <c r="L55" s="3234"/>
      <c r="M55" s="1756" t="str">
        <f>D59</f>
        <v>——</v>
      </c>
      <c r="N55" s="2956" t="str">
        <f>E59</f>
        <v>——</v>
      </c>
      <c r="O55" s="1757" t="str">
        <f>F59</f>
        <v>——</v>
      </c>
    </row>
    <row r="56" spans="1:35" ht="24.75">
      <c r="A56" s="3298" t="s">
        <v>2217</v>
      </c>
      <c r="B56" s="3280"/>
      <c r="C56" s="3280"/>
      <c r="D56" s="185">
        <f ca="1">IF(H56="个人住宅",D57,D58)</f>
        <v>25596</v>
      </c>
      <c r="E56" s="11" t="s">
        <v>2218</v>
      </c>
      <c r="F56" s="184" t="str">
        <f>IF(H56="正常",F58,"免征")</f>
        <v>——</v>
      </c>
      <c r="G56" s="2486" t="s">
        <v>2219</v>
      </c>
      <c r="H56" s="2487" t="s">
        <v>2216</v>
      </c>
      <c r="I56" s="2488"/>
      <c r="J56" s="2955" t="str">
        <f>IF(项目基本情况!K6="上海银行",IF(J55="",4,J55+1),"")</f>
        <v/>
      </c>
      <c r="K56" s="3217" t="str">
        <f>IF(项目基本情况!K6="上海银行","其他处置费用","")</f>
        <v/>
      </c>
      <c r="L56" s="3218"/>
      <c r="M56" s="1753" t="str">
        <f>IF(项目基本情况!K6="上海银行",M69,"")</f>
        <v/>
      </c>
      <c r="N56" s="3220" t="str">
        <f>IF(项目基本情况!K6="上海银行","包含处置中涉及的律师、诉讼、拍卖、评估等费用","")</f>
        <v/>
      </c>
      <c r="O56" s="3221"/>
    </row>
    <row r="57" spans="1:35" ht="12.75">
      <c r="A57" s="183" t="s">
        <v>2192</v>
      </c>
      <c r="B57" s="3265" t="s">
        <v>2220</v>
      </c>
      <c r="C57" s="3266"/>
      <c r="D57" s="187">
        <v>0</v>
      </c>
      <c r="E57" s="23" t="s">
        <v>2194</v>
      </c>
      <c r="F57" s="155"/>
      <c r="G57" s="2484"/>
      <c r="H57" s="2488"/>
      <c r="I57" s="2488"/>
      <c r="J57" s="3234">
        <f>IF(AND(J55="",J56=""),4,IF(项目基本情况!K6="上海银行",'结果表 (商业)'!J56+1,'结果表 (商业)'!J55+1))</f>
        <v>4</v>
      </c>
      <c r="K57" s="3234" t="s">
        <v>2221</v>
      </c>
      <c r="L57" s="2489" t="s">
        <v>2222</v>
      </c>
      <c r="M57" s="1758"/>
      <c r="N57" s="1759">
        <f ca="1">SUMIF(M52:M56,"&lt;9e307")</f>
        <v>25619</v>
      </c>
      <c r="O57" s="2490"/>
      <c r="P57" s="1752">
        <f ca="1">N57/M49</f>
        <v>0.56652882510338121</v>
      </c>
    </row>
    <row r="58" spans="1:35" ht="24.75">
      <c r="A58" s="183" t="s">
        <v>2203</v>
      </c>
      <c r="B58" s="3265" t="s">
        <v>2223</v>
      </c>
      <c r="C58" s="3278"/>
      <c r="D58" s="185">
        <f ca="1">IF(H58="转让取得",C81,C97)</f>
        <v>25596</v>
      </c>
      <c r="E58" s="11" t="s">
        <v>2218</v>
      </c>
      <c r="F58" s="24" t="s">
        <v>34</v>
      </c>
      <c r="G58" s="2484"/>
      <c r="H58" s="2487" t="s">
        <v>2224</v>
      </c>
      <c r="I58" s="2488"/>
      <c r="J58" s="3234"/>
      <c r="K58" s="3234"/>
      <c r="L58" s="2489" t="s">
        <v>2225</v>
      </c>
      <c r="M58" s="1760"/>
      <c r="N58" s="2491" t="str">
        <f ca="1">NUMBERSTRING(INT(N57*10000),2)&amp;"元整"</f>
        <v>贰亿伍仟陆佰壹拾玖万元整</v>
      </c>
      <c r="O58" s="2492"/>
    </row>
    <row r="59" spans="1:35" ht="24.75" thickBot="1">
      <c r="A59" s="3238" t="s">
        <v>2226</v>
      </c>
      <c r="B59" s="3239"/>
      <c r="C59" s="3239"/>
      <c r="D59" s="188" t="str">
        <f>IF(H59="非个人房产","——",IF(H59="个人住宅",0,ROUND(D45*I59,0)))</f>
        <v>——</v>
      </c>
      <c r="E59" s="189" t="str">
        <f>IF(H59="非个人房产","——","销售额×税（费）率")</f>
        <v>——</v>
      </c>
      <c r="F59" s="190" t="str">
        <f>IF(H59="非个人房产","——",IF(H59="个人住宅","免征",I59))</f>
        <v>——</v>
      </c>
      <c r="G59" s="2493" t="s">
        <v>2219</v>
      </c>
      <c r="H59" s="2487" t="s">
        <v>2227</v>
      </c>
      <c r="I59" s="191">
        <v>0.01</v>
      </c>
      <c r="J59" s="3236">
        <f>J57+1</f>
        <v>5</v>
      </c>
      <c r="K59" s="3234" t="s">
        <v>2228</v>
      </c>
      <c r="L59" s="2955" t="s">
        <v>2222</v>
      </c>
      <c r="M59" s="1761"/>
      <c r="N59" s="1762">
        <f ca="1">M49-N57</f>
        <v>19602</v>
      </c>
      <c r="O59" s="2494"/>
    </row>
    <row r="60" spans="1:35" ht="12" customHeight="1">
      <c r="A60" s="2495"/>
      <c r="B60" s="2417"/>
      <c r="C60" s="2417"/>
      <c r="D60" s="2417"/>
      <c r="E60" s="2165"/>
      <c r="F60" s="2488"/>
      <c r="G60" s="2488"/>
      <c r="H60" s="2496"/>
      <c r="I60" s="138"/>
      <c r="J60" s="3237"/>
      <c r="K60" s="3234"/>
      <c r="L60" s="2489" t="s">
        <v>2225</v>
      </c>
      <c r="M60" s="1760"/>
      <c r="N60" s="2491" t="str">
        <f ca="1">NUMBERSTRING(INT(N59*10000),2)&amp;"元整"</f>
        <v>壹亿玖仟陆佰零贰万元整</v>
      </c>
      <c r="O60" s="2492"/>
    </row>
    <row r="61" spans="1:35" ht="13.5" thickBot="1">
      <c r="A61" s="3297" t="s">
        <v>2229</v>
      </c>
      <c r="B61" s="3297"/>
      <c r="C61" s="3297"/>
      <c r="D61" s="3297"/>
      <c r="E61" s="3297"/>
      <c r="F61" s="2488"/>
      <c r="G61" s="2488"/>
      <c r="H61" s="2496"/>
      <c r="I61" s="138"/>
      <c r="J61" s="2955">
        <f>J59+1</f>
        <v>6</v>
      </c>
      <c r="K61" s="3234" t="s">
        <v>2230</v>
      </c>
      <c r="L61" s="3234"/>
      <c r="M61" s="1763"/>
      <c r="N61" s="1764">
        <f ca="1">ROUND(N59*10000/'数据-汇总表'!E3,0)</f>
        <v>1427</v>
      </c>
      <c r="O61" s="2497"/>
    </row>
    <row r="62" spans="1:35" ht="12.75">
      <c r="A62" s="3254" t="s">
        <v>2231</v>
      </c>
      <c r="B62" s="3255"/>
      <c r="C62" s="2949"/>
      <c r="D62" s="2949" t="s">
        <v>2232</v>
      </c>
      <c r="E62" s="192" t="s">
        <v>2233</v>
      </c>
      <c r="F62" s="2488"/>
      <c r="G62" s="2488"/>
      <c r="H62" s="2496"/>
      <c r="I62" s="138"/>
    </row>
    <row r="63" spans="1:35" ht="12.75">
      <c r="A63" s="203" t="s">
        <v>775</v>
      </c>
      <c r="B63" s="193" t="s">
        <v>2234</v>
      </c>
      <c r="C63" s="194">
        <f ca="1">ROUND((C64+C65)/(1+'数据-取费表'!C42),0)</f>
        <v>43068</v>
      </c>
      <c r="D63" s="195"/>
      <c r="E63" s="196"/>
      <c r="F63" s="2488"/>
      <c r="G63" s="2488"/>
      <c r="H63" s="2496"/>
      <c r="I63" s="138"/>
      <c r="J63" s="3219" t="s">
        <v>2235</v>
      </c>
      <c r="K63" s="2959" t="s">
        <v>2236</v>
      </c>
      <c r="L63" s="1751">
        <f ca="1">IF(M49&gt;10000,M49*0.5%,IF(AND(M49&gt;1000,M49&lt;=10000),M49*1%,IF(AND(M49&gt;100,M49&lt;=1000),M49*3%,IF(AND(M49&gt;10,M49&lt;=100),M49*5%,M49*8%))))</f>
        <v>226.10500000000002</v>
      </c>
      <c r="M63" s="24">
        <f ca="1">ROUND(L63,1)</f>
        <v>226.1</v>
      </c>
      <c r="Z63" s="2422"/>
      <c r="AI63" s="2423"/>
    </row>
    <row r="64" spans="1:35" ht="14.25" customHeight="1">
      <c r="A64" s="197" t="s">
        <v>770</v>
      </c>
      <c r="B64" s="198" t="s">
        <v>2237</v>
      </c>
      <c r="C64" s="199">
        <f ca="1">D45</f>
        <v>45221</v>
      </c>
      <c r="D64" s="200" t="s">
        <v>32</v>
      </c>
      <c r="E64" s="201"/>
      <c r="F64" s="2488"/>
      <c r="G64" s="2488"/>
      <c r="H64" s="2496"/>
      <c r="I64" s="138"/>
      <c r="J64" s="3219"/>
      <c r="K64" s="2959" t="s">
        <v>2238</v>
      </c>
      <c r="L64" s="1751">
        <f ca="1">IF(M49&gt;2000,M49*0.5%,IF(AND(M49&gt;1000,M49&lt;=2000),M49*0.6%,IF(AND(M49&gt;500,M49&lt;=1000),M49*0.7%,IF(AND(M49&gt;200,M49&lt;=500),M49*0.8%,IF(AND(M49&gt;100,M49&lt;=200),M49*0.9%,IF(AND(M49&gt;50,M49&lt;=100),M49*1%,IF(AND(M49&gt;20,M49&lt;=50),M49*1.5%,IF(AND(M49&gt;10,M49&lt;=20),M49*2%,IF(AND(M49&gt;1,M49&lt;=10),M49*2.5%)))))))))</f>
        <v>226.10500000000002</v>
      </c>
      <c r="M64" s="24">
        <f t="shared" ref="M64:M65" ca="1" si="1">ROUND(L64,1)</f>
        <v>226.1</v>
      </c>
      <c r="N64" s="138" t="s">
        <v>2239</v>
      </c>
      <c r="Z64" s="2422"/>
      <c r="AI64" s="2423"/>
    </row>
    <row r="65" spans="1:35" ht="14.25" customHeight="1">
      <c r="A65" s="197" t="s">
        <v>771</v>
      </c>
      <c r="B65" s="198" t="s">
        <v>2240</v>
      </c>
      <c r="C65" s="202"/>
      <c r="D65" s="200"/>
      <c r="E65" s="201"/>
      <c r="F65" s="2488"/>
      <c r="G65" s="2488"/>
      <c r="H65" s="2496"/>
      <c r="I65" s="138"/>
      <c r="J65" s="3219"/>
      <c r="K65" s="2959" t="s">
        <v>2241</v>
      </c>
      <c r="L65" s="1751">
        <f ca="1">IF(M49&gt;1000,M49*0.1%,IF(AND(M49&gt;500,M49&lt;=1000),M49*0.5%,IF(AND(M49&gt;50,M49&lt;=500),M49*1%,IF(AND(M49&gt;1,M49&lt;=50),M49*1.5%))))</f>
        <v>45.221000000000004</v>
      </c>
      <c r="M65" s="24">
        <f t="shared" ca="1" si="1"/>
        <v>45.2</v>
      </c>
      <c r="N65" s="138" t="s">
        <v>2239</v>
      </c>
      <c r="Z65" s="2422"/>
      <c r="AI65" s="2423"/>
    </row>
    <row r="66" spans="1:35" ht="14.25" customHeight="1">
      <c r="A66" s="203" t="s">
        <v>772</v>
      </c>
      <c r="B66" s="204" t="s">
        <v>2242</v>
      </c>
      <c r="C66" s="205"/>
      <c r="D66" s="206" t="s">
        <v>32</v>
      </c>
      <c r="E66" s="1775" t="s">
        <v>1367</v>
      </c>
      <c r="F66" s="2488"/>
      <c r="G66" s="2488"/>
      <c r="H66" s="2496"/>
      <c r="I66" s="138"/>
      <c r="J66" s="3219"/>
      <c r="K66" s="2959" t="s">
        <v>2243</v>
      </c>
      <c r="L66" s="1751">
        <f ca="1">M49*0.5%</f>
        <v>226.10500000000002</v>
      </c>
      <c r="M66" s="24">
        <f ca="1">IF(L66&gt;0.5,0.5,ROUND(L66,0))</f>
        <v>0.5</v>
      </c>
      <c r="N66" s="138" t="s">
        <v>2244</v>
      </c>
      <c r="Z66" s="2422"/>
      <c r="AI66" s="2423"/>
    </row>
    <row r="67" spans="1:35" ht="14.25" customHeight="1">
      <c r="A67" s="203" t="s">
        <v>773</v>
      </c>
      <c r="B67" s="204" t="s">
        <v>2245</v>
      </c>
      <c r="C67" s="207">
        <f ca="1">C63-C66</f>
        <v>43068</v>
      </c>
      <c r="D67" s="200" t="s">
        <v>32</v>
      </c>
      <c r="E67" s="201"/>
      <c r="F67" s="2488"/>
      <c r="G67" s="2488"/>
      <c r="H67" s="2496"/>
      <c r="I67" s="138"/>
      <c r="J67" s="3219"/>
      <c r="K67" s="2959" t="s">
        <v>2246</v>
      </c>
      <c r="L67" s="1751">
        <f ca="1">IF(M49&gt;=10000,(8.25+(M49-10000)*0.01%),IF(AND(M49&gt;=8000,M49&lt;10000),(7.85+(M49-8000)*0.02%),IF(AND(M49&gt;=5000,M49&lt;8000),(6.65+(M49-5000)*0.04%),IF(AND(M49&gt;=2000,M49&lt;5000),(4.25+(PM49-2000)*0.08%),IF(AND(M49&gt;=1000,M49&lt;2000),(2.75+(M49-1000)*0.15%),IF(AND(M49&gt;=100,M49&lt;1000),(0.5+(M49-100)*0.25%),IF(AND(M49&gt;0,M49&lt;100),M49*0.5%)))))))</f>
        <v>11.7721</v>
      </c>
      <c r="M67" s="24">
        <f ca="1">ROUND(L67*0.9,1)</f>
        <v>10.6</v>
      </c>
      <c r="Z67" s="2422"/>
      <c r="AI67" s="2423"/>
    </row>
    <row r="68" spans="1:35" ht="14.25" customHeight="1" thickBot="1">
      <c r="A68" s="208" t="s">
        <v>774</v>
      </c>
      <c r="B68" s="209" t="s">
        <v>2247</v>
      </c>
      <c r="C68" s="210">
        <f ca="1">IF(C67&lt;=0,0,ROUND(C67*D68,0))</f>
        <v>2412</v>
      </c>
      <c r="D68" s="211">
        <f>'数据-取费表'!B41</f>
        <v>5.6000000000000001E-2</v>
      </c>
      <c r="E68" s="212"/>
      <c r="F68" s="2488"/>
      <c r="G68" s="2488"/>
      <c r="H68" s="2496"/>
      <c r="I68" s="138"/>
      <c r="J68" s="3219"/>
      <c r="K68" s="2959" t="s">
        <v>2248</v>
      </c>
      <c r="L68" s="1751">
        <f ca="1">IF(M49&gt;10000,M49*0.5%,IF(AND(M49&gt;5000,M49&lt;=10000),M49*1%,IF(AND(M49&gt;1000,M49&lt;=5000),M49*2%,IF(AND(M49&gt;200,M49&lt;=1000),M49*3%,M49*5%))))</f>
        <v>226.10500000000002</v>
      </c>
      <c r="M68" s="24">
        <f ca="1">ROUND(L68,1)</f>
        <v>226.1</v>
      </c>
      <c r="Z68" s="2422"/>
      <c r="AI68" s="2423"/>
    </row>
    <row r="69" spans="1:35" s="2445" customFormat="1" ht="16.5" customHeight="1">
      <c r="A69" s="2499"/>
      <c r="B69" s="2500"/>
      <c r="C69" s="2501"/>
      <c r="D69" s="2502"/>
      <c r="E69" s="2503"/>
      <c r="F69" s="2165"/>
      <c r="G69" s="2165"/>
      <c r="H69" s="2164"/>
      <c r="I69" s="2417"/>
      <c r="J69" s="3219"/>
      <c r="K69" s="2959" t="s">
        <v>2249</v>
      </c>
      <c r="L69" s="2504"/>
      <c r="M69" s="24">
        <f ca="1">ROUND(SUM(M63:M68),0)</f>
        <v>735</v>
      </c>
      <c r="N69" s="1752">
        <f ca="1">M69/M49</f>
        <v>1.6253510537139824E-2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263" t="s">
        <v>2250</v>
      </c>
      <c r="B70" s="3264"/>
      <c r="C70" s="3264"/>
      <c r="D70" s="3264"/>
      <c r="E70" s="3264"/>
      <c r="F70" s="3264"/>
      <c r="G70" s="3264"/>
      <c r="H70" s="3264"/>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254" t="s">
        <v>2231</v>
      </c>
      <c r="B71" s="3255"/>
      <c r="C71" s="2949"/>
      <c r="D71" s="2949" t="s">
        <v>2232</v>
      </c>
      <c r="E71" s="213" t="s">
        <v>2233</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2251</v>
      </c>
      <c r="C72" s="207">
        <f ca="1">ROUND(D45/(1+'数据-取费表'!C42),0)</f>
        <v>43068</v>
      </c>
      <c r="D72" s="200" t="s">
        <v>32</v>
      </c>
      <c r="E72" s="2948"/>
      <c r="F72" s="2943"/>
      <c r="G72" s="2943"/>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2252</v>
      </c>
      <c r="C73" s="207">
        <f ca="1">C74+C78</f>
        <v>258</v>
      </c>
      <c r="D73" s="200" t="s">
        <v>32</v>
      </c>
      <c r="E73" s="2948"/>
      <c r="F73" s="2943"/>
      <c r="G73" s="2943"/>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2253</v>
      </c>
      <c r="C74" s="200">
        <f>ROUND(IF(G77="2016年5月1日后购买",C75/(1+'数据-取费表'!C42)+C76+C77,C75+C76+C77),0)</f>
        <v>0</v>
      </c>
      <c r="D74" s="200" t="s">
        <v>32</v>
      </c>
      <c r="E74" s="2948"/>
      <c r="F74" s="2943"/>
      <c r="G74" s="2943"/>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2254</v>
      </c>
      <c r="C75" s="218"/>
      <c r="D75" s="200" t="s">
        <v>32</v>
      </c>
      <c r="E75" s="219" t="s">
        <v>2255</v>
      </c>
      <c r="F75" s="2510" t="s">
        <v>2256</v>
      </c>
      <c r="G75" s="219" t="s">
        <v>2257</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2258</v>
      </c>
      <c r="C76" s="200">
        <f>IF(F75="购房发票",ROUND(C75*H75*D76,0),0)</f>
        <v>0</v>
      </c>
      <c r="D76" s="222">
        <v>0.05</v>
      </c>
      <c r="E76" s="3260" t="s">
        <v>2259</v>
      </c>
      <c r="F76" s="3259"/>
      <c r="G76" s="3259"/>
      <c r="H76" s="3262"/>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2260</v>
      </c>
      <c r="C77" s="200">
        <f>ROUND(IF(G77="个人住宅",0,IF(G77="2016年5月1日前购买",C75*D77,C75*D77/(1+'数据-取费表'!C42))),0)</f>
        <v>0</v>
      </c>
      <c r="D77" s="223">
        <f>'数据-取费表'!B48+'数据-取费表'!B49</f>
        <v>3.0499999999999999E-2</v>
      </c>
      <c r="E77" s="2960" t="s">
        <v>2261</v>
      </c>
      <c r="F77" s="224"/>
      <c r="G77" s="2512" t="s">
        <v>2262</v>
      </c>
      <c r="H77" s="2951"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2263</v>
      </c>
      <c r="C78" s="225">
        <f ca="1">ROUND(D45*D78/(1+'数据-取费表'!C42),0)</f>
        <v>258</v>
      </c>
      <c r="D78" s="226">
        <f>'数据-取费表'!B43</f>
        <v>6.000000000000001E-3</v>
      </c>
      <c r="E78" s="3251" t="s">
        <v>2264</v>
      </c>
      <c r="F78" s="3252"/>
      <c r="G78" s="3252"/>
      <c r="H78" s="3253"/>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2265</v>
      </c>
      <c r="C79" s="207">
        <f ca="1">C72-C73</f>
        <v>42810</v>
      </c>
      <c r="D79" s="200" t="s">
        <v>32</v>
      </c>
      <c r="E79" s="2948"/>
      <c r="F79" s="2943"/>
      <c r="G79" s="2943"/>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2266</v>
      </c>
      <c r="C80" s="227">
        <f ca="1">IF(C79&lt;=0,0,C79/C73)</f>
        <v>165.93023255813952</v>
      </c>
      <c r="D80" s="200" t="s">
        <v>32</v>
      </c>
      <c r="E80" s="2960" t="str">
        <f ca="1">IF(C80&gt;=200%,"增值额超过扣除项目金额200%",IF(C80&gt;=100%,"增值额超过扣除项目金额100%，未超过200%",IF(C80&gt;=50%,"增值额超过扣除项目金额50%，未超过100%",IF(C80&lt;50%,"增值额未超过扣除项目金额50%"))))</f>
        <v>增值额超过扣除项目金额200%</v>
      </c>
      <c r="F80" s="2943"/>
      <c r="G80" s="2943"/>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2267</v>
      </c>
      <c r="C81" s="228">
        <f ca="1">ROUND(IF(C79&lt;=0,0,IF(C80&gt;=200%,C79*60%-C73*35%,IF(C80&gt;=100%,C79*50%-C73*15%,IF(C80&gt;=50%,C79*40%-C73*5%,IF(C80&lt;50%,C79*30%,0))))),0)</f>
        <v>25596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263" t="s">
        <v>2268</v>
      </c>
      <c r="B83" s="3264"/>
      <c r="C83" s="3264"/>
      <c r="D83" s="3264"/>
      <c r="E83" s="3264"/>
      <c r="F83" s="3264"/>
      <c r="G83" s="3264"/>
      <c r="H83" s="3264"/>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254" t="s">
        <v>2231</v>
      </c>
      <c r="B84" s="3255"/>
      <c r="C84" s="2949"/>
      <c r="D84" s="2949" t="s">
        <v>2232</v>
      </c>
      <c r="E84" s="213" t="s">
        <v>2233</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2251</v>
      </c>
      <c r="C85" s="207">
        <f ca="1">ROUND(D45/(1+'数据-取费表'!C42),0)</f>
        <v>43068</v>
      </c>
      <c r="D85" s="200" t="s">
        <v>32</v>
      </c>
      <c r="E85" s="2948"/>
      <c r="F85" s="2943"/>
      <c r="G85" s="2943"/>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2252</v>
      </c>
      <c r="C86" s="207">
        <f ca="1">IF(H88="仅含出让金",C87+C90+C91+C92+C93+C94,C87+C91+C92+C93+C94)</f>
        <v>258</v>
      </c>
      <c r="D86" s="235"/>
      <c r="E86" s="2948"/>
      <c r="F86" s="2943"/>
      <c r="G86" s="2943"/>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2269</v>
      </c>
      <c r="C87" s="225">
        <f>C88+C89</f>
        <v>0</v>
      </c>
      <c r="D87" s="226"/>
      <c r="E87" s="2944"/>
      <c r="F87" s="2945"/>
      <c r="G87" s="2945"/>
      <c r="H87" s="294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2270</v>
      </c>
      <c r="C88" s="236"/>
      <c r="D88" s="226"/>
      <c r="E88" s="237" t="s">
        <v>2271</v>
      </c>
      <c r="F88" s="2945"/>
      <c r="G88" s="238" t="s">
        <v>2272</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2260</v>
      </c>
      <c r="C89" s="225">
        <f>ROUND(C88*D89,0)</f>
        <v>0</v>
      </c>
      <c r="D89" s="226">
        <f>'数据-取费表'!B48+'数据-取费表'!B49</f>
        <v>3.0499999999999999E-2</v>
      </c>
      <c r="E89" s="237" t="s">
        <v>2273</v>
      </c>
      <c r="F89" s="2945"/>
      <c r="G89" s="2945"/>
      <c r="H89" s="294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2274</v>
      </c>
      <c r="C90" s="236"/>
      <c r="D90" s="226"/>
      <c r="E90" s="237" t="str">
        <f>IF(H88="-","土地取得成本中已包含该笔费用"," ")</f>
        <v xml:space="preserve"> </v>
      </c>
      <c r="F90" s="2945"/>
      <c r="G90" s="2945"/>
      <c r="H90" s="294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2275</v>
      </c>
      <c r="B91" s="198" t="s">
        <v>2276</v>
      </c>
      <c r="C91" s="225">
        <f>IF(H91="——",成本法!C33,I91)</f>
        <v>0</v>
      </c>
      <c r="D91" s="226"/>
      <c r="E91" s="3251" t="s">
        <v>2277</v>
      </c>
      <c r="F91" s="3252"/>
      <c r="G91" s="3252"/>
      <c r="H91" s="2517" t="s">
        <v>2278</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2279</v>
      </c>
      <c r="B92" s="198" t="s">
        <v>2280</v>
      </c>
      <c r="C92" s="225">
        <f>ROUND((C87+C90+C91)*D92,0)</f>
        <v>0</v>
      </c>
      <c r="D92" s="226">
        <v>0.1</v>
      </c>
      <c r="E92" s="3251" t="s">
        <v>2281</v>
      </c>
      <c r="F92" s="3252"/>
      <c r="G92" s="3252"/>
      <c r="H92" s="3253"/>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2282</v>
      </c>
      <c r="B93" s="198" t="s">
        <v>2263</v>
      </c>
      <c r="C93" s="225">
        <f ca="1">ROUND(D45*D93/(1+'数据-取费表'!C42),0)</f>
        <v>258</v>
      </c>
      <c r="D93" s="226">
        <f>'数据-取费表'!B43</f>
        <v>6.000000000000001E-3</v>
      </c>
      <c r="E93" s="3251" t="s">
        <v>2264</v>
      </c>
      <c r="F93" s="3252"/>
      <c r="G93" s="3252"/>
      <c r="H93" s="3253"/>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2283</v>
      </c>
      <c r="B94" s="198" t="s">
        <v>2284</v>
      </c>
      <c r="C94" s="236">
        <f>ROUND((C87+C90+C91)*D94,0)</f>
        <v>0</v>
      </c>
      <c r="D94" s="226">
        <v>0.2</v>
      </c>
      <c r="E94" s="3299" t="s">
        <v>2285</v>
      </c>
      <c r="F94" s="3300"/>
      <c r="G94" s="3300"/>
      <c r="H94" s="330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2265</v>
      </c>
      <c r="C95" s="207">
        <f ca="1">ROUND(C85-C86,0)</f>
        <v>42810</v>
      </c>
      <c r="D95" s="200" t="s">
        <v>32</v>
      </c>
      <c r="E95" s="2948"/>
      <c r="F95" s="2943"/>
      <c r="G95" s="2943"/>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2266</v>
      </c>
      <c r="C96" s="227">
        <f ca="1">IF(C95&lt;=0,0,C95/C86)</f>
        <v>165.93023255813952</v>
      </c>
      <c r="D96" s="200" t="s">
        <v>32</v>
      </c>
      <c r="E96" s="2960" t="str">
        <f ca="1">IF(C96&gt;=200%,"增值额超过扣除项目金额200%",IF(C96&gt;=100%,"增值额超过扣除项目金额100%，未超过200%",IF(C96&gt;=50%,"增值额超过扣除项目金额50%，未超过100%",IF(C96&lt;50%,"增值额未超过扣除项目金额50%"))))</f>
        <v>增值额超过扣除项目金额200%</v>
      </c>
      <c r="F96" s="2943"/>
      <c r="G96" s="2943"/>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2267</v>
      </c>
      <c r="C97" s="228">
        <f ca="1">ROUND(IF(C95&lt;=0,0,IF(C96&gt;=200%,C95*60%-C86*35%,IF(C96&gt;=100%,C95*50%-C86*15%,IF(C96&gt;=50%,C95*40%-C86*5%,IF(C96&lt;50%,C95*30%,0))))),0)</f>
        <v>25596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2286</v>
      </c>
      <c r="B99" s="2417"/>
      <c r="C99" s="2417"/>
      <c r="D99" s="2417"/>
      <c r="E99" s="2165"/>
      <c r="F99" s="2165"/>
      <c r="G99" s="2165"/>
      <c r="H99" s="2164"/>
      <c r="I99" s="138"/>
    </row>
    <row r="100" spans="1:35" ht="18.75" customHeight="1">
      <c r="A100" s="3187" t="s">
        <v>2287</v>
      </c>
      <c r="B100" s="3188"/>
      <c r="C100" s="3188"/>
      <c r="D100" s="3235"/>
      <c r="E100" s="3188" t="s">
        <v>2288</v>
      </c>
      <c r="F100" s="3188"/>
      <c r="G100" s="3188"/>
      <c r="H100" s="3235"/>
      <c r="I100" s="138"/>
    </row>
    <row r="101" spans="1:35" ht="18.75" customHeight="1">
      <c r="A101" s="3243" t="s">
        <v>2289</v>
      </c>
      <c r="B101" s="3244"/>
      <c r="C101" s="736" t="str">
        <f>C4</f>
        <v>比较法-商业</v>
      </c>
      <c r="D101" s="737" t="str">
        <f>D4</f>
        <v>收益法（商业）</v>
      </c>
      <c r="E101" s="3215" t="s">
        <v>2290</v>
      </c>
      <c r="F101" s="3216"/>
      <c r="G101" s="2519" t="s">
        <v>2291</v>
      </c>
      <c r="H101" s="1047">
        <f ca="1">H118</f>
        <v>45221</v>
      </c>
      <c r="I101" s="138"/>
    </row>
    <row r="102" spans="1:35" ht="18.75" customHeight="1">
      <c r="A102" s="3245" t="s">
        <v>2292</v>
      </c>
      <c r="B102" s="2519" t="s">
        <v>2291</v>
      </c>
      <c r="C102" s="736">
        <f ca="1">C19</f>
        <v>54995</v>
      </c>
      <c r="D102" s="737">
        <f ca="1">D19</f>
        <v>22414</v>
      </c>
      <c r="E102" s="3215"/>
      <c r="F102" s="3216"/>
      <c r="G102" s="2519" t="s">
        <v>2293</v>
      </c>
      <c r="H102" s="371">
        <f ca="1">I118</f>
        <v>93630</v>
      </c>
      <c r="I102" s="138"/>
    </row>
    <row r="103" spans="1:35" ht="42.75" customHeight="1">
      <c r="A103" s="3245"/>
      <c r="B103" s="2519" t="s">
        <v>2293</v>
      </c>
      <c r="C103" s="738">
        <f ca="1">C20</f>
        <v>113867</v>
      </c>
      <c r="D103" s="739">
        <f ca="1">D20</f>
        <v>46408</v>
      </c>
      <c r="E103" s="3209" t="s">
        <v>2294</v>
      </c>
      <c r="F103" s="3210"/>
      <c r="G103" s="2520" t="s">
        <v>2295</v>
      </c>
      <c r="H103" s="1047">
        <f>IF(D36="正常操作",H104+H105+H106,H105+H106)</f>
        <v>0</v>
      </c>
      <c r="I103" s="138"/>
    </row>
    <row r="104" spans="1:35" ht="18.75" customHeight="1">
      <c r="A104" s="3245" t="s">
        <v>2296</v>
      </c>
      <c r="B104" s="2521" t="s">
        <v>2291</v>
      </c>
      <c r="C104" s="740">
        <f ca="1">H118</f>
        <v>45221</v>
      </c>
      <c r="D104" s="741"/>
      <c r="E104" s="2265" t="s">
        <v>2297</v>
      </c>
      <c r="F104" s="2257"/>
      <c r="G104" s="2520" t="s">
        <v>2295</v>
      </c>
      <c r="H104" s="1048">
        <f>IF(D36="同一抵押权人同一抵押物续贷",C36&amp;"（未扣减，详见特别提示）",C36)</f>
        <v>0</v>
      </c>
      <c r="I104" s="138"/>
    </row>
    <row r="105" spans="1:35" ht="18.75" customHeight="1" thickBot="1">
      <c r="A105" s="3257"/>
      <c r="B105" s="2522" t="s">
        <v>2293</v>
      </c>
      <c r="C105" s="742">
        <f ca="1">I118</f>
        <v>93630</v>
      </c>
      <c r="D105" s="743"/>
      <c r="E105" s="2265" t="s">
        <v>2298</v>
      </c>
      <c r="F105" s="2257"/>
      <c r="G105" s="2520" t="s">
        <v>2295</v>
      </c>
      <c r="H105" s="1048">
        <f>C37</f>
        <v>0</v>
      </c>
      <c r="I105" s="138"/>
    </row>
    <row r="106" spans="1:35" ht="18.75" customHeight="1">
      <c r="A106" s="2417" t="s">
        <v>2299</v>
      </c>
      <c r="B106" s="2417"/>
      <c r="C106" s="2417"/>
      <c r="D106" s="2417"/>
      <c r="E106" s="2523" t="s">
        <v>2300</v>
      </c>
      <c r="F106" s="2257"/>
      <c r="G106" s="2520" t="s">
        <v>2295</v>
      </c>
      <c r="H106" s="1048">
        <f>C38</f>
        <v>0</v>
      </c>
      <c r="I106" s="138"/>
    </row>
    <row r="107" spans="1:35" ht="18.75" customHeight="1">
      <c r="A107" s="138"/>
      <c r="B107" s="138"/>
      <c r="C107" s="138"/>
      <c r="D107" s="138"/>
      <c r="E107" s="3246" t="str">
        <f>IF(项目基本情况!E8="已注销","——","3.房地产抵押价值")</f>
        <v>3.房地产抵押价值</v>
      </c>
      <c r="F107" s="3216"/>
      <c r="G107" s="2519" t="s">
        <v>2291</v>
      </c>
      <c r="H107" s="1047">
        <f ca="1">IF(E107="——","——",H101-H103)</f>
        <v>45221</v>
      </c>
      <c r="I107" s="138"/>
    </row>
    <row r="108" spans="1:35" ht="18.75" customHeight="1">
      <c r="A108" s="138"/>
      <c r="B108" s="138"/>
      <c r="C108" s="138"/>
      <c r="D108" s="138"/>
      <c r="E108" s="3246"/>
      <c r="F108" s="3216"/>
      <c r="G108" s="2519" t="s">
        <v>2293</v>
      </c>
      <c r="H108" s="371">
        <f ca="1">ROUND(H107*10000/'数据-汇总表'!E3,0)</f>
        <v>3291</v>
      </c>
      <c r="I108" s="138"/>
    </row>
    <row r="109" spans="1:35" ht="18.75" customHeight="1">
      <c r="A109" s="138"/>
      <c r="B109" s="138"/>
      <c r="C109" s="138"/>
      <c r="D109" s="138"/>
      <c r="E109" s="3246" t="str">
        <f>IF(项目基本情况!E8="已注销及未注销","4.抵押担保权已注销时的房地产抵押价值",IF(项目基本情况!E8="已注销","3.抵押担保权已注销时的房地产抵押价值","——"))</f>
        <v>——</v>
      </c>
      <c r="F109" s="3216"/>
      <c r="G109" s="2519" t="s">
        <v>2291</v>
      </c>
      <c r="H109" s="348" t="str">
        <f>IF(E109="——","——",H101-H105-H106)</f>
        <v>——</v>
      </c>
      <c r="I109" s="138"/>
    </row>
    <row r="110" spans="1:35" ht="18.75" customHeight="1">
      <c r="A110" s="138"/>
      <c r="B110" s="138"/>
      <c r="C110" s="138"/>
      <c r="D110" s="138"/>
      <c r="E110" s="3246"/>
      <c r="F110" s="3216"/>
      <c r="G110" s="2519" t="s">
        <v>2293</v>
      </c>
      <c r="H110" s="371" t="str">
        <f>IF(H109="——","——",ROUND(H109*10000/'数据-汇总表'!E3,0))</f>
        <v>——</v>
      </c>
      <c r="I110" s="138"/>
    </row>
    <row r="111" spans="1:35" ht="18.75" customHeight="1">
      <c r="A111" s="138"/>
      <c r="B111" s="138"/>
      <c r="C111" s="138"/>
      <c r="D111" s="138"/>
      <c r="E111" s="3247" t="str">
        <f>IF(项目基本情况!E9="抵押净值",IF(OR(项目基本情况!E8="已注销",项目基本情况!E8="房地产抵押价值"),"4.抵押净值","5.抵押净值"),"——")</f>
        <v>——</v>
      </c>
      <c r="F111" s="3248"/>
      <c r="G111" s="2519" t="s">
        <v>2291</v>
      </c>
      <c r="H111" s="1047" t="str">
        <f>IF(E111="——","——",N59)</f>
        <v>——</v>
      </c>
      <c r="I111" s="138"/>
    </row>
    <row r="112" spans="1:35" ht="18.75" customHeight="1" thickBot="1">
      <c r="A112" s="138"/>
      <c r="B112" s="138"/>
      <c r="C112" s="138"/>
      <c r="D112" s="138"/>
      <c r="E112" s="3249"/>
      <c r="F112" s="3250"/>
      <c r="G112" s="2524" t="s">
        <v>2293</v>
      </c>
      <c r="H112" s="790" t="str">
        <f>IF(E111="——","——",N61)</f>
        <v>——</v>
      </c>
      <c r="I112" s="138"/>
    </row>
    <row r="113" spans="1:11" ht="18.75" customHeight="1">
      <c r="A113" s="138"/>
      <c r="B113" s="138"/>
      <c r="C113" s="138"/>
      <c r="D113" s="138"/>
      <c r="E113" s="3258" t="s">
        <v>2299</v>
      </c>
      <c r="F113" s="3258"/>
      <c r="G113" s="3258"/>
      <c r="H113" s="3258"/>
      <c r="I113" s="138"/>
    </row>
    <row r="114" spans="1:11" ht="3.75" customHeight="1">
      <c r="A114" s="2417"/>
      <c r="B114" s="2417"/>
      <c r="C114" s="2417"/>
      <c r="D114" s="2417"/>
      <c r="E114" s="2495"/>
      <c r="F114" s="2495"/>
      <c r="G114" s="2495"/>
      <c r="H114" s="2495"/>
      <c r="I114" s="2417"/>
    </row>
    <row r="115" spans="1:11" ht="18.75" customHeight="1">
      <c r="A115" s="3271" t="s">
        <v>2301</v>
      </c>
      <c r="B115" s="3272"/>
      <c r="C115" s="3272"/>
      <c r="D115" s="3272"/>
      <c r="E115" s="3272"/>
      <c r="F115" s="3272"/>
      <c r="G115" s="3272"/>
      <c r="H115" s="3272"/>
      <c r="I115" s="3273"/>
    </row>
    <row r="116" spans="1:11" ht="27" customHeight="1">
      <c r="A116" s="3160" t="s">
        <v>2302</v>
      </c>
      <c r="B116" s="3225" t="s">
        <v>2303</v>
      </c>
      <c r="C116" s="3225" t="s">
        <v>2304</v>
      </c>
      <c r="D116" s="3231" t="s">
        <v>2305</v>
      </c>
      <c r="E116" s="3232"/>
      <c r="F116" s="3267" t="s">
        <v>2306</v>
      </c>
      <c r="G116" s="3267"/>
      <c r="H116" s="3160" t="s">
        <v>2307</v>
      </c>
      <c r="I116" s="3160"/>
    </row>
    <row r="117" spans="1:11" ht="18.75" customHeight="1">
      <c r="A117" s="3160"/>
      <c r="B117" s="3226"/>
      <c r="C117" s="3226"/>
      <c r="D117" s="2940" t="s">
        <v>2308</v>
      </c>
      <c r="E117" s="2940" t="s">
        <v>2309</v>
      </c>
      <c r="F117" s="2940" t="s">
        <v>2308</v>
      </c>
      <c r="G117" s="2940" t="s">
        <v>2310</v>
      </c>
      <c r="H117" s="2940" t="s">
        <v>2308</v>
      </c>
      <c r="I117" s="2940" t="s">
        <v>2310</v>
      </c>
    </row>
    <row r="118" spans="1:11" ht="24.75" customHeight="1">
      <c r="A118" s="2525" t="str">
        <f>项目基本情况!S2</f>
        <v>广东省深圳市龙华新区民治街道腾龙路与建设路交汇处“金茂府”居住项目房地产</v>
      </c>
      <c r="B118" s="2940">
        <f>M18</f>
        <v>4829.75</v>
      </c>
      <c r="C118" s="2940">
        <f>M19</f>
        <v>867.36</v>
      </c>
      <c r="D118" s="2940">
        <f ca="1">ROUND(IF(D32="总价",C34,E118*B118/10000),0)</f>
        <v>31609</v>
      </c>
      <c r="E118" s="2940">
        <f ca="1">ROUND(IF(C33="自定义",IF(D32="楼面单价",C34,D118*10000/B118),I118-G118),0)</f>
        <v>65446</v>
      </c>
      <c r="F118" s="2940">
        <f ca="1">ROUND(IF(D32="总价",C35,G118*B118/10000),0)</f>
        <v>13612</v>
      </c>
      <c r="G118" s="2940">
        <f ca="1">ROUND(IF(D32="楼面单价",C35,F118*10000/B118),0)</f>
        <v>28184</v>
      </c>
      <c r="H118" s="2940">
        <f ca="1">ROUND(IF(D32="总价",C32,I118*B118/10000),0)</f>
        <v>45221</v>
      </c>
      <c r="I118" s="2940">
        <f ca="1">ROUND(IF(D32="楼面单价",C32,H118*10000/B118),0)</f>
        <v>93630</v>
      </c>
    </row>
    <row r="119" spans="1:11" ht="18.75" customHeight="1">
      <c r="A119" s="3160" t="s">
        <v>2311</v>
      </c>
      <c r="B119" s="3160"/>
      <c r="C119" s="3160"/>
      <c r="D119" s="3227" t="str">
        <f ca="1">NUMBERSTRING(INT(D118*10000),2)&amp;"元整"</f>
        <v>叁亿壹仟陆佰零玖万元整</v>
      </c>
      <c r="E119" s="3228"/>
      <c r="F119" s="3227" t="str">
        <f ca="1">NUMBERSTRING(INT(F118*10000),2)&amp;"元整"</f>
        <v>壹亿叁仟陆佰壹拾贰万元整</v>
      </c>
      <c r="G119" s="3228"/>
      <c r="H119" s="3227" t="str">
        <f ca="1">NUMBERSTRING(INT(H118*10000),2)&amp;"元整"</f>
        <v>肆亿伍仟贰佰贰拾壹万元整</v>
      </c>
      <c r="I119" s="3228"/>
    </row>
    <row r="120" spans="1:11" ht="18.75" customHeight="1">
      <c r="A120" s="3222" t="str">
        <f>IF(项目基本情况!B9="房地产市场价值","",MID(E103,3,LEN(E103)-2))</f>
        <v>估价师知悉的法定优先受偿款</v>
      </c>
      <c r="B120" s="3223"/>
      <c r="C120" s="3224"/>
      <c r="D120" s="3222">
        <f>H103</f>
        <v>0</v>
      </c>
      <c r="E120" s="3223"/>
      <c r="F120" s="3223"/>
      <c r="G120" s="3223"/>
      <c r="H120" s="3223"/>
      <c r="I120" s="3224"/>
      <c r="K120" s="2422" t="str">
        <f>IF(D120=0,"故，本次评估不存在"&amp;A120,"故，本次评估"&amp;A120&amp;"为人民币"&amp;D120&amp;"万元整。")</f>
        <v>故，本次评估不存在估价师知悉的法定优先受偿款</v>
      </c>
    </row>
    <row r="121" spans="1:11" ht="18.75" customHeight="1">
      <c r="A121" s="3268" t="s">
        <v>2311</v>
      </c>
      <c r="B121" s="3269"/>
      <c r="C121" s="3270"/>
      <c r="D121" s="3227" t="str">
        <f>IF(D120=0,"零元整",NUMBERSTRING(INT(D120*10000),2)&amp;"元整")</f>
        <v>零元整</v>
      </c>
      <c r="E121" s="3229"/>
      <c r="F121" s="3229"/>
      <c r="G121" s="3229"/>
      <c r="H121" s="3229"/>
      <c r="I121" s="3228"/>
    </row>
    <row r="122" spans="1:11" ht="18.75" customHeight="1">
      <c r="A122" s="3233" t="str">
        <f>IF(项目基本情况!B9="房地产市场价值","",MID(E107,3,LEN(E107)-2))</f>
        <v>房地产抵押价值</v>
      </c>
      <c r="B122" s="3233"/>
      <c r="C122" s="3233"/>
      <c r="D122" s="3222">
        <f ca="1">H107</f>
        <v>45221</v>
      </c>
      <c r="E122" s="3223"/>
      <c r="F122" s="3223"/>
      <c r="G122" s="3223"/>
      <c r="H122" s="3223"/>
      <c r="I122" s="3224"/>
    </row>
    <row r="123" spans="1:11" ht="18.75" customHeight="1">
      <c r="A123" s="3160" t="s">
        <v>2311</v>
      </c>
      <c r="B123" s="3160"/>
      <c r="C123" s="3160"/>
      <c r="D123" s="3227" t="str">
        <f ca="1">NUMBERSTRING(INT(D122*10000),2)&amp;"元整"</f>
        <v>肆亿伍仟贰佰贰拾壹万元整</v>
      </c>
      <c r="E123" s="3229"/>
      <c r="F123" s="3229"/>
      <c r="G123" s="3229"/>
      <c r="H123" s="3229"/>
      <c r="I123" s="3228"/>
    </row>
    <row r="124" spans="1:11" ht="18.75" customHeight="1">
      <c r="A124" s="3233" t="str">
        <f>IF(项目基本情况!B9="房地产市场价值","",MID(E109,3,LEN(E109)-2))</f>
        <v/>
      </c>
      <c r="B124" s="3233"/>
      <c r="C124" s="3233"/>
      <c r="D124" s="3222" t="str">
        <f>H109</f>
        <v>——</v>
      </c>
      <c r="E124" s="3223"/>
      <c r="F124" s="3223"/>
      <c r="G124" s="3223"/>
      <c r="H124" s="3223"/>
      <c r="I124" s="3224"/>
    </row>
    <row r="125" spans="1:11" ht="18.75" customHeight="1">
      <c r="A125" s="3160" t="s">
        <v>2311</v>
      </c>
      <c r="B125" s="3160"/>
      <c r="C125" s="3160"/>
      <c r="D125" s="3227" t="e">
        <f>NUMBERSTRING(INT(D124*10000),2)&amp;"元整"</f>
        <v>#VALUE!</v>
      </c>
      <c r="E125" s="3229"/>
      <c r="F125" s="3229"/>
      <c r="G125" s="3229"/>
      <c r="H125" s="3229"/>
      <c r="I125" s="3228"/>
    </row>
    <row r="126" spans="1:11" ht="18.75" customHeight="1">
      <c r="A126" s="3233" t="str">
        <f>IF(项目基本情况!B9="房地产市场价值","",MID(E111,3,LEN(E111)-2))</f>
        <v/>
      </c>
      <c r="B126" s="3233"/>
      <c r="C126" s="3233"/>
      <c r="D126" s="3222" t="str">
        <f>H111</f>
        <v>——</v>
      </c>
      <c r="E126" s="3223"/>
      <c r="F126" s="3223"/>
      <c r="G126" s="3223"/>
      <c r="H126" s="3223"/>
      <c r="I126" s="3224"/>
    </row>
    <row r="127" spans="1:11" ht="18.75" customHeight="1">
      <c r="A127" s="3160" t="s">
        <v>2311</v>
      </c>
      <c r="B127" s="3160"/>
      <c r="C127" s="3160"/>
      <c r="D127" s="3227" t="e">
        <f>NUMBERSTRING(INT(D126*10000),2)&amp;"元整"</f>
        <v>#VALUE!</v>
      </c>
      <c r="E127" s="3229"/>
      <c r="F127" s="3229"/>
      <c r="G127" s="3229"/>
      <c r="H127" s="3229"/>
      <c r="I127" s="3228"/>
    </row>
    <row r="128" spans="1:11" ht="21.75" customHeight="1">
      <c r="A128" s="3230" t="s">
        <v>2312</v>
      </c>
      <c r="B128" s="3230"/>
      <c r="C128" s="3230"/>
      <c r="D128" s="3230"/>
      <c r="E128" s="3230"/>
      <c r="F128" s="3230"/>
      <c r="G128" s="3230"/>
      <c r="H128" s="3230"/>
      <c r="I128" s="3230"/>
    </row>
    <row r="129" spans="1:35" ht="21.75" customHeight="1">
      <c r="A129" s="2526" t="s">
        <v>2313</v>
      </c>
      <c r="B129" s="2527"/>
      <c r="C129" s="2528" t="s">
        <v>2314</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2315</v>
      </c>
      <c r="G135" s="2543"/>
      <c r="H135" s="2543"/>
      <c r="I135" s="2544" t="s">
        <v>2316</v>
      </c>
    </row>
    <row r="136" spans="1:35" ht="21.75" customHeight="1">
      <c r="A136" s="795"/>
      <c r="B136" s="2545"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2318</v>
      </c>
    </row>
    <row r="139" spans="1:35" ht="21.75" customHeight="1">
      <c r="A139" s="795"/>
      <c r="B139" s="2545" t="s">
        <v>2319</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2318</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7" priority="10" stopIfTrue="1" operator="equal">
      <formula>25</formula>
    </cfRule>
  </conditionalFormatting>
  <conditionalFormatting sqref="C8:C9">
    <cfRule type="cellIs" dxfId="156" priority="9" stopIfTrue="1" operator="equal">
      <formula>15</formula>
    </cfRule>
  </conditionalFormatting>
  <conditionalFormatting sqref="C14:C16">
    <cfRule type="cellIs" dxfId="155" priority="8" stopIfTrue="1" operator="equal">
      <formula>30</formula>
    </cfRule>
  </conditionalFormatting>
  <conditionalFormatting sqref="D5:D7">
    <cfRule type="cellIs" dxfId="154" priority="7" stopIfTrue="1" operator="equal">
      <formula>25</formula>
    </cfRule>
  </conditionalFormatting>
  <conditionalFormatting sqref="D8:D9">
    <cfRule type="cellIs" dxfId="153" priority="6" stopIfTrue="1" operator="equal">
      <formula>15</formula>
    </cfRule>
  </conditionalFormatting>
  <conditionalFormatting sqref="C10:D13">
    <cfRule type="cellIs" dxfId="152" priority="5" stopIfTrue="1" operator="equal">
      <formula>15</formula>
    </cfRule>
  </conditionalFormatting>
  <conditionalFormatting sqref="D14:D16">
    <cfRule type="cellIs" dxfId="151" priority="4"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70" zoomScaleNormal="70" zoomScaleSheetLayoutView="90" zoomScalePageLayoutView="7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37" customWidth="1"/>
    <col min="12" max="12" width="16.375" style="302" customWidth="1"/>
    <col min="13" max="13" width="13" style="302" customWidth="1"/>
    <col min="14" max="14" width="13.875" style="1844" customWidth="1"/>
    <col min="15" max="15" width="5.125" style="1844" customWidth="1"/>
    <col min="16" max="16" width="25.875" style="1844" customWidth="1"/>
    <col min="17" max="17" width="13.875" style="1844" customWidth="1"/>
    <col min="18" max="18" width="20.5" style="1844" customWidth="1"/>
    <col min="19" max="19" width="13.125" style="1844" customWidth="1"/>
    <col min="20" max="37" width="9" style="1844"/>
    <col min="38" max="16384" width="9" style="302"/>
  </cols>
  <sheetData>
    <row r="1" spans="1:37" s="337" customFormat="1" ht="21">
      <c r="A1" s="1835" t="s">
        <v>1585</v>
      </c>
      <c r="B1" s="782"/>
      <c r="C1" s="1839"/>
      <c r="D1" s="1822"/>
      <c r="E1" s="1823" t="s">
        <v>1383</v>
      </c>
      <c r="F1" s="1285"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4">
        <f ca="1">C6+C10+C12</f>
        <v>0</v>
      </c>
      <c r="D5" s="1824" t="s">
        <v>1597</v>
      </c>
      <c r="E5" s="1295"/>
      <c r="F5" s="1296"/>
      <c r="G5" s="1853"/>
      <c r="H5" s="344">
        <v>1</v>
      </c>
      <c r="I5" s="345" t="s">
        <v>1596</v>
      </c>
      <c r="J5" s="1294">
        <f ca="1">J6+J10+J12</f>
        <v>0</v>
      </c>
      <c r="K5" s="1824" t="s">
        <v>1597</v>
      </c>
      <c r="L5" s="1295"/>
      <c r="M5" s="1296"/>
    </row>
    <row r="6" spans="1:37" ht="18" customHeight="1">
      <c r="A6" s="1293" t="s">
        <v>1032</v>
      </c>
      <c r="B6" s="3359" t="s">
        <v>1399</v>
      </c>
      <c r="C6" s="1298">
        <f ca="1">ROUND(F6*F8*F7*(1-F9),0)</f>
        <v>0</v>
      </c>
      <c r="D6" s="164" t="s">
        <v>3025</v>
      </c>
      <c r="E6" s="347" t="s">
        <v>1401</v>
      </c>
      <c r="F6" s="348">
        <f ca="1">INDIRECT("'数据-取费表'!u"&amp;$G$1)</f>
        <v>0</v>
      </c>
      <c r="G6" s="1853"/>
      <c r="H6" s="1293" t="s">
        <v>1032</v>
      </c>
      <c r="I6" s="3359" t="s">
        <v>1399</v>
      </c>
      <c r="J6" s="346">
        <f ca="1">ROUND(M6*M8*M7*(1-M9),0)</f>
        <v>0</v>
      </c>
      <c r="K6" s="1836" t="s">
        <v>3026</v>
      </c>
      <c r="L6" s="347" t="s">
        <v>1401</v>
      </c>
      <c r="M6" s="348">
        <f ca="1">INDIRECT("'数据-取费表'!z"&amp;$G$1)</f>
        <v>0</v>
      </c>
    </row>
    <row r="7" spans="1:37" ht="18" customHeight="1">
      <c r="A7" s="1297"/>
      <c r="B7" s="3360"/>
      <c r="C7" s="1299"/>
      <c r="D7" s="352"/>
      <c r="E7" s="1300" t="s">
        <v>1402</v>
      </c>
      <c r="F7" s="348">
        <f ca="1">IF(INDIRECT("'数据-取费表'!ah"&amp;$G$1)="",INDIRECT("'数据-取费表'!k"&amp;$G$1),INDIRECT("'数据-取费表'!ah"&amp;$G$1))</f>
        <v>0</v>
      </c>
      <c r="G7" s="1853"/>
      <c r="H7" s="349"/>
      <c r="I7" s="3360"/>
      <c r="J7" s="351"/>
      <c r="K7" s="352"/>
      <c r="L7" s="347" t="s">
        <v>1402</v>
      </c>
      <c r="M7" s="348">
        <f ca="1">F7</f>
        <v>0</v>
      </c>
    </row>
    <row r="8" spans="1:37" ht="18" customHeight="1">
      <c r="A8" s="349"/>
      <c r="B8" s="3360"/>
      <c r="C8" s="351"/>
      <c r="D8" s="352"/>
      <c r="E8" s="347" t="s">
        <v>1403</v>
      </c>
      <c r="F8" s="348">
        <f ca="1">INDIRECT("'数据-取费表'!ai"&amp;$G$1)</f>
        <v>0</v>
      </c>
      <c r="G8" s="1853"/>
      <c r="H8" s="349"/>
      <c r="I8" s="3360"/>
      <c r="J8" s="351"/>
      <c r="K8" s="352"/>
      <c r="L8" s="347" t="s">
        <v>1403</v>
      </c>
      <c r="M8" s="348">
        <f ca="1">INDIRECT("'数据-取费表'!ai"&amp;$G$1)</f>
        <v>0</v>
      </c>
    </row>
    <row r="9" spans="1:37" ht="18" customHeight="1">
      <c r="A9" s="349"/>
      <c r="B9" s="3361"/>
      <c r="C9" s="351"/>
      <c r="D9" s="352"/>
      <c r="E9" s="347" t="s">
        <v>1404</v>
      </c>
      <c r="F9" s="357">
        <f ca="1">INDIRECT("'数据-取费表'!w"&amp;$G$1)</f>
        <v>0</v>
      </c>
      <c r="G9" s="1853"/>
      <c r="H9" s="349"/>
      <c r="I9" s="3361"/>
      <c r="J9" s="351"/>
      <c r="K9" s="352"/>
      <c r="L9" s="358" t="s">
        <v>1404</v>
      </c>
      <c r="M9" s="359">
        <f ca="1">INDIRECT("'数据-取费表'!ab"&amp;$G$1)</f>
        <v>0</v>
      </c>
    </row>
    <row r="10" spans="1:37" ht="18" customHeight="1">
      <c r="A10" s="1293" t="s">
        <v>1036</v>
      </c>
      <c r="B10" s="1825" t="s">
        <v>1405</v>
      </c>
      <c r="C10" s="361">
        <f ca="1">ROUND(IF(F10="押一",C6/12*F11,IF(F10="押二",C6/12*2*F11,IF(F10="押三",C6/12*3*F11,C11*F11))),0)</f>
        <v>0</v>
      </c>
      <c r="D10" s="1826" t="s">
        <v>3036</v>
      </c>
      <c r="E10" s="358" t="s">
        <v>1406</v>
      </c>
      <c r="F10" s="1368"/>
      <c r="G10" s="1853"/>
      <c r="H10" s="1293" t="s">
        <v>1036</v>
      </c>
      <c r="I10" s="1825" t="s">
        <v>1405</v>
      </c>
      <c r="J10" s="346">
        <f ca="1">ROUND(IF(M10="押一",J6/12*M11,IF(M10="押二",J6/12*2*M11,IF(M10="押三",J6/12*3*M11,J11*M11))),0)</f>
        <v>0</v>
      </c>
      <c r="K10" s="1837" t="s">
        <v>3038</v>
      </c>
      <c r="L10" s="358" t="s">
        <v>1406</v>
      </c>
      <c r="M10" s="1368"/>
    </row>
    <row r="11" spans="1:37" ht="18" customHeight="1">
      <c r="A11" s="353"/>
      <c r="B11" s="1827" t="s">
        <v>1598</v>
      </c>
      <c r="C11" s="1180"/>
      <c r="D11" s="352"/>
      <c r="E11" s="358" t="s">
        <v>1408</v>
      </c>
      <c r="F11" s="359">
        <f ca="1">'数据-取费表'!B39</f>
        <v>1.4999999999999999E-2</v>
      </c>
      <c r="G11" s="1853"/>
      <c r="H11" s="1301"/>
      <c r="I11" s="1827" t="s">
        <v>1599</v>
      </c>
      <c r="J11" s="1180"/>
      <c r="K11" s="748"/>
      <c r="L11" s="358"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0</v>
      </c>
      <c r="D13" s="1333" t="s">
        <v>1411</v>
      </c>
      <c r="E13" s="1333" t="s">
        <v>1412</v>
      </c>
      <c r="F13" s="1334">
        <f ca="1">INDIRECT("'数据-取费表'!y"&amp;$G$1)</f>
        <v>0</v>
      </c>
      <c r="G13" s="1853"/>
      <c r="H13" s="1331">
        <v>2</v>
      </c>
      <c r="I13" s="1332" t="s">
        <v>1410</v>
      </c>
      <c r="J13" s="1292">
        <f ca="1">ROUND(J14*J15,0)</f>
        <v>0</v>
      </c>
      <c r="K13" s="1339" t="s">
        <v>1411</v>
      </c>
      <c r="L13" s="1854"/>
      <c r="M13" s="1855"/>
    </row>
    <row r="14" spans="1:37" ht="18" customHeight="1">
      <c r="A14" s="1203" t="s">
        <v>1031</v>
      </c>
      <c r="B14" s="347" t="s">
        <v>1413</v>
      </c>
      <c r="C14" s="363">
        <f ca="1">ROUND(INDIRECT("'数据-取费表'!l"&amp;$G$1)*F43+'数据-取费表'!L14*INDIRECT("'数据-取费表'!S"&amp;$G$1),0)</f>
        <v>0</v>
      </c>
      <c r="D14" s="1802" t="s">
        <v>1414</v>
      </c>
      <c r="E14" s="1796"/>
      <c r="F14" s="364"/>
      <c r="G14" s="1853"/>
      <c r="H14" s="1203" t="s">
        <v>1032</v>
      </c>
      <c r="I14" s="347" t="s">
        <v>1415</v>
      </c>
      <c r="J14" s="24">
        <f ca="1">C29</f>
        <v>0</v>
      </c>
      <c r="K14" s="15"/>
      <c r="L14" s="981"/>
      <c r="M14" s="982"/>
    </row>
    <row r="15" spans="1:37" s="1860" customFormat="1" ht="18" customHeight="1" thickBot="1">
      <c r="A15" s="1203" t="s">
        <v>1033</v>
      </c>
      <c r="B15" s="347" t="s">
        <v>1416</v>
      </c>
      <c r="C15" s="24">
        <f ca="1">ROUND(C14*F15,0)</f>
        <v>0</v>
      </c>
      <c r="D15" s="365" t="s">
        <v>1417</v>
      </c>
      <c r="E15" s="365" t="s">
        <v>1418</v>
      </c>
      <c r="F15" s="366">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1419</v>
      </c>
      <c r="C16" s="24">
        <f ca="1">ROUND(INDIRECT("'数据-取费表'!l"&amp;$G$1)*F43*F16,0)</f>
        <v>0</v>
      </c>
      <c r="D16" s="347" t="s">
        <v>1417</v>
      </c>
      <c r="E16" s="347" t="s">
        <v>1418</v>
      </c>
      <c r="F16" s="367">
        <f ca="1">IF(INDIRECT("'数据-取费表'!c"&amp;$G$1)="住宅",'数据-取费表'!B34,0)</f>
        <v>0</v>
      </c>
      <c r="G16" s="1853"/>
      <c r="H16" s="1331" t="s">
        <v>1027</v>
      </c>
      <c r="I16" s="1332" t="s">
        <v>1420</v>
      </c>
      <c r="J16" s="355">
        <f ca="1">ROUND(J17+J22+J23+J24,0)</f>
        <v>0</v>
      </c>
      <c r="K16" s="1339" t="s">
        <v>1421</v>
      </c>
      <c r="L16" s="1340"/>
      <c r="M16" s="1296"/>
    </row>
    <row r="17" spans="1:37" s="1860" customFormat="1" ht="18" customHeight="1">
      <c r="A17" s="1203" t="s">
        <v>1386</v>
      </c>
      <c r="B17" s="347" t="s">
        <v>1422</v>
      </c>
      <c r="C17" s="24">
        <f ca="1">ROUND(F17*(F43+INDIRECT("'数据-取费表'!S"&amp;$G$1)),0)</f>
        <v>0</v>
      </c>
      <c r="D17" s="347" t="s">
        <v>1423</v>
      </c>
      <c r="E17" s="347" t="s">
        <v>1424</v>
      </c>
      <c r="F17" s="26">
        <f>'数据-取费表'!B35</f>
        <v>200</v>
      </c>
      <c r="G17" s="1856"/>
      <c r="H17" s="1203" t="s">
        <v>1032</v>
      </c>
      <c r="I17" s="347" t="s">
        <v>1425</v>
      </c>
      <c r="J17" s="24">
        <f ca="1">ROUND(IF(项目基本情况!B11="自然人",J5*M17,J18+J19+J20),0)</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1428</v>
      </c>
      <c r="C18" s="24">
        <f ca="1">ROUND(C14*F18,0)</f>
        <v>0</v>
      </c>
      <c r="D18" s="347" t="s">
        <v>1417</v>
      </c>
      <c r="E18" s="347" t="s">
        <v>1418</v>
      </c>
      <c r="F18" s="367">
        <f>'数据-取费表'!B36</f>
        <v>1.4999999999999999E-2</v>
      </c>
      <c r="G18" s="1856"/>
      <c r="H18" s="1203" t="s">
        <v>1031</v>
      </c>
      <c r="I18" s="347" t="s">
        <v>1429</v>
      </c>
      <c r="J18" s="24">
        <f ca="1">ROUND(J5*M18/(1+'数据-取费表'!C42),0)</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7" t="s">
        <v>1431</v>
      </c>
      <c r="C19" s="24">
        <f ca="1">SUM(C14:C18)</f>
        <v>0</v>
      </c>
      <c r="D19" s="140" t="s">
        <v>1432</v>
      </c>
      <c r="E19" s="1820"/>
      <c r="F19" s="26"/>
      <c r="G19" s="1853"/>
      <c r="H19" s="1203" t="s">
        <v>1033</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3" t="s">
        <v>1036</v>
      </c>
      <c r="B20" s="347" t="s">
        <v>1435</v>
      </c>
      <c r="C20" s="24">
        <f ca="1">ROUND(C19*F20,0)</f>
        <v>0</v>
      </c>
      <c r="D20" s="369" t="s">
        <v>1436</v>
      </c>
      <c r="E20" s="347" t="s">
        <v>1418</v>
      </c>
      <c r="F20" s="367">
        <f>'数据-取费表'!B37</f>
        <v>0.02</v>
      </c>
      <c r="G20" s="1856"/>
      <c r="H20" s="1203" t="s">
        <v>1385</v>
      </c>
      <c r="I20" s="164" t="s">
        <v>1437</v>
      </c>
      <c r="J20" s="25">
        <f ca="1">ROUND(M20*M21,0)</f>
        <v>0</v>
      </c>
      <c r="K20" s="370" t="s">
        <v>1438</v>
      </c>
      <c r="L20" s="347" t="s">
        <v>1439</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7" t="s">
        <v>1440</v>
      </c>
      <c r="C21" s="24" t="s">
        <v>1</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1444</v>
      </c>
      <c r="C22" s="24"/>
      <c r="D22" s="140" t="str">
        <f>IF(F23&lt;=1,"单利计息。","复利计息。")&amp;"建造成本、管理费用、销售费用产生的利息。"</f>
        <v>复利计息。建造成本、管理费用、销售费用产生的利息。</v>
      </c>
      <c r="E22" s="1820"/>
      <c r="F22" s="26"/>
      <c r="G22" s="1853"/>
      <c r="H22" s="1203" t="s">
        <v>1036</v>
      </c>
      <c r="I22" s="347" t="s">
        <v>1445</v>
      </c>
      <c r="J22" s="24">
        <f ca="1">ROUND(J14*M22,0)</f>
        <v>0</v>
      </c>
      <c r="K22" s="1800" t="s">
        <v>1446</v>
      </c>
      <c r="L22" s="347" t="s">
        <v>1418</v>
      </c>
      <c r="M22" s="374">
        <f ca="1">INDIRECT("'数据-取费表'!Ak"&amp;$G$1)</f>
        <v>0</v>
      </c>
    </row>
    <row r="23" spans="1:37" s="1860" customFormat="1" ht="18" customHeight="1">
      <c r="A23" s="1203"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6"/>
      <c r="H23" s="1203" t="s">
        <v>1072</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1" t="s">
        <v>1389</v>
      </c>
      <c r="I24" s="1342" t="s">
        <v>1435</v>
      </c>
      <c r="J24" s="1343">
        <f ca="1">ROUND(J5*M24,0)</f>
        <v>0</v>
      </c>
      <c r="K24" s="1344" t="s">
        <v>1455</v>
      </c>
      <c r="L24" s="1342" t="s">
        <v>1451</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1456</v>
      </c>
      <c r="B25" s="347" t="s">
        <v>1457</v>
      </c>
      <c r="C25" s="24"/>
      <c r="D25" s="140" t="s">
        <v>1458</v>
      </c>
      <c r="E25" s="1820"/>
      <c r="F25" s="26"/>
      <c r="G25" s="1853"/>
      <c r="H25" s="1331" t="s">
        <v>1028</v>
      </c>
      <c r="I25" s="1346" t="s">
        <v>1459</v>
      </c>
      <c r="J25" s="355">
        <f ca="1">J5-J16</f>
        <v>0</v>
      </c>
      <c r="K25" s="1347" t="s">
        <v>1460</v>
      </c>
      <c r="L25" s="1348"/>
      <c r="M25" s="1349"/>
    </row>
    <row r="26" spans="1:37" ht="18" customHeight="1">
      <c r="A26" s="1203" t="s">
        <v>1031</v>
      </c>
      <c r="B26" s="347" t="s">
        <v>1461</v>
      </c>
      <c r="C26" s="24">
        <f ca="1">ROUND((C19+C20)*F26,0)</f>
        <v>0</v>
      </c>
      <c r="D26" s="369" t="s">
        <v>1462</v>
      </c>
      <c r="E26" s="358" t="s">
        <v>1463</v>
      </c>
      <c r="F26" s="357">
        <f ca="1">INDIRECT("'数据-取费表'!q"&amp;$G$1)</f>
        <v>0</v>
      </c>
      <c r="G26" s="1853"/>
      <c r="H26" s="344" t="s">
        <v>1029</v>
      </c>
      <c r="I26" s="345" t="s">
        <v>1464</v>
      </c>
      <c r="J26" s="346">
        <f ca="1">IF(J5&lt;&gt;0,ROUND(J25*(1-((1+M28)/(1+M26))^M27)/(M26-M28),0),0)</f>
        <v>0</v>
      </c>
      <c r="K26" s="370" t="s">
        <v>1465</v>
      </c>
      <c r="L26" s="347" t="s">
        <v>1466</v>
      </c>
      <c r="M26" s="357">
        <f ca="1">INDIRECT("'数据-取费表'!I"&amp;$G$1)</f>
        <v>0</v>
      </c>
    </row>
    <row r="27" spans="1:37" ht="18" customHeight="1">
      <c r="A27" s="1203" t="s">
        <v>1033</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3"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0</v>
      </c>
      <c r="D29" s="1344"/>
      <c r="E29" s="1342"/>
      <c r="F29" s="1345"/>
      <c r="G29" s="1856"/>
      <c r="H29" s="380" t="s">
        <v>1030</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0</v>
      </c>
      <c r="D30" s="1339" t="s">
        <v>1421</v>
      </c>
      <c r="E30" s="1340"/>
      <c r="F30" s="1296"/>
      <c r="G30" s="1853"/>
      <c r="H30" s="745"/>
      <c r="I30" s="746"/>
      <c r="J30" s="747"/>
      <c r="K30" s="748"/>
      <c r="L30" s="749"/>
      <c r="M30" s="750"/>
    </row>
    <row r="31" spans="1:37" ht="18" customHeight="1">
      <c r="A31" s="1203" t="s">
        <v>1032</v>
      </c>
      <c r="B31" s="347" t="s">
        <v>1425</v>
      </c>
      <c r="C31" s="24">
        <f ca="1">ROUND(IF(项目基本情况!B11="自然人",C5*F31,C32+C33+C34),0)</f>
        <v>0</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1031</v>
      </c>
      <c r="B32" s="347" t="s">
        <v>1429</v>
      </c>
      <c r="C32" s="24">
        <f ca="1">IF(项目基本情况!B11="自然人","——",ROUND(C5*F32/(1+'数据-取费表'!C42),0))</f>
        <v>0</v>
      </c>
      <c r="D32" s="1800" t="s">
        <v>1430</v>
      </c>
      <c r="E32" s="347" t="s">
        <v>1418</v>
      </c>
      <c r="F32" s="377">
        <f>'数据-取费表'!B41</f>
        <v>5.6000000000000001E-2</v>
      </c>
      <c r="G32" s="1853"/>
      <c r="H32" s="745"/>
      <c r="I32" s="746"/>
      <c r="J32" s="747"/>
      <c r="K32" s="748"/>
      <c r="L32" s="749"/>
      <c r="M32" s="750"/>
    </row>
    <row r="33" spans="1:18" ht="18" customHeight="1">
      <c r="A33" s="1203" t="s">
        <v>1033</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3" t="s">
        <v>1385</v>
      </c>
      <c r="B34" s="164" t="s">
        <v>1437</v>
      </c>
      <c r="C34" s="25">
        <f ca="1">IF(项目基本情况!B11="自然人","——",ROUND(F34*F35,))</f>
        <v>0</v>
      </c>
      <c r="D34" s="370" t="s">
        <v>1438</v>
      </c>
      <c r="E34" s="347" t="s">
        <v>1439</v>
      </c>
      <c r="F34" s="371">
        <f>'数据-取费表'!B52</f>
        <v>3</v>
      </c>
      <c r="G34" s="1853"/>
      <c r="H34" s="745"/>
      <c r="I34" s="1862"/>
      <c r="J34" s="1863"/>
      <c r="K34" s="1865"/>
      <c r="L34" s="1866"/>
      <c r="M34" s="1866"/>
    </row>
    <row r="35" spans="1:18" ht="18" customHeight="1">
      <c r="A35" s="1355"/>
      <c r="B35" s="1353"/>
      <c r="C35" s="29"/>
      <c r="D35" s="373"/>
      <c r="E35" s="347" t="s">
        <v>1443</v>
      </c>
      <c r="F35" s="348">
        <f ca="1">INDIRECT("'数据-取费表'!r"&amp;$G$1)</f>
        <v>0</v>
      </c>
      <c r="G35" s="1853"/>
      <c r="H35" s="745"/>
      <c r="I35" s="1862"/>
      <c r="J35" s="1863"/>
      <c r="K35" s="1864"/>
      <c r="L35" s="1861"/>
      <c r="M35" s="1861"/>
    </row>
    <row r="36" spans="1:18" ht="18" customHeight="1">
      <c r="A36" s="1354" t="s">
        <v>1036</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3" t="s">
        <v>1072</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1" t="s">
        <v>1389</v>
      </c>
      <c r="B38" s="1342" t="s">
        <v>1435</v>
      </c>
      <c r="C38" s="1343">
        <f ca="1">ROUND(C5*F38,1)</f>
        <v>0</v>
      </c>
      <c r="D38" s="1344" t="s">
        <v>1455</v>
      </c>
      <c r="E38" s="1342" t="s">
        <v>1451</v>
      </c>
      <c r="F38" s="1338">
        <f ca="1">INDIRECT("'数据-取费表'!Am"&amp;$G$1)</f>
        <v>0</v>
      </c>
      <c r="G38" s="1853"/>
      <c r="H38" s="1861"/>
      <c r="I38" s="1862"/>
      <c r="J38" s="1863"/>
      <c r="K38" s="1867"/>
      <c r="L38" s="1861"/>
      <c r="M38" s="1861"/>
    </row>
    <row r="39" spans="1:18" ht="24.6" customHeight="1" thickTop="1">
      <c r="A39" s="1331" t="s">
        <v>1028</v>
      </c>
      <c r="B39" s="1346" t="s">
        <v>1479</v>
      </c>
      <c r="C39" s="355">
        <f ca="1">C5-C30</f>
        <v>0</v>
      </c>
      <c r="D39" s="1347" t="s">
        <v>1480</v>
      </c>
      <c r="E39" s="1348"/>
      <c r="F39" s="1349"/>
      <c r="G39" s="1853"/>
      <c r="H39" s="1861"/>
      <c r="I39" s="1862"/>
      <c r="J39" s="1863"/>
      <c r="K39" s="1867"/>
      <c r="L39" s="1861"/>
      <c r="M39" s="1861"/>
    </row>
    <row r="40" spans="1:18" ht="18" customHeight="1">
      <c r="A40" s="344" t="s">
        <v>1029</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7" t="s">
        <v>1392</v>
      </c>
      <c r="B47" s="1199" t="s">
        <v>1393</v>
      </c>
      <c r="C47" s="1199" t="s">
        <v>1394</v>
      </c>
      <c r="D47" s="1199" t="s">
        <v>1395</v>
      </c>
      <c r="E47" s="1281" t="s">
        <v>1396</v>
      </c>
      <c r="F47" s="1282"/>
      <c r="G47" s="792"/>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28.5" thickBot="1">
      <c r="A48" s="1362" t="s">
        <v>1132</v>
      </c>
      <c r="B48" s="345" t="s">
        <v>1397</v>
      </c>
      <c r="C48" s="1819">
        <f ca="1">C49+C53+C55</f>
        <v>0</v>
      </c>
      <c r="D48" s="1364"/>
      <c r="E48" s="1365"/>
      <c r="F48" s="1183"/>
      <c r="G48" s="792"/>
      <c r="H48" s="793"/>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6" t="s">
        <v>1133</v>
      </c>
      <c r="B49" s="1831" t="s">
        <v>1486</v>
      </c>
      <c r="C49" s="1366">
        <f ca="1">ROUND(F49*F51*F50*(1-F52),0)</f>
        <v>0</v>
      </c>
      <c r="D49" s="1278" t="s">
        <v>1400</v>
      </c>
      <c r="E49" s="1832" t="s">
        <v>1487</v>
      </c>
      <c r="F49" s="1283"/>
      <c r="G49" s="1893"/>
      <c r="H49" s="793"/>
      <c r="I49" s="1889" t="s">
        <v>1530</v>
      </c>
      <c r="J49" s="1894"/>
      <c r="K49" s="1891" t="s">
        <v>1531</v>
      </c>
      <c r="L49" s="1895"/>
      <c r="O49" s="1896" t="s">
        <v>1039</v>
      </c>
      <c r="P49" s="1887" t="s">
        <v>1532</v>
      </c>
      <c r="Q49" s="1888">
        <f ca="1">C29</f>
        <v>0</v>
      </c>
      <c r="R49" s="1888" t="s">
        <v>1525</v>
      </c>
    </row>
    <row r="50" spans="1:18" s="1844" customFormat="1" ht="13.5" thickBot="1">
      <c r="A50" s="1197"/>
      <c r="B50" s="1200"/>
      <c r="C50" s="1201"/>
      <c r="D50" s="1174"/>
      <c r="E50" s="1279" t="s">
        <v>1402</v>
      </c>
      <c r="F50" s="1280">
        <f ca="1">F7</f>
        <v>0</v>
      </c>
      <c r="H50" s="793"/>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8"/>
      <c r="B51" s="1200"/>
      <c r="C51" s="1201"/>
      <c r="D51" s="1174"/>
      <c r="E51" s="1202" t="s">
        <v>1403</v>
      </c>
      <c r="F51" s="348">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8"/>
      <c r="B52" s="1200"/>
      <c r="C52" s="1201"/>
      <c r="D52" s="1174"/>
      <c r="E52" s="1202" t="s">
        <v>1404</v>
      </c>
      <c r="F52" s="1277"/>
      <c r="I52" s="1905" t="s">
        <v>1539</v>
      </c>
      <c r="J52" s="1906"/>
      <c r="K52" s="1905" t="s">
        <v>1540</v>
      </c>
      <c r="L52" s="1906"/>
      <c r="O52" s="1896" t="s">
        <v>1042</v>
      </c>
      <c r="P52" s="1887" t="s">
        <v>1541</v>
      </c>
      <c r="Q52" s="1888" t="b">
        <f>J53</f>
        <v>0</v>
      </c>
      <c r="R52" s="1888" t="s">
        <v>1542</v>
      </c>
    </row>
    <row r="53" spans="1:18" s="1844" customFormat="1" ht="30.75" customHeight="1" thickBot="1">
      <c r="A53" s="1363" t="s">
        <v>1134</v>
      </c>
      <c r="B53" s="369" t="s">
        <v>1405</v>
      </c>
      <c r="C53" s="361">
        <f ca="1">ROUND(IF(F53="押一",C49/12*F11,IF(F53="押二",C49/12*2*F11,IF(F53="押三",C49/12*3*F11,C54*F11))),0)</f>
        <v>0</v>
      </c>
      <c r="D53" s="1826" t="s">
        <v>3039</v>
      </c>
      <c r="E53" s="358" t="s">
        <v>1406</v>
      </c>
      <c r="F53" s="1368"/>
      <c r="I53" s="1907" t="s">
        <v>1543</v>
      </c>
      <c r="J53" s="1908" t="b">
        <f>IF(M47="住宅",IF(D1="——",MAX(J51,L48),IF(D1="在建（套用方法）",MAX(J51,L48-'数据-取费表'!B24),MAX(J51,L48-'数据-取费表'!B20))),IF(D1="——",MIN(J51,L48),IF(D1="在建（套用方法）",MIN(J51,L48-'数据-取费表'!B24),IF(D1="土地（套用方法）",MIN(J51,L48-'数据-取费表'!B20)))))</f>
        <v>0</v>
      </c>
      <c r="K53" s="3357" t="s">
        <v>1544</v>
      </c>
      <c r="L53" s="3358"/>
      <c r="O53" s="1886" t="s">
        <v>1043</v>
      </c>
      <c r="P53" s="1887" t="s">
        <v>1545</v>
      </c>
      <c r="Q53" s="1888" t="e">
        <f ca="1">Q47+Q48</f>
        <v>#DIV/0!</v>
      </c>
      <c r="R53" s="1888" t="s">
        <v>1044</v>
      </c>
    </row>
    <row r="54" spans="1:18" s="1844" customFormat="1" ht="13.5" thickBot="1">
      <c r="A54" s="1196"/>
      <c r="B54" s="1943" t="s">
        <v>1599</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8">
        <v>2</v>
      </c>
      <c r="B56" s="1179" t="s">
        <v>1410</v>
      </c>
      <c r="C56" s="276">
        <f ca="1">C13</f>
        <v>0</v>
      </c>
      <c r="D56" s="1916"/>
      <c r="E56" s="1917"/>
      <c r="F56" s="1909"/>
      <c r="I56" s="1918" t="s">
        <v>1550</v>
      </c>
      <c r="J56" s="1919"/>
      <c r="K56" s="1889" t="s">
        <v>1551</v>
      </c>
      <c r="L56" s="1892">
        <f ca="1">IF(L48&lt;J51,"——",L48-J51)</f>
        <v>0</v>
      </c>
      <c r="O56" s="1886" t="s">
        <v>1037</v>
      </c>
      <c r="P56" s="1887" t="s">
        <v>1524</v>
      </c>
      <c r="Q56" s="1888" t="e">
        <f ca="1">C40+J29</f>
        <v>#DIV/0!</v>
      </c>
      <c r="R56" s="1888" t="s">
        <v>1525</v>
      </c>
    </row>
    <row r="57" spans="1:18" s="1844" customFormat="1" ht="24.75" thickBot="1">
      <c r="A57" s="1920"/>
      <c r="B57" s="1171"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1038</v>
      </c>
      <c r="P57" s="1887" t="s">
        <v>1602</v>
      </c>
      <c r="Q57" s="1888" t="e">
        <f ca="1">L60</f>
        <v>#DIV/0!</v>
      </c>
      <c r="R57" s="1888" t="s">
        <v>1603</v>
      </c>
    </row>
    <row r="58" spans="1:18" s="1844" customFormat="1" ht="24.75" thickBot="1">
      <c r="A58" s="360" t="s">
        <v>1027</v>
      </c>
      <c r="B58" s="1179" t="s">
        <v>1420</v>
      </c>
      <c r="C58" s="361">
        <f ca="1">ROUND(C59+C64+C65+C66,0)</f>
        <v>0</v>
      </c>
      <c r="D58" s="1181" t="s">
        <v>1421</v>
      </c>
      <c r="E58" s="1182"/>
      <c r="F58" s="1183"/>
      <c r="I58" s="1924" t="s">
        <v>1556</v>
      </c>
      <c r="J58" s="1926" t="e">
        <f ca="1">IF(J55&lt;0.4,0.4,J55)</f>
        <v>#DIV/0!</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4">
        <f ca="1">ROUND(IF(项目基本情况!B11="自然人",C48*F59,C60+C61+C62),0)</f>
        <v>0</v>
      </c>
      <c r="D59" s="1184" t="s">
        <v>1426</v>
      </c>
      <c r="E59" s="1185"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4">
        <f ca="1">IF(项目基本情况!B11="自然人","——",ROUND(C48*F60/(1+'数据-取费表'!C42),0))</f>
        <v>0</v>
      </c>
      <c r="D60" s="1185" t="s">
        <v>1430</v>
      </c>
      <c r="E60" s="1171"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5" thickBot="1">
      <c r="A61" s="1203" t="s">
        <v>1488</v>
      </c>
      <c r="B61" s="1171" t="s">
        <v>1489</v>
      </c>
      <c r="C61" s="24">
        <f ca="1">IF(项目基本情况!B11="自然人","——",IF(D61="按租金收入计税",ROUND(C48*F61,0),IF(D61="按房产原值计税",ROUND(C57*F61*0.7,0),INDIRECT("'数据-取费表'!Aj"&amp;$G$1))))</f>
        <v>0</v>
      </c>
      <c r="D61" s="1830" t="s">
        <v>1434</v>
      </c>
      <c r="E61" s="1171" t="s">
        <v>1490</v>
      </c>
      <c r="F61" s="367">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3" t="s">
        <v>1491</v>
      </c>
      <c r="B62" s="1170" t="s">
        <v>1492</v>
      </c>
      <c r="C62" s="25">
        <f ca="1">IF(项目基本情况!B11="自然人","——",ROUND(F62*F63,0))</f>
        <v>0</v>
      </c>
      <c r="D62" s="1186" t="s">
        <v>1493</v>
      </c>
      <c r="E62" s="1171" t="s">
        <v>1494</v>
      </c>
      <c r="F62" s="371">
        <f t="shared" si="0"/>
        <v>3</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5" thickBot="1">
      <c r="A63" s="372"/>
      <c r="B63" s="1177"/>
      <c r="C63" s="29"/>
      <c r="D63" s="1187"/>
      <c r="E63" s="1171"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3" t="s">
        <v>1496</v>
      </c>
      <c r="B64" s="1171" t="s">
        <v>1497</v>
      </c>
      <c r="C64" s="24">
        <f ca="1">ROUND(C57*F64,0)</f>
        <v>0</v>
      </c>
      <c r="D64" s="1185" t="s">
        <v>1498</v>
      </c>
      <c r="E64" s="1171"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4">
        <f ca="1">ROUND(C56*F65,0)</f>
        <v>0</v>
      </c>
      <c r="D65" s="1185" t="s">
        <v>1450</v>
      </c>
      <c r="E65" s="1171" t="s">
        <v>1451</v>
      </c>
      <c r="F65" s="376">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5" thickBot="1">
      <c r="A66" s="1203" t="s">
        <v>1500</v>
      </c>
      <c r="B66" s="1171" t="s">
        <v>1435</v>
      </c>
      <c r="C66" s="24">
        <f ca="1">ROUND(C48*F66,0)</f>
        <v>0</v>
      </c>
      <c r="D66" s="1185" t="s">
        <v>1501</v>
      </c>
      <c r="E66" s="1171" t="s">
        <v>1418</v>
      </c>
      <c r="F66" s="357">
        <f t="shared" ca="1" si="0"/>
        <v>0</v>
      </c>
      <c r="O66" s="1886" t="s">
        <v>1038</v>
      </c>
      <c r="P66" s="1887" t="s">
        <v>1554</v>
      </c>
      <c r="Q66" s="1888" t="e">
        <f ca="1">L60</f>
        <v>#DIV/0!</v>
      </c>
      <c r="R66" s="1888" t="s">
        <v>1577</v>
      </c>
    </row>
    <row r="67" spans="1:18" s="1844" customFormat="1" ht="16.5" thickBot="1">
      <c r="A67" s="1178" t="s">
        <v>1028</v>
      </c>
      <c r="B67" s="1188" t="s">
        <v>1459</v>
      </c>
      <c r="C67" s="361">
        <f ca="1">C48-C58</f>
        <v>0</v>
      </c>
      <c r="D67" s="1184" t="s">
        <v>1460</v>
      </c>
      <c r="E67" s="1189"/>
      <c r="F67" s="1190"/>
      <c r="O67" s="1896" t="s">
        <v>1039</v>
      </c>
      <c r="P67" s="1887" t="s">
        <v>1558</v>
      </c>
      <c r="Q67" s="1935">
        <f ca="1">L51</f>
        <v>0</v>
      </c>
      <c r="R67" s="1888" t="s">
        <v>1578</v>
      </c>
    </row>
    <row r="68" spans="1:18" s="1844" customFormat="1" ht="16.5" thickBot="1">
      <c r="A68" s="1168" t="s">
        <v>1029</v>
      </c>
      <c r="B68" s="1169" t="s">
        <v>1481</v>
      </c>
      <c r="C68" s="346" t="e">
        <f ca="1">ROUND(C67*(1-((1+F70)/(1+F68))^F69)/(F68-F70),0)</f>
        <v>#DIV/0!</v>
      </c>
      <c r="D68" s="1186" t="s">
        <v>1465</v>
      </c>
      <c r="E68" s="1171" t="s">
        <v>1466</v>
      </c>
      <c r="F68" s="357">
        <f ca="1">F40</f>
        <v>0</v>
      </c>
      <c r="O68" s="1896" t="s">
        <v>1040</v>
      </c>
      <c r="P68" s="1936" t="s">
        <v>1579</v>
      </c>
      <c r="Q68" s="1888">
        <f ca="1">ROUND(Q69-Q70*Q71,0)</f>
        <v>0</v>
      </c>
      <c r="R68" s="1888" t="s">
        <v>1048</v>
      </c>
    </row>
    <row r="69" spans="1:18" s="1844" customFormat="1" ht="13.5" thickBot="1">
      <c r="A69" s="1172"/>
      <c r="B69" s="1173"/>
      <c r="C69" s="351"/>
      <c r="D69" s="1191" t="s">
        <v>1469</v>
      </c>
      <c r="E69" s="1171" t="s">
        <v>1470</v>
      </c>
      <c r="F69" s="379">
        <f ca="1">F41</f>
        <v>0</v>
      </c>
      <c r="O69" s="1896" t="s">
        <v>1045</v>
      </c>
      <c r="P69" s="1936" t="s">
        <v>1580</v>
      </c>
      <c r="Q69" s="1888">
        <f ca="1">C39</f>
        <v>0</v>
      </c>
      <c r="R69" s="1888" t="s">
        <v>1525</v>
      </c>
    </row>
    <row r="70" spans="1:18" s="1844" customFormat="1" ht="13.5" thickBot="1">
      <c r="A70" s="1175"/>
      <c r="B70" s="1176"/>
      <c r="C70" s="355"/>
      <c r="D70" s="1187"/>
      <c r="E70" s="1171" t="s">
        <v>1473</v>
      </c>
      <c r="F70" s="1277">
        <f ca="1">F42</f>
        <v>0</v>
      </c>
      <c r="O70" s="1896" t="s">
        <v>1046</v>
      </c>
      <c r="P70" s="1936" t="s">
        <v>1581</v>
      </c>
      <c r="Q70" s="1888">
        <f ca="1">C13</f>
        <v>0</v>
      </c>
      <c r="R70" s="1888" t="s">
        <v>1525</v>
      </c>
    </row>
    <row r="71" spans="1:18" s="1844" customFormat="1" ht="13.5" thickBot="1">
      <c r="A71" s="1192" t="s">
        <v>1030</v>
      </c>
      <c r="B71" s="1193" t="s">
        <v>1483</v>
      </c>
      <c r="C71" s="382" t="e">
        <f ca="1">ROUND(C68/F71,0)</f>
        <v>#DIV/0!</v>
      </c>
      <c r="D71" s="1194" t="s">
        <v>1484</v>
      </c>
      <c r="E71" s="1195" t="s">
        <v>1485</v>
      </c>
      <c r="F71" s="385">
        <f ca="1">F43</f>
        <v>0</v>
      </c>
      <c r="O71" s="1896" t="s">
        <v>1047</v>
      </c>
      <c r="P71" s="1936" t="s">
        <v>1582</v>
      </c>
      <c r="Q71" s="1899">
        <f ca="1">C76</f>
        <v>0</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1043</v>
      </c>
      <c r="P75" s="1887" t="s">
        <v>1545</v>
      </c>
      <c r="Q75" s="1888" t="e">
        <f ca="1">Q65+Q66</f>
        <v>#DIV/0!</v>
      </c>
      <c r="R75" s="1888" t="s">
        <v>1044</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B6" sqref="B6:C6"/>
    </sheetView>
  </sheetViews>
  <sheetFormatPr defaultColWidth="8.875" defaultRowHeight="13.5"/>
  <cols>
    <col min="1" max="1" width="10.5" customWidth="1"/>
    <col min="2" max="2" width="12.875" customWidth="1"/>
    <col min="3" max="3" width="8.875" customWidth="1"/>
  </cols>
  <sheetData>
    <row r="1" spans="1:9" ht="14.25">
      <c r="A1" s="3363" t="s">
        <v>1073</v>
      </c>
      <c r="B1" s="3364"/>
      <c r="C1" s="3365"/>
      <c r="D1" s="3366">
        <f>SUM(I10,I15,I20,I21,I23)</f>
        <v>0</v>
      </c>
      <c r="E1" s="3366"/>
      <c r="F1" s="3366"/>
      <c r="G1" s="3366"/>
      <c r="H1" s="3366"/>
      <c r="I1" s="3367"/>
    </row>
    <row r="2" spans="1:9">
      <c r="A2" s="3368" t="s">
        <v>1074</v>
      </c>
      <c r="B2" s="3369" t="s">
        <v>1075</v>
      </c>
      <c r="C2" s="3369"/>
      <c r="D2" s="1303" t="s">
        <v>1076</v>
      </c>
      <c r="E2" s="1303" t="s">
        <v>1077</v>
      </c>
      <c r="F2" s="1303" t="s">
        <v>1078</v>
      </c>
      <c r="G2" s="1303" t="s">
        <v>1079</v>
      </c>
      <c r="H2" s="1303" t="s">
        <v>1080</v>
      </c>
      <c r="I2" s="1304" t="s">
        <v>1081</v>
      </c>
    </row>
    <row r="3" spans="1:9">
      <c r="A3" s="3368"/>
      <c r="B3" s="3369" t="s">
        <v>1082</v>
      </c>
      <c r="C3" s="3369"/>
      <c r="D3" s="1305"/>
      <c r="E3" s="1303"/>
      <c r="F3" s="1306"/>
      <c r="G3" s="1306"/>
      <c r="H3" s="1307"/>
      <c r="I3" s="1308">
        <f>ROUND(D3*E3*F3*G3*H3/10000,0)</f>
        <v>0</v>
      </c>
    </row>
    <row r="4" spans="1:9">
      <c r="A4" s="3368"/>
      <c r="B4" s="3369" t="s">
        <v>1083</v>
      </c>
      <c r="C4" s="3369"/>
      <c r="D4" s="1305"/>
      <c r="E4" s="1303"/>
      <c r="F4" s="1306"/>
      <c r="G4" s="1306"/>
      <c r="H4" s="1307"/>
      <c r="I4" s="1308">
        <f t="shared" ref="I4:I9" si="0">ROUND(D4*E4*F4*G4*H4/10000,0)</f>
        <v>0</v>
      </c>
    </row>
    <row r="5" spans="1:9">
      <c r="A5" s="3368"/>
      <c r="B5" s="3369" t="s">
        <v>1084</v>
      </c>
      <c r="C5" s="3369"/>
      <c r="D5" s="1305"/>
      <c r="E5" s="1303"/>
      <c r="F5" s="1306"/>
      <c r="G5" s="1306"/>
      <c r="H5" s="1307"/>
      <c r="I5" s="1308">
        <f t="shared" si="0"/>
        <v>0</v>
      </c>
    </row>
    <row r="6" spans="1:9">
      <c r="A6" s="3368"/>
      <c r="B6" s="3369" t="s">
        <v>1085</v>
      </c>
      <c r="C6" s="3369"/>
      <c r="D6" s="1305"/>
      <c r="E6" s="1303"/>
      <c r="F6" s="1306"/>
      <c r="G6" s="1306"/>
      <c r="H6" s="1307"/>
      <c r="I6" s="1308">
        <f t="shared" si="0"/>
        <v>0</v>
      </c>
    </row>
    <row r="7" spans="1:9">
      <c r="A7" s="3368"/>
      <c r="B7" s="3369" t="s">
        <v>1086</v>
      </c>
      <c r="C7" s="3369"/>
      <c r="D7" s="1305"/>
      <c r="E7" s="1303"/>
      <c r="F7" s="1306"/>
      <c r="G7" s="1306"/>
      <c r="H7" s="1307"/>
      <c r="I7" s="1308">
        <f t="shared" si="0"/>
        <v>0</v>
      </c>
    </row>
    <row r="8" spans="1:9">
      <c r="A8" s="3368"/>
      <c r="B8" s="3369" t="s">
        <v>1087</v>
      </c>
      <c r="C8" s="3369"/>
      <c r="D8" s="1305"/>
      <c r="E8" s="1303"/>
      <c r="F8" s="1306"/>
      <c r="G8" s="1306"/>
      <c r="H8" s="1307"/>
      <c r="I8" s="1308">
        <f t="shared" si="0"/>
        <v>0</v>
      </c>
    </row>
    <row r="9" spans="1:9">
      <c r="A9" s="3368"/>
      <c r="B9" s="3369" t="s">
        <v>1088</v>
      </c>
      <c r="C9" s="3369"/>
      <c r="D9" s="1305"/>
      <c r="E9" s="1303"/>
      <c r="F9" s="1306"/>
      <c r="G9" s="1306"/>
      <c r="H9" s="1307"/>
      <c r="I9" s="1308">
        <f t="shared" si="0"/>
        <v>0</v>
      </c>
    </row>
    <row r="10" spans="1:9">
      <c r="A10" s="3368"/>
      <c r="B10" s="3370" t="s">
        <v>1089</v>
      </c>
      <c r="C10" s="3370"/>
      <c r="D10" s="1309"/>
      <c r="E10" s="1309" t="e">
        <f>ROUND(D1*10000/D10/H9,0)</f>
        <v>#DIV/0!</v>
      </c>
      <c r="F10" s="1310"/>
      <c r="G10" s="1310"/>
      <c r="H10" s="1311"/>
      <c r="I10" s="1312">
        <f>SUM(I3:I9)</f>
        <v>0</v>
      </c>
    </row>
    <row r="11" spans="1:9" ht="14.25">
      <c r="A11" s="3368" t="s">
        <v>1090</v>
      </c>
      <c r="B11" s="3369" t="s">
        <v>1091</v>
      </c>
      <c r="C11" s="3369"/>
      <c r="D11" s="1305" t="s">
        <v>1092</v>
      </c>
      <c r="E11" s="1305" t="s">
        <v>1093</v>
      </c>
      <c r="F11" s="1306" t="s">
        <v>1094</v>
      </c>
      <c r="G11" s="1306" t="s">
        <v>1080</v>
      </c>
      <c r="H11" s="1313" t="s">
        <v>1095</v>
      </c>
      <c r="I11" s="1304" t="s">
        <v>1081</v>
      </c>
    </row>
    <row r="12" spans="1:9">
      <c r="A12" s="3368"/>
      <c r="B12" s="3369" t="s">
        <v>1096</v>
      </c>
      <c r="C12" s="3369"/>
      <c r="D12" s="1305"/>
      <c r="E12" s="1305"/>
      <c r="F12" s="1306"/>
      <c r="G12" s="1307"/>
      <c r="H12" s="1314"/>
      <c r="I12" s="1304">
        <f>ROUND(D12*E12*F12*G12/10000,0)</f>
        <v>0</v>
      </c>
    </row>
    <row r="13" spans="1:9">
      <c r="A13" s="3368"/>
      <c r="B13" s="3369" t="s">
        <v>1097</v>
      </c>
      <c r="C13" s="3369"/>
      <c r="D13" s="1305"/>
      <c r="E13" s="1305"/>
      <c r="F13" s="1306"/>
      <c r="G13" s="1307"/>
      <c r="H13" s="1314"/>
      <c r="I13" s="1304">
        <f>ROUND(D13*E13*F13*G13/10000,0)</f>
        <v>0</v>
      </c>
    </row>
    <row r="14" spans="1:9">
      <c r="A14" s="3368"/>
      <c r="B14" s="3369" t="s">
        <v>1098</v>
      </c>
      <c r="C14" s="3369"/>
      <c r="D14" s="1305"/>
      <c r="E14" s="1305"/>
      <c r="F14" s="1306"/>
      <c r="G14" s="1307"/>
      <c r="H14" s="1314"/>
      <c r="I14" s="1304">
        <f>ROUND(D14*E14*F14*G14/10000,0)</f>
        <v>0</v>
      </c>
    </row>
    <row r="15" spans="1:9">
      <c r="A15" s="3368"/>
      <c r="B15" s="3370" t="s">
        <v>1089</v>
      </c>
      <c r="C15" s="3370"/>
      <c r="D15" s="1309"/>
      <c r="E15" s="1309">
        <f>SUM(E12:E14)</f>
        <v>0</v>
      </c>
      <c r="F15" s="1310"/>
      <c r="G15" s="1307"/>
      <c r="H15" s="1314"/>
      <c r="I15" s="1315">
        <f>SUM(I12:I14)</f>
        <v>0</v>
      </c>
    </row>
    <row r="16" spans="1:9" ht="24">
      <c r="A16" s="3368" t="s">
        <v>1099</v>
      </c>
      <c r="B16" s="3369" t="s">
        <v>1100</v>
      </c>
      <c r="C16" s="3369"/>
      <c r="D16" s="1305" t="s">
        <v>1076</v>
      </c>
      <c r="E16" s="1316" t="s">
        <v>1101</v>
      </c>
      <c r="F16" s="1306" t="s">
        <v>1102</v>
      </c>
      <c r="G16" s="1307" t="s">
        <v>1080</v>
      </c>
      <c r="H16" s="1313" t="s">
        <v>1095</v>
      </c>
      <c r="I16" s="1304" t="s">
        <v>1081</v>
      </c>
    </row>
    <row r="17" spans="1:9" ht="14.25">
      <c r="A17" s="3368"/>
      <c r="B17" s="3369" t="s">
        <v>1103</v>
      </c>
      <c r="C17" s="3369"/>
      <c r="D17" s="1305"/>
      <c r="E17" s="1305"/>
      <c r="F17" s="1306"/>
      <c r="G17" s="1307"/>
      <c r="H17" s="1317"/>
      <c r="I17" s="1318">
        <f>ROUND(D17*E17*F17*G17/10000,0)</f>
        <v>0</v>
      </c>
    </row>
    <row r="18" spans="1:9" ht="14.25">
      <c r="A18" s="3368"/>
      <c r="B18" s="3369" t="s">
        <v>1104</v>
      </c>
      <c r="C18" s="3369"/>
      <c r="D18" s="1305"/>
      <c r="E18" s="1305"/>
      <c r="F18" s="1306"/>
      <c r="G18" s="1307"/>
      <c r="H18" s="1317"/>
      <c r="I18" s="1318">
        <f>ROUND(D18*E18*F18*G18/10000,0)</f>
        <v>0</v>
      </c>
    </row>
    <row r="19" spans="1:9" ht="14.25">
      <c r="A19" s="3368"/>
      <c r="B19" s="3369" t="s">
        <v>1105</v>
      </c>
      <c r="C19" s="3369"/>
      <c r="D19" s="1305"/>
      <c r="E19" s="1305"/>
      <c r="F19" s="1306"/>
      <c r="G19" s="1307"/>
      <c r="H19" s="1317"/>
      <c r="I19" s="1318">
        <f>ROUND(D19*E19*F19*G19/10000,0)</f>
        <v>0</v>
      </c>
    </row>
    <row r="20" spans="1:9">
      <c r="A20" s="3368"/>
      <c r="B20" s="3370" t="s">
        <v>1089</v>
      </c>
      <c r="C20" s="3370"/>
      <c r="D20" s="1309">
        <f>SUM(D17:D19)</f>
        <v>0</v>
      </c>
      <c r="E20" s="1309"/>
      <c r="F20" s="1310"/>
      <c r="G20" s="1307"/>
      <c r="H20" s="1314"/>
      <c r="I20" s="1315">
        <f>SUM(I17:I19)</f>
        <v>0</v>
      </c>
    </row>
    <row r="21" spans="1:9">
      <c r="A21" s="3368" t="s">
        <v>1106</v>
      </c>
      <c r="B21" s="3372"/>
      <c r="C21" s="3372"/>
      <c r="D21" s="3372"/>
      <c r="E21" s="3372"/>
      <c r="F21" s="3372"/>
      <c r="G21" s="3372"/>
      <c r="H21" s="1767">
        <v>0.1</v>
      </c>
      <c r="I21" s="1312">
        <f>ROUND(I10*H21,0)</f>
        <v>0</v>
      </c>
    </row>
    <row r="22" spans="1:9" ht="14.25">
      <c r="A22" s="3373" t="s">
        <v>1107</v>
      </c>
      <c r="B22" s="3374"/>
      <c r="C22" s="3375"/>
      <c r="D22" s="1319" t="s">
        <v>1108</v>
      </c>
      <c r="E22" s="1319" t="s">
        <v>1109</v>
      </c>
      <c r="F22" s="1320" t="s">
        <v>1110</v>
      </c>
      <c r="G22" s="1320" t="s">
        <v>1111</v>
      </c>
      <c r="H22" s="1313" t="s">
        <v>1112</v>
      </c>
      <c r="I22" s="1304" t="s">
        <v>1113</v>
      </c>
    </row>
    <row r="23" spans="1:9" ht="14.25" thickBot="1">
      <c r="A23" s="3376"/>
      <c r="B23" s="3377"/>
      <c r="C23" s="3378"/>
      <c r="D23" s="1321"/>
      <c r="E23" s="1321"/>
      <c r="F23" s="1321"/>
      <c r="G23" s="1322"/>
      <c r="H23" s="1323"/>
      <c r="I23" s="1324">
        <f>ROUND(E23*D23*F23*(1-G23)/10000,0)</f>
        <v>0</v>
      </c>
    </row>
    <row r="26" spans="1:9">
      <c r="A26" s="1325" t="s">
        <v>1114</v>
      </c>
      <c r="B26" s="1325"/>
      <c r="C26" s="1325"/>
      <c r="D26" s="1325"/>
      <c r="E26" s="3379">
        <f>C27-C30-C31-C32</f>
        <v>0</v>
      </c>
      <c r="F26" s="3379"/>
      <c r="G26" s="3379"/>
      <c r="H26" s="1739" t="s">
        <v>1336</v>
      </c>
    </row>
    <row r="27" spans="1:9">
      <c r="A27" s="1326">
        <v>1</v>
      </c>
      <c r="B27" s="1327" t="s">
        <v>1115</v>
      </c>
      <c r="C27" s="1327">
        <f>C28+C29</f>
        <v>0</v>
      </c>
      <c r="D27" s="1327"/>
      <c r="E27" s="3380"/>
      <c r="F27" s="3380"/>
      <c r="G27" s="3380"/>
    </row>
    <row r="28" spans="1:9">
      <c r="A28" s="1328" t="s">
        <v>1116</v>
      </c>
      <c r="B28" s="1327" t="s">
        <v>1117</v>
      </c>
      <c r="C28" s="1327"/>
      <c r="D28" s="1327"/>
      <c r="E28" s="3380"/>
      <c r="F28" s="3380"/>
      <c r="G28" s="3380"/>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371"/>
      <c r="F32" s="3371"/>
      <c r="G32" s="3371"/>
    </row>
    <row r="33" spans="1:7" hidden="1">
      <c r="A33" s="3381" t="s">
        <v>1126</v>
      </c>
      <c r="B33" s="3382"/>
      <c r="C33" s="3382"/>
      <c r="D33" s="3383"/>
      <c r="E33" s="3379"/>
      <c r="F33" s="3379"/>
      <c r="G33" s="3379"/>
    </row>
    <row r="34" spans="1:7" hidden="1">
      <c r="A34" s="1330">
        <v>1</v>
      </c>
      <c r="B34" s="1327" t="s">
        <v>1127</v>
      </c>
      <c r="C34" s="1327"/>
      <c r="D34" s="1327"/>
      <c r="E34" s="3380"/>
      <c r="F34" s="3380"/>
      <c r="G34" s="3380"/>
    </row>
    <row r="35" spans="1:7" hidden="1">
      <c r="A35" s="1330">
        <v>2</v>
      </c>
      <c r="B35" s="1327" t="s">
        <v>1128</v>
      </c>
      <c r="C35" s="1327"/>
      <c r="D35" s="1327"/>
      <c r="E35" s="3380"/>
      <c r="F35" s="3380"/>
      <c r="G35" s="3380"/>
    </row>
    <row r="36" spans="1:7" hidden="1">
      <c r="A36" s="1330">
        <v>3</v>
      </c>
      <c r="B36" s="1327" t="s">
        <v>1129</v>
      </c>
      <c r="C36" s="1327"/>
      <c r="D36" s="1327"/>
      <c r="E36" s="3380"/>
      <c r="F36" s="3380"/>
      <c r="G36" s="3380"/>
    </row>
    <row r="37" spans="1:7" hidden="1">
      <c r="A37" s="1330">
        <v>4</v>
      </c>
      <c r="B37" s="1327" t="s">
        <v>1130</v>
      </c>
      <c r="C37" s="1327"/>
      <c r="D37" s="1327"/>
      <c r="E37" s="3380"/>
      <c r="F37" s="3380"/>
      <c r="G37" s="3380"/>
    </row>
    <row r="38" spans="1:7" hidden="1">
      <c r="A38" s="3381" t="s">
        <v>1131</v>
      </c>
      <c r="B38" s="3382"/>
      <c r="C38" s="3382"/>
      <c r="D38" s="3383"/>
      <c r="E38" s="3379"/>
      <c r="F38" s="3379"/>
      <c r="G38" s="33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zoomScale="90" zoomScaleNormal="90" zoomScalePageLayoutView="90" workbookViewId="0">
      <selection activeCell="G13" sqref="G13"/>
    </sheetView>
  </sheetViews>
  <sheetFormatPr defaultColWidth="9" defaultRowHeight="14.25"/>
  <cols>
    <col min="1" max="1" width="10.5" style="403" customWidth="1"/>
    <col min="2" max="2" width="15.875" style="403" customWidth="1"/>
    <col min="3" max="3" width="15.6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1125"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31" customFormat="1" ht="28.5" customHeight="1" thickBot="1">
      <c r="A1" s="1620" t="s">
        <v>2522</v>
      </c>
      <c r="B1" s="2669" t="s">
        <v>2680</v>
      </c>
      <c r="C1" s="1622" t="s">
        <v>2524</v>
      </c>
      <c r="D1" s="1623"/>
      <c r="E1" s="1632"/>
      <c r="F1" s="2585"/>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2321</v>
      </c>
      <c r="B2" s="1420" t="e">
        <f ca="1">IF(C2="——",ROUND(C50*D3/10000,0),ROUND(C50*D3/10000,0)-D2)</f>
        <v>#DIV/0!</v>
      </c>
      <c r="C2" s="2587"/>
      <c r="D2" s="1367" t="e">
        <f ca="1">SUMIF(INDIRECT("'"&amp;F2&amp;"'"&amp;"!A:A"),"承租人权益价值",INDIRECT("'"&amp;F2&amp;"'"&amp;"!c:c"))</f>
        <v>#REF!</v>
      </c>
      <c r="E2" s="2588" t="s">
        <v>2322</v>
      </c>
      <c r="F2" s="2589"/>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2638</v>
      </c>
      <c r="D3" s="399">
        <f>IF(D1="",'数据-汇总表'!E3,SUMIF('数据-汇总表'!$C19:$C33,D1,'数据-汇总表'!$E19:$E33))</f>
        <v>137390</v>
      </c>
      <c r="E3" s="2663"/>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2639</v>
      </c>
      <c r="B4" s="402"/>
      <c r="C4" s="3325" t="s">
        <v>2640</v>
      </c>
      <c r="D4" s="3326"/>
      <c r="E4" s="3327" t="s">
        <v>2641</v>
      </c>
      <c r="F4" s="3328"/>
      <c r="G4" s="3325" t="s">
        <v>2642</v>
      </c>
      <c r="H4" s="3326"/>
      <c r="I4" s="3325" t="s">
        <v>2643</v>
      </c>
      <c r="J4" s="3326"/>
      <c r="K4" s="610" t="s">
        <v>2644</v>
      </c>
      <c r="L4" s="1132"/>
      <c r="M4" s="1133"/>
      <c r="N4" s="1133"/>
      <c r="O4" s="1133"/>
      <c r="P4" s="3392" t="s">
        <v>2645</v>
      </c>
      <c r="Q4" s="3393"/>
      <c r="R4" s="3385" t="s">
        <v>2641</v>
      </c>
      <c r="S4" s="3386"/>
      <c r="T4" s="3385" t="s">
        <v>2642</v>
      </c>
      <c r="U4" s="3386"/>
      <c r="V4" s="3396" t="s">
        <v>2643</v>
      </c>
      <c r="W4" s="3396"/>
      <c r="X4" s="2670"/>
      <c r="Y4" s="3385" t="s">
        <v>2645</v>
      </c>
      <c r="Z4" s="3386"/>
      <c r="AA4" s="3384" t="s">
        <v>2641</v>
      </c>
      <c r="AB4" s="3384" t="s">
        <v>2642</v>
      </c>
      <c r="AC4" s="3389" t="s">
        <v>2643</v>
      </c>
    </row>
    <row r="5" spans="1:29" ht="15">
      <c r="A5" s="404"/>
      <c r="B5" s="405"/>
      <c r="C5" s="3316" t="s">
        <v>2536</v>
      </c>
      <c r="D5" s="3317"/>
      <c r="E5" s="3387" t="s">
        <v>2537</v>
      </c>
      <c r="F5" s="3315"/>
      <c r="G5" s="3316" t="s">
        <v>2538</v>
      </c>
      <c r="H5" s="3317"/>
      <c r="I5" s="3316" t="s">
        <v>2539</v>
      </c>
      <c r="J5" s="3317"/>
      <c r="K5" s="610"/>
      <c r="L5" s="1132"/>
      <c r="M5" s="1133"/>
      <c r="N5" s="1133"/>
      <c r="O5" s="1133"/>
      <c r="P5" s="3394"/>
      <c r="Q5" s="3334"/>
      <c r="R5" s="3312"/>
      <c r="S5" s="3313"/>
      <c r="T5" s="3312"/>
      <c r="U5" s="3313"/>
      <c r="V5" s="3339"/>
      <c r="W5" s="3339"/>
      <c r="X5" s="1815"/>
      <c r="Y5" s="3312"/>
      <c r="Z5" s="3313"/>
      <c r="AA5" s="3306"/>
      <c r="AB5" s="3306"/>
      <c r="AC5" s="3390"/>
    </row>
    <row r="6" spans="1:29" ht="15.75" thickBot="1">
      <c r="A6" s="406"/>
      <c r="B6" s="407"/>
      <c r="C6" s="3318" t="s">
        <v>2540</v>
      </c>
      <c r="D6" s="3319"/>
      <c r="E6" s="3388" t="s">
        <v>2540</v>
      </c>
      <c r="F6" s="3322"/>
      <c r="G6" s="3318" t="s">
        <v>2540</v>
      </c>
      <c r="H6" s="3319"/>
      <c r="I6" s="3318" t="s">
        <v>2540</v>
      </c>
      <c r="J6" s="3319"/>
      <c r="K6" s="610" t="s">
        <v>2541</v>
      </c>
      <c r="L6" s="1132"/>
      <c r="M6" s="1133"/>
      <c r="N6" s="1133"/>
      <c r="O6" s="1133"/>
      <c r="P6" s="3395"/>
      <c r="Q6" s="3336"/>
      <c r="R6" s="3312"/>
      <c r="S6" s="3313"/>
      <c r="T6" s="3337"/>
      <c r="U6" s="3338"/>
      <c r="V6" s="3339"/>
      <c r="W6" s="3339"/>
      <c r="X6" s="1815"/>
      <c r="Y6" s="3337"/>
      <c r="Z6" s="3338"/>
      <c r="AA6" s="3307"/>
      <c r="AB6" s="3307"/>
      <c r="AC6" s="3391"/>
    </row>
    <row r="7" spans="1:29" s="117" customFormat="1" ht="15.75" thickBot="1">
      <c r="A7" s="408" t="s">
        <v>2542</v>
      </c>
      <c r="B7" s="409"/>
      <c r="C7" s="410">
        <f>'数据-取费表'!B2</f>
        <v>43482</v>
      </c>
      <c r="D7" s="411">
        <v>100</v>
      </c>
      <c r="E7" s="412"/>
      <c r="F7" s="413">
        <f>SUMIF(59:59,YEAR(E7)&amp;"-"&amp;MONTH(E7),60:60)</f>
        <v>0</v>
      </c>
      <c r="G7" s="412"/>
      <c r="H7" s="411">
        <f>SUMIF(59:59,YEAR(G7)&amp;"-"&amp;MONTH(G7),60:60)</f>
        <v>0</v>
      </c>
      <c r="I7" s="412"/>
      <c r="J7" s="411">
        <f>SUMIF(59:59,YEAR(I7)&amp;"-"&amp;MONTH(I7),60:60)</f>
        <v>0</v>
      </c>
      <c r="K7" s="611"/>
      <c r="L7" s="1134"/>
      <c r="M7" s="1135"/>
      <c r="N7" s="1135"/>
      <c r="O7" s="1135"/>
      <c r="P7" s="3397" t="s">
        <v>2543</v>
      </c>
      <c r="Q7" s="3342"/>
      <c r="R7" s="770" t="s">
        <v>17</v>
      </c>
      <c r="S7" s="771">
        <f t="shared" ref="S7:S15" si="0">F7</f>
        <v>0</v>
      </c>
      <c r="T7" s="770" t="s">
        <v>17</v>
      </c>
      <c r="U7" s="771">
        <f t="shared" ref="U7:U15" si="1">H7</f>
        <v>0</v>
      </c>
      <c r="V7" s="770" t="s">
        <v>17</v>
      </c>
      <c r="W7" s="771">
        <f t="shared" ref="W7:W15" si="2">J7</f>
        <v>0</v>
      </c>
      <c r="X7" s="772"/>
      <c r="Y7" s="3308" t="s">
        <v>2543</v>
      </c>
      <c r="Z7" s="3309"/>
      <c r="AA7" s="773" t="e">
        <f>D7/F7</f>
        <v>#DIV/0!</v>
      </c>
      <c r="AB7" s="773" t="e">
        <f>D7/H7</f>
        <v>#DIV/0!</v>
      </c>
      <c r="AC7" s="2671"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397" t="s">
        <v>2546</v>
      </c>
      <c r="Q8" s="3309"/>
      <c r="R8" s="770" t="s">
        <v>17</v>
      </c>
      <c r="S8" s="771">
        <f t="shared" si="0"/>
        <v>0</v>
      </c>
      <c r="T8" s="770" t="s">
        <v>17</v>
      </c>
      <c r="U8" s="771">
        <f t="shared" si="1"/>
        <v>0</v>
      </c>
      <c r="V8" s="770" t="s">
        <v>17</v>
      </c>
      <c r="W8" s="771">
        <f t="shared" si="2"/>
        <v>0</v>
      </c>
      <c r="X8" s="772"/>
      <c r="Y8" s="3308" t="s">
        <v>2546</v>
      </c>
      <c r="Z8" s="3309"/>
      <c r="AA8" s="773" t="e">
        <f t="shared" ref="AA8:AA47" si="3">D8/F8</f>
        <v>#DIV/0!</v>
      </c>
      <c r="AB8" s="773" t="e">
        <f t="shared" ref="AB8:AB47" si="4">D8/H8</f>
        <v>#DIV/0!</v>
      </c>
      <c r="AC8" s="2671"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324" t="s">
        <v>2549</v>
      </c>
      <c r="Q9" s="1797" t="str">
        <f t="shared" ref="Q9:Q15" si="6">B9</f>
        <v>用途</v>
      </c>
      <c r="R9" s="770" t="s">
        <v>17</v>
      </c>
      <c r="S9" s="771">
        <f t="shared" si="0"/>
        <v>100</v>
      </c>
      <c r="T9" s="770" t="s">
        <v>17</v>
      </c>
      <c r="U9" s="771">
        <f t="shared" si="1"/>
        <v>100</v>
      </c>
      <c r="V9" s="770" t="s">
        <v>17</v>
      </c>
      <c r="W9" s="771">
        <f t="shared" si="2"/>
        <v>100</v>
      </c>
      <c r="X9" s="772"/>
      <c r="Y9" s="3160" t="s">
        <v>2550</v>
      </c>
      <c r="Z9" s="55" t="str">
        <f t="shared" ref="Z9:Z15" si="7">Q9</f>
        <v>用途</v>
      </c>
      <c r="AA9" s="773">
        <f t="shared" si="3"/>
        <v>1</v>
      </c>
      <c r="AB9" s="773">
        <f t="shared" si="4"/>
        <v>1</v>
      </c>
      <c r="AC9" s="2671">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324"/>
      <c r="Q10" s="1797" t="str">
        <f t="shared" si="6"/>
        <v>土地使用年限（年）</v>
      </c>
      <c r="R10" s="770" t="s">
        <v>17</v>
      </c>
      <c r="S10" s="771">
        <f t="shared" si="0"/>
        <v>100</v>
      </c>
      <c r="T10" s="770" t="s">
        <v>17</v>
      </c>
      <c r="U10" s="771">
        <f t="shared" si="1"/>
        <v>100</v>
      </c>
      <c r="V10" s="770" t="s">
        <v>17</v>
      </c>
      <c r="W10" s="771">
        <f t="shared" si="2"/>
        <v>100</v>
      </c>
      <c r="X10" s="772"/>
      <c r="Y10" s="3160"/>
      <c r="Z10" s="55" t="str">
        <f t="shared" si="7"/>
        <v>土地使用年限（年）</v>
      </c>
      <c r="AA10" s="773">
        <f t="shared" si="3"/>
        <v>1</v>
      </c>
      <c r="AB10" s="773">
        <f t="shared" si="4"/>
        <v>1</v>
      </c>
      <c r="AC10" s="2671">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324"/>
      <c r="Q11" s="1797" t="str">
        <f t="shared" si="6"/>
        <v>容积率</v>
      </c>
      <c r="R11" s="770" t="s">
        <v>17</v>
      </c>
      <c r="S11" s="771" t="e">
        <f t="shared" si="0"/>
        <v>#N/A</v>
      </c>
      <c r="T11" s="770" t="s">
        <v>17</v>
      </c>
      <c r="U11" s="771" t="e">
        <f t="shared" si="1"/>
        <v>#N/A</v>
      </c>
      <c r="V11" s="770" t="s">
        <v>17</v>
      </c>
      <c r="W11" s="771" t="e">
        <f t="shared" si="2"/>
        <v>#N/A</v>
      </c>
      <c r="X11" s="772"/>
      <c r="Y11" s="3160"/>
      <c r="Z11" s="55" t="str">
        <f t="shared" si="7"/>
        <v>容积率</v>
      </c>
      <c r="AA11" s="773" t="e">
        <f t="shared" si="3"/>
        <v>#N/A</v>
      </c>
      <c r="AB11" s="773" t="e">
        <f t="shared" si="4"/>
        <v>#N/A</v>
      </c>
      <c r="AC11" s="2671" t="e">
        <f t="shared" si="5"/>
        <v>#N/A</v>
      </c>
    </row>
    <row r="12" spans="1:29" s="117" customFormat="1" ht="15">
      <c r="A12" s="431"/>
      <c r="B12" s="2601">
        <v>111</v>
      </c>
      <c r="C12" s="432"/>
      <c r="D12" s="433">
        <v>100</v>
      </c>
      <c r="E12" s="432"/>
      <c r="F12" s="136">
        <f>SUMIF(71:71,E12,72:72)-SUMIF(71:71,C12,72:72)+100</f>
        <v>100</v>
      </c>
      <c r="G12" s="2672"/>
      <c r="H12" s="136">
        <f>SUMIF(71:71,G12,72:72)-SUMIF(71:71,C12,72:72)+100</f>
        <v>100</v>
      </c>
      <c r="I12" s="432"/>
      <c r="J12" s="136">
        <f>SUMIF(71:71,I12,72:72)-SUMIF(71:71,C12,72:72)+100</f>
        <v>100</v>
      </c>
      <c r="K12" s="613"/>
      <c r="L12" s="1134"/>
      <c r="M12" s="1135"/>
      <c r="N12" s="1135"/>
      <c r="O12" s="1135"/>
      <c r="P12" s="3324"/>
      <c r="Q12" s="1797">
        <f t="shared" si="6"/>
        <v>111</v>
      </c>
      <c r="R12" s="770" t="s">
        <v>17</v>
      </c>
      <c r="S12" s="771">
        <f t="shared" si="0"/>
        <v>100</v>
      </c>
      <c r="T12" s="770" t="s">
        <v>17</v>
      </c>
      <c r="U12" s="771">
        <f t="shared" si="1"/>
        <v>100</v>
      </c>
      <c r="V12" s="770" t="s">
        <v>17</v>
      </c>
      <c r="W12" s="771">
        <f t="shared" si="2"/>
        <v>100</v>
      </c>
      <c r="X12" s="772"/>
      <c r="Y12" s="3160"/>
      <c r="Z12" s="55">
        <f t="shared" si="7"/>
        <v>111</v>
      </c>
      <c r="AA12" s="773">
        <f>D12/F12</f>
        <v>1</v>
      </c>
      <c r="AB12" s="773">
        <f>D12/H12</f>
        <v>1</v>
      </c>
      <c r="AC12" s="2671">
        <f>D12/J12</f>
        <v>1</v>
      </c>
    </row>
    <row r="13" spans="1:29" ht="15">
      <c r="A13" s="428"/>
      <c r="B13" s="2601">
        <v>111</v>
      </c>
      <c r="C13" s="434"/>
      <c r="D13" s="435">
        <v>100</v>
      </c>
      <c r="E13" s="432"/>
      <c r="F13" s="136">
        <f>SUMIF(73:73,E13,74:74)-SUMIF(73:73,C13,74:74)+100</f>
        <v>100</v>
      </c>
      <c r="G13" s="2672"/>
      <c r="H13" s="435">
        <f>SUMIF(73:73,G13,74:74)-SUMIF(73:73,C13,74:74)+100</f>
        <v>100</v>
      </c>
      <c r="I13" s="432"/>
      <c r="J13" s="435">
        <f>SUMIF(73:73,I13,74:74)-SUMIF(73:73,C13,74:74)+100</f>
        <v>100</v>
      </c>
      <c r="K13" s="613"/>
      <c r="L13" s="1142"/>
      <c r="M13" s="1133"/>
      <c r="N13" s="1133"/>
      <c r="O13" s="1133"/>
      <c r="P13" s="3324"/>
      <c r="Q13" s="1797">
        <f t="shared" si="6"/>
        <v>111</v>
      </c>
      <c r="R13" s="770" t="s">
        <v>17</v>
      </c>
      <c r="S13" s="771">
        <f t="shared" si="0"/>
        <v>100</v>
      </c>
      <c r="T13" s="770" t="s">
        <v>17</v>
      </c>
      <c r="U13" s="771">
        <f t="shared" si="1"/>
        <v>100</v>
      </c>
      <c r="V13" s="770" t="s">
        <v>17</v>
      </c>
      <c r="W13" s="771">
        <f t="shared" si="2"/>
        <v>100</v>
      </c>
      <c r="X13" s="772"/>
      <c r="Y13" s="3160"/>
      <c r="Z13" s="55">
        <f t="shared" si="7"/>
        <v>111</v>
      </c>
      <c r="AA13" s="773">
        <f t="shared" si="3"/>
        <v>1</v>
      </c>
      <c r="AB13" s="773">
        <f t="shared" si="4"/>
        <v>1</v>
      </c>
      <c r="AC13" s="2671">
        <f t="shared" si="5"/>
        <v>1</v>
      </c>
    </row>
    <row r="14" spans="1:29" ht="15.75" thickBot="1">
      <c r="A14" s="436"/>
      <c r="B14" s="2603">
        <v>111</v>
      </c>
      <c r="C14" s="437"/>
      <c r="D14" s="438">
        <v>100</v>
      </c>
      <c r="E14" s="628"/>
      <c r="F14" s="438">
        <f>SUMIF(75:75,E14,76:76)-SUMIF(75:75,C14,76:76)+100</f>
        <v>100</v>
      </c>
      <c r="G14" s="2672"/>
      <c r="H14" s="438">
        <f>SUMIF(75:75,G14,76:76)-SUMIF(75:75,C14,76:76)+100</f>
        <v>100</v>
      </c>
      <c r="I14" s="432"/>
      <c r="J14" s="438">
        <f>SUMIF(75:75,I14,76:76)-SUMIF(75:75,C14,76:76)+100</f>
        <v>100</v>
      </c>
      <c r="K14" s="613"/>
      <c r="L14" s="1142"/>
      <c r="M14" s="1133"/>
      <c r="N14" s="1133"/>
      <c r="O14" s="1133"/>
      <c r="P14" s="3324"/>
      <c r="Q14" s="1797">
        <f t="shared" si="6"/>
        <v>111</v>
      </c>
      <c r="R14" s="770" t="s">
        <v>17</v>
      </c>
      <c r="S14" s="771">
        <f t="shared" si="0"/>
        <v>100</v>
      </c>
      <c r="T14" s="770" t="s">
        <v>17</v>
      </c>
      <c r="U14" s="771">
        <f t="shared" si="1"/>
        <v>100</v>
      </c>
      <c r="V14" s="770" t="s">
        <v>17</v>
      </c>
      <c r="W14" s="771">
        <f t="shared" si="2"/>
        <v>100</v>
      </c>
      <c r="X14" s="772"/>
      <c r="Y14" s="3160"/>
      <c r="Z14" s="55">
        <f t="shared" si="7"/>
        <v>111</v>
      </c>
      <c r="AA14" s="773">
        <f t="shared" si="3"/>
        <v>1</v>
      </c>
      <c r="AB14" s="773">
        <f t="shared" si="4"/>
        <v>1</v>
      </c>
      <c r="AC14" s="2671">
        <f t="shared" si="5"/>
        <v>1</v>
      </c>
    </row>
    <row r="15" spans="1:29" ht="71.25">
      <c r="A15" s="440" t="s">
        <v>2553</v>
      </c>
      <c r="B15" s="629" t="s">
        <v>2681</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355" t="s">
        <v>2554</v>
      </c>
      <c r="Q15" s="1812" t="str">
        <f t="shared" si="6"/>
        <v>办公集聚程度</v>
      </c>
      <c r="R15" s="774" t="s">
        <v>17</v>
      </c>
      <c r="S15" s="775">
        <f t="shared" si="0"/>
        <v>100</v>
      </c>
      <c r="T15" s="774" t="s">
        <v>17</v>
      </c>
      <c r="U15" s="775">
        <f t="shared" si="1"/>
        <v>100</v>
      </c>
      <c r="V15" s="774" t="s">
        <v>17</v>
      </c>
      <c r="W15" s="775">
        <f t="shared" si="2"/>
        <v>100</v>
      </c>
      <c r="X15" s="1815"/>
      <c r="Y15" s="3348" t="s">
        <v>2554</v>
      </c>
      <c r="Z15" s="1816" t="str">
        <f t="shared" si="7"/>
        <v>办公集聚程度</v>
      </c>
      <c r="AA15" s="1813">
        <f t="shared" si="3"/>
        <v>1</v>
      </c>
      <c r="AB15" s="1813">
        <f t="shared" si="4"/>
        <v>1</v>
      </c>
      <c r="AC15" s="2674">
        <f t="shared" si="5"/>
        <v>1</v>
      </c>
    </row>
    <row r="16" spans="1:29" ht="15">
      <c r="A16" s="428"/>
      <c r="B16" s="630"/>
      <c r="C16" s="2612"/>
      <c r="D16" s="448"/>
      <c r="E16" s="447"/>
      <c r="F16" s="448"/>
      <c r="G16" s="2612"/>
      <c r="H16" s="450"/>
      <c r="I16" s="447"/>
      <c r="J16" s="448"/>
      <c r="K16" s="615"/>
      <c r="L16" s="1142"/>
      <c r="M16" s="1133"/>
      <c r="N16" s="1133"/>
      <c r="O16" s="1133"/>
      <c r="P16" s="3356"/>
      <c r="Q16" s="1812"/>
      <c r="R16" s="774"/>
      <c r="S16" s="775"/>
      <c r="T16" s="774"/>
      <c r="U16" s="775"/>
      <c r="V16" s="774"/>
      <c r="W16" s="775"/>
      <c r="X16" s="1815"/>
      <c r="Y16" s="3349"/>
      <c r="Z16" s="1816"/>
      <c r="AA16" s="1813">
        <v>1</v>
      </c>
      <c r="AB16" s="1813">
        <v>1</v>
      </c>
      <c r="AC16" s="2674">
        <v>1</v>
      </c>
    </row>
    <row r="17" spans="1:29" ht="71.25">
      <c r="A17" s="428"/>
      <c r="B17" s="631" t="s">
        <v>2090</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356"/>
      <c r="Q17" s="1812" t="str">
        <f>B17</f>
        <v>交通便捷度</v>
      </c>
      <c r="R17" s="774" t="s">
        <v>17</v>
      </c>
      <c r="S17" s="775">
        <f>F17</f>
        <v>100</v>
      </c>
      <c r="T17" s="774" t="s">
        <v>17</v>
      </c>
      <c r="U17" s="775">
        <f>H17</f>
        <v>100</v>
      </c>
      <c r="V17" s="774" t="s">
        <v>17</v>
      </c>
      <c r="W17" s="775">
        <f>J17</f>
        <v>100</v>
      </c>
      <c r="X17" s="1815"/>
      <c r="Y17" s="3349"/>
      <c r="Z17" s="1816" t="str">
        <f>Q17</f>
        <v>交通便捷度</v>
      </c>
      <c r="AA17" s="1813">
        <f t="shared" si="3"/>
        <v>1</v>
      </c>
      <c r="AB17" s="1813">
        <f t="shared" si="4"/>
        <v>1</v>
      </c>
      <c r="AC17" s="2674">
        <f t="shared" si="5"/>
        <v>1</v>
      </c>
    </row>
    <row r="18" spans="1:29" ht="15">
      <c r="A18" s="428"/>
      <c r="B18" s="632"/>
      <c r="C18" s="2676"/>
      <c r="D18" s="450"/>
      <c r="E18" s="2610"/>
      <c r="F18" s="450"/>
      <c r="G18" s="2611"/>
      <c r="H18" s="448"/>
      <c r="I18" s="2611"/>
      <c r="J18" s="448"/>
      <c r="K18" s="615"/>
      <c r="L18" s="1142"/>
      <c r="M18" s="1133"/>
      <c r="N18" s="1133"/>
      <c r="O18" s="1133"/>
      <c r="P18" s="3356"/>
      <c r="Q18" s="1812"/>
      <c r="R18" s="774"/>
      <c r="S18" s="775"/>
      <c r="T18" s="774"/>
      <c r="U18" s="775"/>
      <c r="V18" s="774"/>
      <c r="W18" s="775"/>
      <c r="X18" s="1815"/>
      <c r="Y18" s="3349"/>
      <c r="Z18" s="1816"/>
      <c r="AA18" s="1813">
        <v>1</v>
      </c>
      <c r="AB18" s="1813">
        <v>1</v>
      </c>
      <c r="AC18" s="2674">
        <v>1</v>
      </c>
    </row>
    <row r="19" spans="1:29" ht="42.75">
      <c r="A19" s="428"/>
      <c r="B19" s="631" t="s">
        <v>2682</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356"/>
      <c r="Q19" s="1812" t="str">
        <f>B19</f>
        <v>公共配套设施</v>
      </c>
      <c r="R19" s="774" t="s">
        <v>17</v>
      </c>
      <c r="S19" s="775">
        <f>F19</f>
        <v>100</v>
      </c>
      <c r="T19" s="774" t="s">
        <v>17</v>
      </c>
      <c r="U19" s="775">
        <f>H19</f>
        <v>100</v>
      </c>
      <c r="V19" s="774" t="s">
        <v>17</v>
      </c>
      <c r="W19" s="775">
        <f>J19</f>
        <v>100</v>
      </c>
      <c r="X19" s="1815"/>
      <c r="Y19" s="3349"/>
      <c r="Z19" s="1816" t="str">
        <f>Q19</f>
        <v>公共配套设施</v>
      </c>
      <c r="AA19" s="1813">
        <f t="shared" si="3"/>
        <v>1</v>
      </c>
      <c r="AB19" s="1813">
        <f t="shared" si="4"/>
        <v>1</v>
      </c>
      <c r="AC19" s="2674">
        <f t="shared" si="5"/>
        <v>1</v>
      </c>
    </row>
    <row r="20" spans="1:29" ht="15">
      <c r="A20" s="428"/>
      <c r="B20" s="632"/>
      <c r="C20" s="2612"/>
      <c r="D20" s="448"/>
      <c r="E20" s="2605"/>
      <c r="F20" s="448"/>
      <c r="G20" s="2606"/>
      <c r="H20" s="448"/>
      <c r="I20" s="2606"/>
      <c r="J20" s="448"/>
      <c r="K20" s="615"/>
      <c r="L20" s="1142"/>
      <c r="M20" s="1133"/>
      <c r="N20" s="1133"/>
      <c r="O20" s="1133"/>
      <c r="P20" s="3356"/>
      <c r="Q20" s="1812"/>
      <c r="R20" s="774"/>
      <c r="S20" s="775"/>
      <c r="T20" s="774"/>
      <c r="U20" s="775"/>
      <c r="V20" s="774"/>
      <c r="W20" s="775"/>
      <c r="X20" s="1815"/>
      <c r="Y20" s="3349"/>
      <c r="Z20" s="1816"/>
      <c r="AA20" s="1813">
        <v>1</v>
      </c>
      <c r="AB20" s="1813">
        <v>1</v>
      </c>
      <c r="AC20" s="2674">
        <v>1</v>
      </c>
    </row>
    <row r="21" spans="1:29" ht="28.5">
      <c r="A21" s="428"/>
      <c r="B21" s="633" t="s">
        <v>2683</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356"/>
      <c r="Q21" s="1812" t="str">
        <f>B21</f>
        <v>基础设施水平</v>
      </c>
      <c r="R21" s="774" t="s">
        <v>17</v>
      </c>
      <c r="S21" s="775">
        <f>F21</f>
        <v>100</v>
      </c>
      <c r="T21" s="774" t="s">
        <v>17</v>
      </c>
      <c r="U21" s="775">
        <f>H21</f>
        <v>100</v>
      </c>
      <c r="V21" s="774" t="s">
        <v>17</v>
      </c>
      <c r="W21" s="775">
        <f>J21</f>
        <v>100</v>
      </c>
      <c r="X21" s="1815"/>
      <c r="Y21" s="3349"/>
      <c r="Z21" s="1816" t="str">
        <f>Q21</f>
        <v>基础设施水平</v>
      </c>
      <c r="AA21" s="1813">
        <f t="shared" ref="AA21" si="8">D21/F21</f>
        <v>1</v>
      </c>
      <c r="AB21" s="1813">
        <f t="shared" ref="AB21" si="9">D21/H21</f>
        <v>1</v>
      </c>
      <c r="AC21" s="2674">
        <f t="shared" ref="AC21" si="10">D21/J21</f>
        <v>1</v>
      </c>
    </row>
    <row r="22" spans="1:29" ht="15">
      <c r="A22" s="428"/>
      <c r="B22" s="633"/>
      <c r="C22" s="2676"/>
      <c r="D22" s="448"/>
      <c r="E22" s="447"/>
      <c r="F22" s="448"/>
      <c r="G22" s="2612"/>
      <c r="H22" s="448"/>
      <c r="I22" s="2612"/>
      <c r="J22" s="448"/>
      <c r="K22" s="1385"/>
      <c r="L22" s="1142"/>
      <c r="M22" s="1133"/>
      <c r="N22" s="1133"/>
      <c r="O22" s="1133"/>
      <c r="P22" s="3356"/>
      <c r="Q22" s="1812"/>
      <c r="R22" s="774"/>
      <c r="S22" s="775"/>
      <c r="T22" s="774"/>
      <c r="U22" s="775"/>
      <c r="V22" s="774"/>
      <c r="W22" s="775"/>
      <c r="X22" s="1815"/>
      <c r="Y22" s="3349"/>
      <c r="Z22" s="1816"/>
      <c r="AA22" s="1813">
        <v>1</v>
      </c>
      <c r="AB22" s="1813">
        <v>1</v>
      </c>
      <c r="AC22" s="2674">
        <v>1</v>
      </c>
    </row>
    <row r="23" spans="1:29" ht="42.75">
      <c r="A23" s="428"/>
      <c r="B23" s="631" t="s">
        <v>2684</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356"/>
      <c r="Q23" s="1812" t="str">
        <f>B23</f>
        <v>环境质量</v>
      </c>
      <c r="R23" s="774" t="s">
        <v>17</v>
      </c>
      <c r="S23" s="775">
        <f>F23</f>
        <v>100</v>
      </c>
      <c r="T23" s="774" t="s">
        <v>17</v>
      </c>
      <c r="U23" s="775">
        <f>H23</f>
        <v>100</v>
      </c>
      <c r="V23" s="774" t="s">
        <v>17</v>
      </c>
      <c r="W23" s="775">
        <f>J23</f>
        <v>100</v>
      </c>
      <c r="X23" s="1815"/>
      <c r="Y23" s="3349"/>
      <c r="Z23" s="1816" t="str">
        <f>Q23</f>
        <v>环境质量</v>
      </c>
      <c r="AA23" s="1813">
        <f t="shared" si="3"/>
        <v>1</v>
      </c>
      <c r="AB23" s="1813">
        <f t="shared" si="4"/>
        <v>1</v>
      </c>
      <c r="AC23" s="2674">
        <f t="shared" si="5"/>
        <v>1</v>
      </c>
    </row>
    <row r="24" spans="1:29" ht="15">
      <c r="A24" s="428"/>
      <c r="B24" s="633"/>
      <c r="C24" s="2612"/>
      <c r="D24" s="448"/>
      <c r="E24" s="2605"/>
      <c r="F24" s="448"/>
      <c r="G24" s="2606"/>
      <c r="H24" s="448"/>
      <c r="I24" s="2606"/>
      <c r="J24" s="448"/>
      <c r="K24" s="615"/>
      <c r="L24" s="1142"/>
      <c r="M24" s="1133"/>
      <c r="N24" s="1133"/>
      <c r="O24" s="1133"/>
      <c r="P24" s="3356"/>
      <c r="Q24" s="1812"/>
      <c r="R24" s="774"/>
      <c r="S24" s="775"/>
      <c r="T24" s="774"/>
      <c r="U24" s="775"/>
      <c r="V24" s="774"/>
      <c r="W24" s="775"/>
      <c r="X24" s="1815"/>
      <c r="Y24" s="3349"/>
      <c r="Z24" s="1816"/>
      <c r="AA24" s="1813">
        <v>1</v>
      </c>
      <c r="AB24" s="1813">
        <v>1</v>
      </c>
      <c r="AC24" s="2674">
        <v>1</v>
      </c>
    </row>
    <row r="25" spans="1:29" ht="27">
      <c r="A25" s="404"/>
      <c r="B25" s="631" t="s">
        <v>2685</v>
      </c>
      <c r="C25" s="2616"/>
      <c r="D25" s="435">
        <v>100</v>
      </c>
      <c r="E25" s="434"/>
      <c r="F25" s="435">
        <f>SUMIF(87:87,E26,88:88)-SUMIF(87:87,C26,88:88)+100</f>
        <v>100</v>
      </c>
      <c r="G25" s="2616"/>
      <c r="H25" s="435">
        <f>SUMIF(87:87,G26,88:88)-SUMIF(87:87,C26,88:88)+100</f>
        <v>100</v>
      </c>
      <c r="I25" s="434"/>
      <c r="J25" s="435">
        <f>SUMIF(87:87,I26,88:88)-SUMIF(87:87,C26,88:88)+100</f>
        <v>100</v>
      </c>
      <c r="K25" s="614"/>
      <c r="L25" s="1142"/>
      <c r="M25" s="1133"/>
      <c r="N25" s="1133"/>
      <c r="O25" s="1133"/>
      <c r="P25" s="3356"/>
      <c r="Q25" s="1812" t="str">
        <f>B25</f>
        <v>毗邻道路的类型与等级</v>
      </c>
      <c r="R25" s="774" t="s">
        <v>17</v>
      </c>
      <c r="S25" s="775">
        <f>F25</f>
        <v>100</v>
      </c>
      <c r="T25" s="774" t="s">
        <v>17</v>
      </c>
      <c r="U25" s="775">
        <f>H25</f>
        <v>100</v>
      </c>
      <c r="V25" s="774" t="s">
        <v>17</v>
      </c>
      <c r="W25" s="775">
        <f>J25</f>
        <v>100</v>
      </c>
      <c r="X25" s="1815"/>
      <c r="Y25" s="3349"/>
      <c r="Z25" s="1816" t="str">
        <f>Q25</f>
        <v>毗邻道路的类型与等级</v>
      </c>
      <c r="AA25" s="1813">
        <f t="shared" si="3"/>
        <v>1</v>
      </c>
      <c r="AB25" s="1813">
        <f t="shared" si="4"/>
        <v>1</v>
      </c>
      <c r="AC25" s="2674">
        <f t="shared" si="5"/>
        <v>1</v>
      </c>
    </row>
    <row r="26" spans="1:29" ht="15">
      <c r="A26" s="404"/>
      <c r="B26" s="632"/>
      <c r="C26" s="634"/>
      <c r="D26" s="435"/>
      <c r="E26" s="616"/>
      <c r="F26" s="435"/>
      <c r="G26" s="634"/>
      <c r="H26" s="435"/>
      <c r="I26" s="616"/>
      <c r="J26" s="435"/>
      <c r="K26" s="615"/>
      <c r="L26" s="1142"/>
      <c r="M26" s="1133"/>
      <c r="N26" s="1133"/>
      <c r="O26" s="1133"/>
      <c r="P26" s="3356"/>
      <c r="Q26" s="1812"/>
      <c r="R26" s="774"/>
      <c r="S26" s="775"/>
      <c r="T26" s="774"/>
      <c r="U26" s="775"/>
      <c r="V26" s="774"/>
      <c r="W26" s="775"/>
      <c r="X26" s="1815"/>
      <c r="Y26" s="3349"/>
      <c r="Z26" s="1816"/>
      <c r="AA26" s="1813">
        <v>1</v>
      </c>
      <c r="AB26" s="1813">
        <v>1</v>
      </c>
      <c r="AC26" s="2674">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356"/>
      <c r="Q27" s="1812" t="str">
        <f t="shared" ref="Q27:Q47" si="11">B27</f>
        <v>楼层</v>
      </c>
      <c r="R27" s="774" t="s">
        <v>17</v>
      </c>
      <c r="S27" s="775">
        <f>F27</f>
        <v>100</v>
      </c>
      <c r="T27" s="774" t="s">
        <v>17</v>
      </c>
      <c r="U27" s="775">
        <f>H27</f>
        <v>100</v>
      </c>
      <c r="V27" s="774" t="s">
        <v>17</v>
      </c>
      <c r="W27" s="775">
        <f>J27</f>
        <v>100</v>
      </c>
      <c r="X27" s="1815"/>
      <c r="Y27" s="3349"/>
      <c r="Z27" s="1816" t="str">
        <f>Q27</f>
        <v>楼层</v>
      </c>
      <c r="AA27" s="1813">
        <f t="shared" si="3"/>
        <v>1</v>
      </c>
      <c r="AB27" s="1813">
        <f t="shared" si="4"/>
        <v>1</v>
      </c>
      <c r="AC27" s="2674">
        <f t="shared" si="5"/>
        <v>1</v>
      </c>
    </row>
    <row r="28" spans="1:29" s="117" customFormat="1" ht="15">
      <c r="A28" s="431"/>
      <c r="B28" s="631" t="s">
        <v>2686</v>
      </c>
      <c r="C28" s="2677"/>
      <c r="D28" s="462">
        <v>100</v>
      </c>
      <c r="E28" s="2665"/>
      <c r="F28" s="462">
        <f>SUMIF(91:91,E28,92:92)-SUMIF(91:91,C28,92:92)+100</f>
        <v>100</v>
      </c>
      <c r="G28" s="2677"/>
      <c r="H28" s="462">
        <f>SUMIF(91:91,G28,92:92)-SUMIF(91:91,C28,92:92)+100</f>
        <v>100</v>
      </c>
      <c r="I28" s="2665"/>
      <c r="J28" s="462">
        <f>SUMIF(91:91,I28,92:92)-SUMIF(91:91,C28,92:92)+100</f>
        <v>100</v>
      </c>
      <c r="K28" s="612"/>
      <c r="L28" s="1134"/>
      <c r="M28" s="1135"/>
      <c r="N28" s="1135"/>
      <c r="O28" s="1135"/>
      <c r="P28" s="3356"/>
      <c r="Q28" s="1797" t="str">
        <f t="shared" si="11"/>
        <v>朝向</v>
      </c>
      <c r="R28" s="770" t="s">
        <v>17</v>
      </c>
      <c r="S28" s="771">
        <f>F28</f>
        <v>100</v>
      </c>
      <c r="T28" s="770" t="s">
        <v>17</v>
      </c>
      <c r="U28" s="771">
        <f>H28</f>
        <v>100</v>
      </c>
      <c r="V28" s="770" t="s">
        <v>17</v>
      </c>
      <c r="W28" s="771">
        <f>J28</f>
        <v>100</v>
      </c>
      <c r="X28" s="772"/>
      <c r="Y28" s="3349"/>
      <c r="Z28" s="55" t="str">
        <f>Q28</f>
        <v>朝向</v>
      </c>
      <c r="AA28" s="1813">
        <f>D28/F28</f>
        <v>1</v>
      </c>
      <c r="AB28" s="1813">
        <f>D28/H28</f>
        <v>1</v>
      </c>
      <c r="AC28" s="2674">
        <f>D28/J28</f>
        <v>1</v>
      </c>
    </row>
    <row r="29" spans="1:29" ht="15">
      <c r="A29" s="428"/>
      <c r="B29" s="2678">
        <v>111</v>
      </c>
      <c r="C29" s="2616"/>
      <c r="D29" s="435">
        <v>100</v>
      </c>
      <c r="E29" s="432"/>
      <c r="F29" s="435">
        <f>SUMIF(93:93,E29,94:94)-SUMIF(93:93,C29,94:94)+100</f>
        <v>100</v>
      </c>
      <c r="G29" s="2672"/>
      <c r="H29" s="435">
        <f>SUMIF(93:93,G29,94:94)-SUMIF(93:93,C29,94:94)+100</f>
        <v>100</v>
      </c>
      <c r="I29" s="432"/>
      <c r="J29" s="435">
        <f>SUMIF(93:93,I29,94:94)-SUMIF(93:93,C29,94:94)+100</f>
        <v>100</v>
      </c>
      <c r="K29" s="613"/>
      <c r="L29" s="1142"/>
      <c r="M29" s="1133"/>
      <c r="N29" s="1133"/>
      <c r="O29" s="1133"/>
      <c r="P29" s="3356"/>
      <c r="Q29" s="1812">
        <f t="shared" si="11"/>
        <v>111</v>
      </c>
      <c r="R29" s="774" t="s">
        <v>17</v>
      </c>
      <c r="S29" s="775">
        <f t="shared" ref="S29:S47" si="12">F29</f>
        <v>100</v>
      </c>
      <c r="T29" s="774" t="s">
        <v>17</v>
      </c>
      <c r="U29" s="775">
        <f t="shared" ref="U29:U47" si="13">H29</f>
        <v>100</v>
      </c>
      <c r="V29" s="774" t="s">
        <v>17</v>
      </c>
      <c r="W29" s="775">
        <f t="shared" ref="W29:W47" si="14">J29</f>
        <v>100</v>
      </c>
      <c r="X29" s="1815"/>
      <c r="Y29" s="3349"/>
      <c r="Z29" s="1816">
        <f t="shared" ref="Z29:Z47" si="15">Q29</f>
        <v>111</v>
      </c>
      <c r="AA29" s="1813">
        <f t="shared" si="3"/>
        <v>1</v>
      </c>
      <c r="AB29" s="1813">
        <f t="shared" si="4"/>
        <v>1</v>
      </c>
      <c r="AC29" s="2674">
        <f t="shared" si="5"/>
        <v>1</v>
      </c>
    </row>
    <row r="30" spans="1:29" ht="15">
      <c r="A30" s="428"/>
      <c r="B30" s="2678">
        <v>111</v>
      </c>
      <c r="C30" s="2616"/>
      <c r="D30" s="435">
        <v>100</v>
      </c>
      <c r="E30" s="432"/>
      <c r="F30" s="435">
        <f>SUMIF(95:95,E30,96:96)-SUMIF(95:95,C30,96:96)+100</f>
        <v>100</v>
      </c>
      <c r="G30" s="2672"/>
      <c r="H30" s="435">
        <f>SUMIF(95:95,G30,96:96)-SUMIF(95:95,C30,96:96)+100</f>
        <v>100</v>
      </c>
      <c r="I30" s="432"/>
      <c r="J30" s="435">
        <f>SUMIF(95:95,I30,96:96)-SUMIF(95:95,C30,96:96)+100</f>
        <v>100</v>
      </c>
      <c r="K30" s="613"/>
      <c r="L30" s="1142"/>
      <c r="M30" s="1133"/>
      <c r="N30" s="1133"/>
      <c r="O30" s="1133"/>
      <c r="P30" s="3356"/>
      <c r="Q30" s="1812">
        <f t="shared" si="11"/>
        <v>111</v>
      </c>
      <c r="R30" s="774" t="s">
        <v>17</v>
      </c>
      <c r="S30" s="775">
        <f t="shared" si="12"/>
        <v>100</v>
      </c>
      <c r="T30" s="774" t="s">
        <v>17</v>
      </c>
      <c r="U30" s="775">
        <f t="shared" si="13"/>
        <v>100</v>
      </c>
      <c r="V30" s="774" t="s">
        <v>17</v>
      </c>
      <c r="W30" s="775">
        <f t="shared" si="14"/>
        <v>100</v>
      </c>
      <c r="X30" s="1815"/>
      <c r="Y30" s="3349"/>
      <c r="Z30" s="1816">
        <f t="shared" si="15"/>
        <v>111</v>
      </c>
      <c r="AA30" s="1813">
        <f t="shared" si="3"/>
        <v>1</v>
      </c>
      <c r="AB30" s="1813">
        <f t="shared" si="4"/>
        <v>1</v>
      </c>
      <c r="AC30" s="2674">
        <f t="shared" si="5"/>
        <v>1</v>
      </c>
    </row>
    <row r="31" spans="1:29" ht="15">
      <c r="A31" s="428"/>
      <c r="B31" s="2678">
        <v>111</v>
      </c>
      <c r="C31" s="2616"/>
      <c r="D31" s="435">
        <v>100</v>
      </c>
      <c r="E31" s="432"/>
      <c r="F31" s="435">
        <f>SUMIF(97:97,E31,98:98)-SUMIF(97:97,C31,98:98)+100</f>
        <v>100</v>
      </c>
      <c r="G31" s="2672"/>
      <c r="H31" s="435">
        <f>SUMIF(97:97,G31,98:98)-SUMIF(97:97,C31,98:98)+100</f>
        <v>100</v>
      </c>
      <c r="I31" s="432"/>
      <c r="J31" s="435">
        <f>SUMIF(97:97,I31,98:98)-SUMIF(97:97,C31,98:98)+100</f>
        <v>100</v>
      </c>
      <c r="K31" s="613"/>
      <c r="L31" s="1142"/>
      <c r="M31" s="1133"/>
      <c r="N31" s="1133"/>
      <c r="O31" s="1133"/>
      <c r="P31" s="3356"/>
      <c r="Q31" s="1812">
        <f t="shared" si="11"/>
        <v>111</v>
      </c>
      <c r="R31" s="774" t="s">
        <v>17</v>
      </c>
      <c r="S31" s="775">
        <f t="shared" si="12"/>
        <v>100</v>
      </c>
      <c r="T31" s="774" t="s">
        <v>17</v>
      </c>
      <c r="U31" s="775">
        <f t="shared" si="13"/>
        <v>100</v>
      </c>
      <c r="V31" s="774" t="s">
        <v>17</v>
      </c>
      <c r="W31" s="775">
        <f t="shared" si="14"/>
        <v>100</v>
      </c>
      <c r="X31" s="1815"/>
      <c r="Y31" s="3349"/>
      <c r="Z31" s="1816">
        <f t="shared" si="15"/>
        <v>111</v>
      </c>
      <c r="AA31" s="1813">
        <f t="shared" si="3"/>
        <v>1</v>
      </c>
      <c r="AB31" s="1813">
        <f t="shared" si="4"/>
        <v>1</v>
      </c>
      <c r="AC31" s="2674">
        <f t="shared" si="5"/>
        <v>1</v>
      </c>
    </row>
    <row r="32" spans="1:29" ht="15.75" thickBot="1">
      <c r="A32" s="436"/>
      <c r="B32" s="635">
        <v>111</v>
      </c>
      <c r="C32" s="2617"/>
      <c r="D32" s="438">
        <v>100</v>
      </c>
      <c r="E32" s="628"/>
      <c r="F32" s="438">
        <f>SUMIF(99:99,E32,100:100)-SUMIF(99:99,C32,100:100)+100</f>
        <v>100</v>
      </c>
      <c r="G32" s="2672"/>
      <c r="H32" s="438">
        <f>SUMIF(99:99,G32,100:100)-SUMIF(99:99,C32,100:100)+100</f>
        <v>100</v>
      </c>
      <c r="I32" s="432"/>
      <c r="J32" s="438">
        <f>SUMIF(99:99,I32,100:100)-SUMIF(99:99,C32,100:100)+100</f>
        <v>100</v>
      </c>
      <c r="K32" s="613"/>
      <c r="L32" s="1142"/>
      <c r="M32" s="1133"/>
      <c r="N32" s="1133"/>
      <c r="O32" s="1133"/>
      <c r="P32" s="3356"/>
      <c r="Q32" s="1812">
        <f t="shared" si="11"/>
        <v>111</v>
      </c>
      <c r="R32" s="774" t="s">
        <v>17</v>
      </c>
      <c r="S32" s="775">
        <f t="shared" si="12"/>
        <v>100</v>
      </c>
      <c r="T32" s="774" t="s">
        <v>17</v>
      </c>
      <c r="U32" s="775">
        <f t="shared" si="13"/>
        <v>100</v>
      </c>
      <c r="V32" s="774" t="s">
        <v>17</v>
      </c>
      <c r="W32" s="775">
        <f t="shared" si="14"/>
        <v>100</v>
      </c>
      <c r="X32" s="1815"/>
      <c r="Y32" s="3349"/>
      <c r="Z32" s="1816">
        <f t="shared" si="15"/>
        <v>111</v>
      </c>
      <c r="AA32" s="1813">
        <f t="shared" si="3"/>
        <v>1</v>
      </c>
      <c r="AB32" s="1813">
        <f t="shared" si="4"/>
        <v>1</v>
      </c>
      <c r="AC32" s="2674">
        <f t="shared" si="5"/>
        <v>1</v>
      </c>
    </row>
    <row r="33" spans="1:29" ht="15">
      <c r="A33" s="440" t="s">
        <v>2557</v>
      </c>
      <c r="B33" s="71" t="s">
        <v>2687</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2"/>
      <c r="M33" s="1133"/>
      <c r="N33" s="1133"/>
      <c r="O33" s="1133"/>
      <c r="P33" s="3350" t="s">
        <v>2559</v>
      </c>
      <c r="Q33" s="1812" t="str">
        <f t="shared" si="11"/>
        <v>建筑类型</v>
      </c>
      <c r="R33" s="774" t="s">
        <v>17</v>
      </c>
      <c r="S33" s="775">
        <f t="shared" si="12"/>
        <v>100</v>
      </c>
      <c r="T33" s="774" t="s">
        <v>17</v>
      </c>
      <c r="U33" s="775">
        <f t="shared" si="13"/>
        <v>100</v>
      </c>
      <c r="V33" s="774" t="s">
        <v>17</v>
      </c>
      <c r="W33" s="775">
        <f t="shared" si="14"/>
        <v>100</v>
      </c>
      <c r="X33" s="1815"/>
      <c r="Y33" s="3353" t="s">
        <v>2559</v>
      </c>
      <c r="Z33" s="1816" t="str">
        <f t="shared" si="15"/>
        <v>建筑类型</v>
      </c>
      <c r="AA33" s="1813">
        <f t="shared" si="3"/>
        <v>1</v>
      </c>
      <c r="AB33" s="1813">
        <f t="shared" si="4"/>
        <v>1</v>
      </c>
      <c r="AC33" s="2674">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351"/>
      <c r="Q34" s="776" t="str">
        <f t="shared" si="11"/>
        <v>项目建筑规模</v>
      </c>
      <c r="R34" s="777" t="s">
        <v>17</v>
      </c>
      <c r="S34" s="778" t="e">
        <f t="shared" si="12"/>
        <v>#N/A</v>
      </c>
      <c r="T34" s="777" t="s">
        <v>17</v>
      </c>
      <c r="U34" s="778" t="e">
        <f t="shared" si="13"/>
        <v>#N/A</v>
      </c>
      <c r="V34" s="777" t="s">
        <v>17</v>
      </c>
      <c r="W34" s="778" t="e">
        <f t="shared" si="14"/>
        <v>#N/A</v>
      </c>
      <c r="X34" s="779"/>
      <c r="Y34" s="3353"/>
      <c r="Z34" s="780" t="str">
        <f t="shared" si="15"/>
        <v>项目建筑规模</v>
      </c>
      <c r="AA34" s="1813" t="e">
        <f t="shared" si="3"/>
        <v>#N/A</v>
      </c>
      <c r="AB34" s="1813" t="e">
        <f t="shared" si="4"/>
        <v>#N/A</v>
      </c>
      <c r="AC34" s="2674"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351"/>
      <c r="Q35" s="1812" t="str">
        <f t="shared" si="11"/>
        <v>建筑结构</v>
      </c>
      <c r="R35" s="774" t="s">
        <v>17</v>
      </c>
      <c r="S35" s="775">
        <f t="shared" si="12"/>
        <v>100</v>
      </c>
      <c r="T35" s="774" t="s">
        <v>17</v>
      </c>
      <c r="U35" s="775">
        <f t="shared" si="13"/>
        <v>100</v>
      </c>
      <c r="V35" s="774" t="s">
        <v>17</v>
      </c>
      <c r="W35" s="775">
        <f t="shared" si="14"/>
        <v>100</v>
      </c>
      <c r="X35" s="1815"/>
      <c r="Y35" s="3353"/>
      <c r="Z35" s="1816" t="str">
        <f t="shared" si="15"/>
        <v>建筑结构</v>
      </c>
      <c r="AA35" s="1813">
        <f t="shared" si="3"/>
        <v>1</v>
      </c>
      <c r="AB35" s="1813">
        <f t="shared" si="4"/>
        <v>1</v>
      </c>
      <c r="AC35" s="2674">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351"/>
      <c r="Q36" s="1812" t="str">
        <f t="shared" si="11"/>
        <v>公共部分装修</v>
      </c>
      <c r="R36" s="774" t="s">
        <v>17</v>
      </c>
      <c r="S36" s="775">
        <f t="shared" si="12"/>
        <v>100</v>
      </c>
      <c r="T36" s="774" t="s">
        <v>17</v>
      </c>
      <c r="U36" s="775">
        <f t="shared" si="13"/>
        <v>100</v>
      </c>
      <c r="V36" s="774" t="s">
        <v>17</v>
      </c>
      <c r="W36" s="775">
        <f t="shared" si="14"/>
        <v>100</v>
      </c>
      <c r="X36" s="1815"/>
      <c r="Y36" s="3353"/>
      <c r="Z36" s="1816" t="str">
        <f t="shared" si="15"/>
        <v>公共部分装修</v>
      </c>
      <c r="AA36" s="1813">
        <f t="shared" si="3"/>
        <v>1</v>
      </c>
      <c r="AB36" s="1813">
        <f t="shared" si="4"/>
        <v>1</v>
      </c>
      <c r="AC36" s="2674">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351"/>
      <c r="Q37" s="1812" t="str">
        <f t="shared" si="11"/>
        <v>成新度</v>
      </c>
      <c r="R37" s="774" t="s">
        <v>17</v>
      </c>
      <c r="S37" s="775" t="e">
        <f t="shared" si="12"/>
        <v>#N/A</v>
      </c>
      <c r="T37" s="774" t="s">
        <v>17</v>
      </c>
      <c r="U37" s="775" t="e">
        <f t="shared" si="13"/>
        <v>#N/A</v>
      </c>
      <c r="V37" s="774" t="s">
        <v>17</v>
      </c>
      <c r="W37" s="775" t="e">
        <f t="shared" si="14"/>
        <v>#N/A</v>
      </c>
      <c r="X37" s="1815"/>
      <c r="Y37" s="3353"/>
      <c r="Z37" s="1816" t="str">
        <f t="shared" si="15"/>
        <v>成新度</v>
      </c>
      <c r="AA37" s="1813" t="e">
        <f t="shared" si="3"/>
        <v>#N/A</v>
      </c>
      <c r="AB37" s="1813" t="e">
        <f t="shared" si="4"/>
        <v>#N/A</v>
      </c>
      <c r="AC37" s="2674"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351"/>
      <c r="Q38" s="1797" t="str">
        <f t="shared" si="11"/>
        <v>写字楼等级</v>
      </c>
      <c r="R38" s="770" t="s">
        <v>17</v>
      </c>
      <c r="S38" s="771">
        <f t="shared" si="12"/>
        <v>100</v>
      </c>
      <c r="T38" s="770" t="s">
        <v>17</v>
      </c>
      <c r="U38" s="771">
        <f t="shared" si="13"/>
        <v>100</v>
      </c>
      <c r="V38" s="770" t="s">
        <v>17</v>
      </c>
      <c r="W38" s="771">
        <f t="shared" si="14"/>
        <v>100</v>
      </c>
      <c r="X38" s="772"/>
      <c r="Y38" s="3353"/>
      <c r="Z38" s="55" t="str">
        <f t="shared" si="15"/>
        <v>写字楼等级</v>
      </c>
      <c r="AA38" s="773">
        <f t="shared" si="3"/>
        <v>1</v>
      </c>
      <c r="AB38" s="773">
        <f t="shared" si="4"/>
        <v>1</v>
      </c>
      <c r="AC38" s="2671">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351" t="s">
        <v>2559</v>
      </c>
      <c r="Q39" s="1812" t="str">
        <f t="shared" si="11"/>
        <v>物业管理</v>
      </c>
      <c r="R39" s="774" t="s">
        <v>17</v>
      </c>
      <c r="S39" s="775">
        <f t="shared" si="12"/>
        <v>100</v>
      </c>
      <c r="T39" s="774" t="s">
        <v>17</v>
      </c>
      <c r="U39" s="775">
        <f t="shared" si="13"/>
        <v>100</v>
      </c>
      <c r="V39" s="774" t="s">
        <v>17</v>
      </c>
      <c r="W39" s="775">
        <f t="shared" si="14"/>
        <v>100</v>
      </c>
      <c r="X39" s="1815"/>
      <c r="Y39" s="3353" t="s">
        <v>2559</v>
      </c>
      <c r="Z39" s="1816" t="str">
        <f t="shared" si="15"/>
        <v>物业管理</v>
      </c>
      <c r="AA39" s="1813">
        <f t="shared" si="3"/>
        <v>1</v>
      </c>
      <c r="AB39" s="1813">
        <f t="shared" si="4"/>
        <v>1</v>
      </c>
      <c r="AC39" s="2674">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351"/>
      <c r="Q40" s="1812" t="str">
        <f t="shared" si="11"/>
        <v>市政基础设施</v>
      </c>
      <c r="R40" s="774" t="s">
        <v>17</v>
      </c>
      <c r="S40" s="775">
        <f t="shared" si="12"/>
        <v>100</v>
      </c>
      <c r="T40" s="774" t="s">
        <v>17</v>
      </c>
      <c r="U40" s="775">
        <f t="shared" si="13"/>
        <v>100</v>
      </c>
      <c r="V40" s="774" t="s">
        <v>17</v>
      </c>
      <c r="W40" s="775">
        <f t="shared" si="14"/>
        <v>100</v>
      </c>
      <c r="X40" s="1815"/>
      <c r="Y40" s="3353"/>
      <c r="Z40" s="1816" t="str">
        <f t="shared" si="15"/>
        <v>市政基础设施</v>
      </c>
      <c r="AA40" s="1813">
        <f t="shared" si="3"/>
        <v>1</v>
      </c>
      <c r="AB40" s="1813">
        <f t="shared" si="4"/>
        <v>1</v>
      </c>
      <c r="AC40" s="2674">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351"/>
      <c r="Q41" s="1812" t="str">
        <f t="shared" si="11"/>
        <v>层高</v>
      </c>
      <c r="R41" s="774" t="s">
        <v>17</v>
      </c>
      <c r="S41" s="775">
        <f t="shared" si="12"/>
        <v>100</v>
      </c>
      <c r="T41" s="774" t="s">
        <v>17</v>
      </c>
      <c r="U41" s="775">
        <f t="shared" si="13"/>
        <v>100</v>
      </c>
      <c r="V41" s="774" t="s">
        <v>17</v>
      </c>
      <c r="W41" s="775">
        <f t="shared" si="14"/>
        <v>100</v>
      </c>
      <c r="X41" s="1815"/>
      <c r="Y41" s="3353"/>
      <c r="Z41" s="1816" t="str">
        <f t="shared" si="15"/>
        <v>层高</v>
      </c>
      <c r="AA41" s="1813">
        <f t="shared" si="3"/>
        <v>1</v>
      </c>
      <c r="AB41" s="1813">
        <f t="shared" si="4"/>
        <v>1</v>
      </c>
      <c r="AC41" s="2674">
        <f t="shared" si="5"/>
        <v>1</v>
      </c>
    </row>
    <row r="42" spans="1:29" s="471" customFormat="1" ht="15">
      <c r="A42" s="468"/>
      <c r="B42" s="1814"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351"/>
      <c r="Q42" s="776" t="str">
        <f t="shared" si="11"/>
        <v>单套建筑面积</v>
      </c>
      <c r="R42" s="777" t="s">
        <v>17</v>
      </c>
      <c r="S42" s="778">
        <f t="shared" si="12"/>
        <v>100</v>
      </c>
      <c r="T42" s="777" t="s">
        <v>17</v>
      </c>
      <c r="U42" s="778">
        <f t="shared" si="13"/>
        <v>100</v>
      </c>
      <c r="V42" s="777" t="s">
        <v>17</v>
      </c>
      <c r="W42" s="778">
        <f t="shared" si="14"/>
        <v>100</v>
      </c>
      <c r="X42" s="779"/>
      <c r="Y42" s="3353"/>
      <c r="Z42" s="780" t="str">
        <f t="shared" si="15"/>
        <v>单套建筑面积</v>
      </c>
      <c r="AA42" s="1813">
        <f t="shared" si="3"/>
        <v>1</v>
      </c>
      <c r="AB42" s="1813">
        <f t="shared" si="4"/>
        <v>1</v>
      </c>
      <c r="AC42" s="2674">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351"/>
      <c r="Q43" s="1812" t="str">
        <f t="shared" si="11"/>
        <v>内部装修</v>
      </c>
      <c r="R43" s="774" t="s">
        <v>17</v>
      </c>
      <c r="S43" s="775">
        <f t="shared" si="12"/>
        <v>100</v>
      </c>
      <c r="T43" s="774" t="s">
        <v>17</v>
      </c>
      <c r="U43" s="775">
        <f t="shared" si="13"/>
        <v>100</v>
      </c>
      <c r="V43" s="774" t="s">
        <v>17</v>
      </c>
      <c r="W43" s="775">
        <f t="shared" si="14"/>
        <v>100</v>
      </c>
      <c r="X43" s="1815"/>
      <c r="Y43" s="3353"/>
      <c r="Z43" s="1816" t="str">
        <f t="shared" si="15"/>
        <v>内部装修</v>
      </c>
      <c r="AA43" s="1813">
        <f t="shared" si="3"/>
        <v>1</v>
      </c>
      <c r="AB43" s="1813">
        <f t="shared" si="4"/>
        <v>1</v>
      </c>
      <c r="AC43" s="2674">
        <f t="shared" si="5"/>
        <v>1</v>
      </c>
    </row>
    <row r="44" spans="1:29" ht="15">
      <c r="A44" s="472"/>
      <c r="B44" s="422" t="s">
        <v>2570</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2"/>
      <c r="M44" s="1133"/>
      <c r="N44" s="1133"/>
      <c r="O44" s="1133"/>
      <c r="P44" s="3351"/>
      <c r="Q44" s="1812" t="str">
        <f t="shared" si="11"/>
        <v>内部装修维护情况</v>
      </c>
      <c r="R44" s="774" t="s">
        <v>17</v>
      </c>
      <c r="S44" s="775">
        <f t="shared" si="12"/>
        <v>100</v>
      </c>
      <c r="T44" s="774" t="s">
        <v>17</v>
      </c>
      <c r="U44" s="775">
        <f t="shared" si="13"/>
        <v>100</v>
      </c>
      <c r="V44" s="774" t="s">
        <v>17</v>
      </c>
      <c r="W44" s="775">
        <f t="shared" si="14"/>
        <v>100</v>
      </c>
      <c r="X44" s="1815"/>
      <c r="Y44" s="3353"/>
      <c r="Z44" s="1816" t="str">
        <f t="shared" si="15"/>
        <v>内部装修维护情况</v>
      </c>
      <c r="AA44" s="1813">
        <f t="shared" si="3"/>
        <v>1</v>
      </c>
      <c r="AB44" s="1813">
        <f t="shared" si="4"/>
        <v>1</v>
      </c>
      <c r="AC44" s="2674">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351"/>
      <c r="Q45" s="1797">
        <f t="shared" si="11"/>
        <v>111</v>
      </c>
      <c r="R45" s="770" t="s">
        <v>17</v>
      </c>
      <c r="S45" s="771">
        <f t="shared" si="12"/>
        <v>100</v>
      </c>
      <c r="T45" s="770" t="s">
        <v>17</v>
      </c>
      <c r="U45" s="771">
        <f t="shared" si="13"/>
        <v>100</v>
      </c>
      <c r="V45" s="770" t="s">
        <v>17</v>
      </c>
      <c r="W45" s="771">
        <f t="shared" si="14"/>
        <v>100</v>
      </c>
      <c r="X45" s="772"/>
      <c r="Y45" s="3353"/>
      <c r="Z45" s="55">
        <f t="shared" si="15"/>
        <v>111</v>
      </c>
      <c r="AA45" s="773">
        <f t="shared" si="3"/>
        <v>1</v>
      </c>
      <c r="AB45" s="773">
        <f t="shared" si="4"/>
        <v>1</v>
      </c>
      <c r="AC45" s="2671">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351"/>
      <c r="Q46" s="1812">
        <f t="shared" si="11"/>
        <v>111</v>
      </c>
      <c r="R46" s="774" t="s">
        <v>17</v>
      </c>
      <c r="S46" s="775">
        <f t="shared" si="12"/>
        <v>100</v>
      </c>
      <c r="T46" s="774" t="s">
        <v>17</v>
      </c>
      <c r="U46" s="775">
        <f t="shared" si="13"/>
        <v>100</v>
      </c>
      <c r="V46" s="774" t="s">
        <v>17</v>
      </c>
      <c r="W46" s="775">
        <f t="shared" si="14"/>
        <v>100</v>
      </c>
      <c r="X46" s="1815"/>
      <c r="Y46" s="3353"/>
      <c r="Z46" s="1816">
        <f t="shared" si="15"/>
        <v>111</v>
      </c>
      <c r="AA46" s="1813">
        <f t="shared" si="3"/>
        <v>1</v>
      </c>
      <c r="AB46" s="1813">
        <f t="shared" si="4"/>
        <v>1</v>
      </c>
      <c r="AC46" s="2674">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352"/>
      <c r="Q47" s="1812">
        <f t="shared" si="11"/>
        <v>111</v>
      </c>
      <c r="R47" s="774" t="s">
        <v>17</v>
      </c>
      <c r="S47" s="775">
        <f t="shared" si="12"/>
        <v>100</v>
      </c>
      <c r="T47" s="774" t="s">
        <v>17</v>
      </c>
      <c r="U47" s="775">
        <f t="shared" si="13"/>
        <v>100</v>
      </c>
      <c r="V47" s="774" t="s">
        <v>17</v>
      </c>
      <c r="W47" s="775">
        <f t="shared" si="14"/>
        <v>100</v>
      </c>
      <c r="X47" s="1815"/>
      <c r="Y47" s="3354"/>
      <c r="Z47" s="1816">
        <f t="shared" si="15"/>
        <v>111</v>
      </c>
      <c r="AA47" s="1813">
        <f t="shared" si="3"/>
        <v>1</v>
      </c>
      <c r="AB47" s="1813">
        <f t="shared" si="4"/>
        <v>1</v>
      </c>
      <c r="AC47" s="2674">
        <f t="shared" si="5"/>
        <v>1</v>
      </c>
    </row>
    <row r="48" spans="1:29" ht="15">
      <c r="A48" s="479" t="s">
        <v>2571</v>
      </c>
      <c r="B48" s="480"/>
      <c r="C48" s="1409" t="s">
        <v>1</v>
      </c>
      <c r="D48" s="1410"/>
      <c r="E48" s="1411"/>
      <c r="F48" s="1412"/>
      <c r="G48" s="1413"/>
      <c r="H48" s="1414"/>
      <c r="I48" s="1411"/>
      <c r="J48" s="485"/>
      <c r="K48" s="783"/>
      <c r="L48" s="1145"/>
      <c r="M48" s="1133"/>
      <c r="N48" s="1133"/>
      <c r="O48" s="1133"/>
      <c r="P48" s="3324" t="str">
        <f>A48</f>
        <v>成交单价（元/平方米）</v>
      </c>
      <c r="Q48" s="3346"/>
      <c r="R48" s="3347">
        <f>E48</f>
        <v>0</v>
      </c>
      <c r="S48" s="3347"/>
      <c r="T48" s="3347">
        <f>G48</f>
        <v>0</v>
      </c>
      <c r="U48" s="3347"/>
      <c r="V48" s="3347">
        <f>I48</f>
        <v>0</v>
      </c>
      <c r="W48" s="3347"/>
      <c r="X48" s="446"/>
      <c r="Y48" s="781"/>
      <c r="Z48" s="446"/>
      <c r="AA48" s="446"/>
      <c r="AB48" s="446"/>
      <c r="AC48" s="630"/>
    </row>
    <row r="49" spans="1:29" ht="15.75" thickBot="1">
      <c r="A49" s="486" t="s">
        <v>2663</v>
      </c>
      <c r="B49" s="487"/>
      <c r="C49" s="1415" t="e">
        <f>R50</f>
        <v>#DIV/0!</v>
      </c>
      <c r="D49" s="1416"/>
      <c r="E49" s="1417" t="e">
        <f>R49</f>
        <v>#DIV/0!</v>
      </c>
      <c r="F49" s="1417"/>
      <c r="G49" s="1415" t="e">
        <f>T49</f>
        <v>#DIV/0!</v>
      </c>
      <c r="H49" s="1416"/>
      <c r="I49" s="1417" t="e">
        <f>V49</f>
        <v>#DIV/0!</v>
      </c>
      <c r="J49" s="489"/>
      <c r="K49" s="784"/>
      <c r="L49" s="1145"/>
      <c r="M49" s="1133"/>
      <c r="N49" s="1133"/>
      <c r="O49" s="1133"/>
      <c r="P49" s="3324" t="str">
        <f>A49</f>
        <v>比较价值（元/平方米）</v>
      </c>
      <c r="Q49" s="3346"/>
      <c r="R49" s="3347" t="e">
        <f>IF(F1="售价",ROUND(PRODUCT(R48,AA7:AA47),0),ROUND(PRODUCT(R48,AA7:AA47),1))</f>
        <v>#DIV/0!</v>
      </c>
      <c r="S49" s="3347"/>
      <c r="T49" s="3347" t="e">
        <f>IF(F1="售价",ROUND(PRODUCT(T48,AB7:AB47),0),ROUND(PRODUCT(T48,AB7:AB47),1))</f>
        <v>#DIV/0!</v>
      </c>
      <c r="U49" s="3347"/>
      <c r="V49" s="3347" t="e">
        <f>IF(F1="售价",ROUND(PRODUCT(V48,AC7:AC47),0),ROUND(PRODUCT(V48,AC7:AC47),1))</f>
        <v>#DIV/0!</v>
      </c>
      <c r="W49" s="3347"/>
      <c r="X49" s="446"/>
      <c r="Y49" s="446"/>
      <c r="Z49" s="446"/>
      <c r="AA49" s="446"/>
      <c r="AB49" s="446"/>
      <c r="AC49" s="630"/>
    </row>
    <row r="50" spans="1:29" ht="15.75" thickBot="1">
      <c r="A50" s="492" t="s">
        <v>2664</v>
      </c>
      <c r="B50" s="493"/>
      <c r="C50" s="1419" t="e">
        <f>R50</f>
        <v>#DIV/0!</v>
      </c>
      <c r="D50" s="1419"/>
      <c r="E50" s="1419"/>
      <c r="F50" s="1419"/>
      <c r="G50" s="1419"/>
      <c r="H50" s="1419"/>
      <c r="I50" s="1419"/>
      <c r="J50" s="494"/>
      <c r="K50" s="785"/>
      <c r="L50" s="1145"/>
      <c r="M50" s="1133"/>
      <c r="N50" s="1133"/>
      <c r="O50" s="1133"/>
      <c r="P50" s="3398" t="str">
        <f>A50</f>
        <v>估价对象XX用房的比较价值（楼面单价，元/平方米）</v>
      </c>
      <c r="Q50" s="3399"/>
      <c r="R50" s="3400" t="e">
        <f>IF(F1="售价",ROUND(AVERAGE(R49:V49),0),ROUND(AVERAGE(R49:V49),1))</f>
        <v>#DIV/0!</v>
      </c>
      <c r="S50" s="3400"/>
      <c r="T50" s="3400"/>
      <c r="U50" s="3400"/>
      <c r="V50" s="3400"/>
      <c r="W50" s="3400"/>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0"/>
    </row>
    <row r="56" spans="1:29" s="502"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3" t="s">
        <v>2668</v>
      </c>
      <c r="B58" s="759"/>
      <c r="C58" s="764"/>
      <c r="D58" s="764"/>
      <c r="E58" s="764"/>
      <c r="F58" s="765"/>
      <c r="G58" s="765"/>
      <c r="H58" s="764"/>
      <c r="I58" s="764"/>
      <c r="J58" s="764"/>
      <c r="K58" s="766"/>
      <c r="L58" s="1163"/>
      <c r="M58" s="1161"/>
      <c r="N58" s="1161"/>
      <c r="O58" s="1161"/>
      <c r="P58" s="2681"/>
      <c r="Q58" s="504"/>
    </row>
    <row r="59" spans="1:29" s="508" customFormat="1" ht="15">
      <c r="A59" s="505" t="s">
        <v>2542</v>
      </c>
      <c r="B59" s="506"/>
      <c r="C59" s="1576" t="str">
        <f>YEAR(C7)&amp;"-"&amp;MONTH(C7)</f>
        <v>2019-1</v>
      </c>
      <c r="D59" s="1577">
        <f>EDATE(C59,-1)</f>
        <v>43435</v>
      </c>
      <c r="E59" s="1577">
        <f>EDATE(D59,-1)</f>
        <v>43405</v>
      </c>
      <c r="F59" s="1577">
        <f t="shared" ref="F59:O59" si="16">EDATE(E59,-1)</f>
        <v>43374</v>
      </c>
      <c r="G59" s="1577">
        <f t="shared" si="16"/>
        <v>43344</v>
      </c>
      <c r="H59" s="1577">
        <f t="shared" si="16"/>
        <v>43313</v>
      </c>
      <c r="I59" s="1577">
        <f t="shared" si="16"/>
        <v>43282</v>
      </c>
      <c r="J59" s="1577">
        <f t="shared" si="16"/>
        <v>43252</v>
      </c>
      <c r="K59" s="1577">
        <f t="shared" si="16"/>
        <v>43221</v>
      </c>
      <c r="L59" s="1577">
        <f t="shared" si="16"/>
        <v>43191</v>
      </c>
      <c r="M59" s="1577">
        <f t="shared" si="16"/>
        <v>43160</v>
      </c>
      <c r="N59" s="1577">
        <f t="shared" si="16"/>
        <v>43132</v>
      </c>
      <c r="O59" s="1577">
        <f t="shared" si="16"/>
        <v>43101</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2579</v>
      </c>
      <c r="B61" s="516"/>
      <c r="C61" s="517"/>
      <c r="D61" s="518"/>
      <c r="E61" s="518"/>
      <c r="F61" s="518"/>
      <c r="G61" s="518"/>
      <c r="H61" s="518"/>
      <c r="I61" s="518"/>
      <c r="J61" s="518"/>
      <c r="K61" s="518"/>
      <c r="L61" s="518"/>
      <c r="M61" s="519"/>
      <c r="N61" s="518"/>
      <c r="O61" s="519"/>
      <c r="P61" s="2682"/>
      <c r="Q61" s="504"/>
    </row>
    <row r="62" spans="1:29" s="117" customFormat="1" ht="15">
      <c r="A62" s="521" t="s">
        <v>2544</v>
      </c>
      <c r="B62" s="510"/>
      <c r="C62" s="522" t="s">
        <v>2646</v>
      </c>
      <c r="D62" s="523"/>
      <c r="E62" s="523"/>
      <c r="F62" s="523"/>
      <c r="G62" s="523"/>
      <c r="H62" s="523"/>
      <c r="I62" s="523"/>
      <c r="J62" s="523"/>
      <c r="K62" s="523"/>
      <c r="L62" s="524"/>
      <c r="M62" s="525"/>
      <c r="N62" s="1153"/>
      <c r="O62" s="1153"/>
      <c r="P62" s="2683"/>
      <c r="Q62" s="504"/>
    </row>
    <row r="63" spans="1:29" s="117" customFormat="1" ht="15.75" thickBot="1">
      <c r="A63" s="521"/>
      <c r="B63" s="510"/>
      <c r="C63" s="511">
        <v>100</v>
      </c>
      <c r="D63" s="512"/>
      <c r="E63" s="512"/>
      <c r="F63" s="512"/>
      <c r="G63" s="512"/>
      <c r="H63" s="512"/>
      <c r="I63" s="512"/>
      <c r="J63" s="512"/>
      <c r="K63" s="512"/>
      <c r="L63" s="512"/>
      <c r="M63" s="514"/>
      <c r="N63" s="1153"/>
      <c r="O63" s="1153"/>
      <c r="P63" s="2682"/>
      <c r="Q63" s="504"/>
    </row>
    <row r="64" spans="1:29">
      <c r="A64" s="527" t="s">
        <v>2582</v>
      </c>
      <c r="B64" s="528" t="s">
        <v>2548</v>
      </c>
      <c r="C64" s="529">
        <f>C9</f>
        <v>0</v>
      </c>
      <c r="D64" s="530"/>
      <c r="E64" s="530"/>
      <c r="F64" s="530"/>
      <c r="G64" s="530"/>
      <c r="H64" s="530"/>
      <c r="I64" s="530"/>
      <c r="J64" s="530"/>
      <c r="K64" s="531"/>
      <c r="L64" s="532"/>
      <c r="M64" s="533"/>
      <c r="N64" s="1154"/>
      <c r="O64" s="1154"/>
      <c r="P64" s="2684"/>
      <c r="Q64" s="504"/>
    </row>
    <row r="65" spans="1:17" ht="15.75" thickBot="1">
      <c r="A65" s="534"/>
      <c r="B65" s="535"/>
      <c r="C65" s="536">
        <v>100</v>
      </c>
      <c r="D65" s="536"/>
      <c r="E65" s="536"/>
      <c r="F65" s="536"/>
      <c r="G65" s="536"/>
      <c r="H65" s="536"/>
      <c r="I65" s="536"/>
      <c r="J65" s="536"/>
      <c r="K65" s="536"/>
      <c r="L65" s="536"/>
      <c r="M65" s="537"/>
      <c r="N65" s="1155"/>
      <c r="O65" s="1155"/>
      <c r="P65" s="2684"/>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4"/>
      <c r="O66" s="1154"/>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4"/>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4"/>
      <c r="Q68" s="504"/>
    </row>
    <row r="69" spans="1:17" ht="15">
      <c r="A69" s="534"/>
      <c r="B69" s="548"/>
      <c r="C69" s="549"/>
      <c r="D69" s="549"/>
      <c r="E69" s="549"/>
      <c r="F69" s="549"/>
      <c r="G69" s="549"/>
      <c r="H69" s="549"/>
      <c r="I69" s="549"/>
      <c r="J69" s="549"/>
      <c r="K69" s="550"/>
      <c r="L69" s="551"/>
      <c r="M69" s="552"/>
      <c r="N69" s="1154"/>
      <c r="O69" s="1154"/>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4"/>
      <c r="Q70" s="504"/>
    </row>
    <row r="71" spans="1:17" s="471" customFormat="1" ht="15.75" thickTop="1">
      <c r="A71" s="553"/>
      <c r="B71" s="538">
        <f>B12</f>
        <v>111</v>
      </c>
      <c r="C71" s="554"/>
      <c r="D71" s="554"/>
      <c r="E71" s="554"/>
      <c r="F71" s="554"/>
      <c r="G71" s="554"/>
      <c r="H71" s="555"/>
      <c r="I71" s="555"/>
      <c r="J71" s="555"/>
      <c r="K71" s="555"/>
      <c r="L71" s="556"/>
      <c r="M71" s="557"/>
      <c r="N71" s="1156"/>
      <c r="O71" s="1156"/>
      <c r="P71" s="2685"/>
      <c r="Q71" s="559"/>
    </row>
    <row r="72" spans="1:17" s="471" customFormat="1" ht="15.75" thickBot="1">
      <c r="A72" s="553"/>
      <c r="B72" s="543"/>
      <c r="C72" s="560"/>
      <c r="D72" s="536"/>
      <c r="E72" s="536"/>
      <c r="F72" s="536"/>
      <c r="G72" s="536"/>
      <c r="H72" s="536"/>
      <c r="I72" s="536"/>
      <c r="J72" s="536"/>
      <c r="K72" s="536"/>
      <c r="L72" s="536"/>
      <c r="M72" s="537"/>
      <c r="N72" s="1155"/>
      <c r="O72" s="1155"/>
      <c r="P72" s="2685"/>
      <c r="Q72" s="559"/>
    </row>
    <row r="73" spans="1:17" s="471" customFormat="1" ht="15.75" thickTop="1">
      <c r="A73" s="553"/>
      <c r="B73" s="538">
        <f>B13</f>
        <v>111</v>
      </c>
      <c r="C73" s="554"/>
      <c r="D73" s="554"/>
      <c r="E73" s="554"/>
      <c r="F73" s="554"/>
      <c r="G73" s="554"/>
      <c r="H73" s="555"/>
      <c r="I73" s="555"/>
      <c r="J73" s="555"/>
      <c r="K73" s="555"/>
      <c r="L73" s="556"/>
      <c r="M73" s="557"/>
      <c r="N73" s="1156"/>
      <c r="O73" s="1156"/>
      <c r="P73" s="2686"/>
      <c r="Q73" s="561"/>
    </row>
    <row r="74" spans="1:17" s="471" customFormat="1" ht="15.75" thickBot="1">
      <c r="A74" s="553"/>
      <c r="B74" s="543"/>
      <c r="C74" s="560"/>
      <c r="D74" s="560"/>
      <c r="E74" s="560"/>
      <c r="F74" s="560"/>
      <c r="G74" s="560"/>
      <c r="H74" s="562"/>
      <c r="I74" s="562"/>
      <c r="J74" s="562"/>
      <c r="K74" s="562"/>
      <c r="L74" s="562"/>
      <c r="M74" s="563"/>
      <c r="N74" s="1156"/>
      <c r="O74" s="1156"/>
      <c r="P74" s="2685"/>
      <c r="Q74" s="559"/>
    </row>
    <row r="75" spans="1:17" s="471" customFormat="1" ht="15.75" thickTop="1">
      <c r="A75" s="553"/>
      <c r="B75" s="546">
        <f>B14</f>
        <v>111</v>
      </c>
      <c r="C75" s="523"/>
      <c r="D75" s="523"/>
      <c r="E75" s="523"/>
      <c r="F75" s="523"/>
      <c r="G75" s="523"/>
      <c r="H75" s="564"/>
      <c r="I75" s="564"/>
      <c r="J75" s="564"/>
      <c r="K75" s="564"/>
      <c r="L75" s="565"/>
      <c r="M75" s="566"/>
      <c r="N75" s="1156"/>
      <c r="O75" s="1156"/>
      <c r="P75" s="2687"/>
      <c r="Q75" s="559"/>
    </row>
    <row r="76" spans="1:17" s="471" customFormat="1" ht="15.75" thickBot="1">
      <c r="A76" s="568"/>
      <c r="B76" s="569"/>
      <c r="C76" s="570"/>
      <c r="D76" s="570"/>
      <c r="E76" s="570"/>
      <c r="F76" s="570"/>
      <c r="G76" s="570"/>
      <c r="H76" s="571"/>
      <c r="I76" s="571"/>
      <c r="J76" s="571"/>
      <c r="K76" s="571"/>
      <c r="L76" s="571"/>
      <c r="M76" s="572"/>
      <c r="N76" s="1156"/>
      <c r="O76" s="1156"/>
      <c r="P76" s="2685"/>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4"/>
      <c r="O77" s="1154"/>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4"/>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4"/>
      <c r="O79" s="1154"/>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4"/>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4"/>
      <c r="O81" s="1154"/>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4"/>
      <c r="Q82" s="504"/>
    </row>
    <row r="83" spans="1:17" ht="15.75" thickTop="1">
      <c r="A83" s="534"/>
      <c r="B83" s="546" t="s">
        <v>2683</v>
      </c>
      <c r="C83" s="660" t="s">
        <v>2669</v>
      </c>
      <c r="D83" s="660" t="s">
        <v>2670</v>
      </c>
      <c r="E83" s="660" t="s">
        <v>2671</v>
      </c>
      <c r="F83" s="660" t="s">
        <v>2672</v>
      </c>
      <c r="G83" s="660" t="s">
        <v>2673</v>
      </c>
      <c r="H83" s="539"/>
      <c r="I83" s="539"/>
      <c r="J83" s="539"/>
      <c r="K83" s="539"/>
      <c r="L83" s="539"/>
      <c r="M83" s="1384"/>
      <c r="N83" s="1155"/>
      <c r="O83" s="1155"/>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4"/>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4"/>
      <c r="O85" s="1154"/>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4"/>
      <c r="Q86" s="504"/>
    </row>
    <row r="87" spans="1:17" s="117" customFormat="1" ht="27.75" thickTop="1">
      <c r="A87" s="579"/>
      <c r="B87" s="538" t="s">
        <v>2693</v>
      </c>
      <c r="C87" s="554"/>
      <c r="D87" s="554"/>
      <c r="E87" s="554"/>
      <c r="F87" s="554"/>
      <c r="G87" s="554"/>
      <c r="H87" s="554"/>
      <c r="I87" s="554"/>
      <c r="J87" s="554"/>
      <c r="K87" s="554"/>
      <c r="L87" s="580"/>
      <c r="M87" s="581"/>
      <c r="N87" s="1153"/>
      <c r="O87" s="1153"/>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4"/>
      <c r="Q88" s="504"/>
    </row>
    <row r="89" spans="1:17" s="117" customFormat="1" ht="15.75" thickTop="1">
      <c r="A89" s="579"/>
      <c r="B89" s="538" t="str">
        <f>B27</f>
        <v>楼层</v>
      </c>
      <c r="C89" s="554"/>
      <c r="D89" s="554"/>
      <c r="E89" s="554"/>
      <c r="F89" s="2635"/>
      <c r="G89" s="554"/>
      <c r="H89" s="554"/>
      <c r="I89" s="554"/>
      <c r="J89" s="554"/>
      <c r="K89" s="554"/>
      <c r="L89" s="554"/>
      <c r="M89" s="581"/>
      <c r="N89" s="1153"/>
      <c r="O89" s="1153"/>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4"/>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5"/>
      <c r="Q92" s="559"/>
    </row>
    <row r="93" spans="1:17" ht="15.75" thickTop="1">
      <c r="A93" s="534"/>
      <c r="B93" s="538">
        <f>B29</f>
        <v>111</v>
      </c>
      <c r="C93" s="554"/>
      <c r="D93" s="554"/>
      <c r="E93" s="554"/>
      <c r="F93" s="554"/>
      <c r="G93" s="554"/>
      <c r="H93" s="554"/>
      <c r="I93" s="554"/>
      <c r="J93" s="554"/>
      <c r="K93" s="554"/>
      <c r="L93" s="580"/>
      <c r="M93" s="581"/>
      <c r="N93" s="1154"/>
      <c r="O93" s="1154"/>
      <c r="P93" s="2684"/>
      <c r="Q93" s="504"/>
    </row>
    <row r="94" spans="1:17" ht="15.75" thickBot="1">
      <c r="A94" s="534"/>
      <c r="B94" s="543"/>
      <c r="C94" s="560"/>
      <c r="D94" s="536"/>
      <c r="E94" s="536"/>
      <c r="F94" s="536"/>
      <c r="G94" s="536"/>
      <c r="H94" s="536"/>
      <c r="I94" s="536"/>
      <c r="J94" s="536"/>
      <c r="K94" s="536"/>
      <c r="L94" s="536"/>
      <c r="M94" s="537"/>
      <c r="N94" s="1155"/>
      <c r="O94" s="1155"/>
      <c r="P94" s="2684"/>
      <c r="Q94" s="504"/>
    </row>
    <row r="95" spans="1:17" ht="15.75" thickTop="1">
      <c r="A95" s="534"/>
      <c r="B95" s="538">
        <f>B30</f>
        <v>111</v>
      </c>
      <c r="C95" s="554"/>
      <c r="D95" s="554"/>
      <c r="E95" s="554"/>
      <c r="F95" s="554"/>
      <c r="G95" s="583"/>
      <c r="H95" s="583"/>
      <c r="I95" s="583"/>
      <c r="J95" s="583"/>
      <c r="K95" s="584"/>
      <c r="L95" s="585"/>
      <c r="M95" s="586"/>
      <c r="N95" s="1154"/>
      <c r="O95" s="1154"/>
      <c r="P95" s="2684"/>
      <c r="Q95" s="504"/>
    </row>
    <row r="96" spans="1:17" ht="15.75" thickBot="1">
      <c r="A96" s="534"/>
      <c r="B96" s="543"/>
      <c r="C96" s="560"/>
      <c r="D96" s="560"/>
      <c r="E96" s="560"/>
      <c r="F96" s="560"/>
      <c r="G96" s="536"/>
      <c r="H96" s="536"/>
      <c r="I96" s="536"/>
      <c r="J96" s="536"/>
      <c r="K96" s="536"/>
      <c r="L96" s="536"/>
      <c r="M96" s="537"/>
      <c r="N96" s="1155"/>
      <c r="O96" s="1155"/>
      <c r="P96" s="2684"/>
      <c r="Q96" s="504"/>
    </row>
    <row r="97" spans="1:17" ht="15.75" thickTop="1">
      <c r="A97" s="534"/>
      <c r="B97" s="538">
        <f>B31</f>
        <v>111</v>
      </c>
      <c r="C97" s="554"/>
      <c r="D97" s="554"/>
      <c r="E97" s="554"/>
      <c r="F97" s="554"/>
      <c r="G97" s="583"/>
      <c r="H97" s="583"/>
      <c r="I97" s="583"/>
      <c r="J97" s="583"/>
      <c r="K97" s="584"/>
      <c r="L97" s="585"/>
      <c r="M97" s="586"/>
      <c r="N97" s="1154"/>
      <c r="O97" s="1154"/>
      <c r="P97" s="2684"/>
      <c r="Q97" s="504"/>
    </row>
    <row r="98" spans="1:17" ht="15.75" thickBot="1">
      <c r="A98" s="534"/>
      <c r="B98" s="543"/>
      <c r="C98" s="560"/>
      <c r="D98" s="536"/>
      <c r="E98" s="536"/>
      <c r="F98" s="536"/>
      <c r="G98" s="536"/>
      <c r="H98" s="536"/>
      <c r="I98" s="536"/>
      <c r="J98" s="536"/>
      <c r="K98" s="536"/>
      <c r="L98" s="536"/>
      <c r="M98" s="537"/>
      <c r="N98" s="1155"/>
      <c r="O98" s="1155"/>
      <c r="P98" s="2684"/>
      <c r="Q98" s="504"/>
    </row>
    <row r="99" spans="1:17" ht="15.75" thickTop="1">
      <c r="A99" s="534"/>
      <c r="B99" s="546">
        <f>B32</f>
        <v>111</v>
      </c>
      <c r="C99" s="523"/>
      <c r="D99" s="523"/>
      <c r="E99" s="523"/>
      <c r="F99" s="523"/>
      <c r="G99" s="587"/>
      <c r="H99" s="587"/>
      <c r="I99" s="587"/>
      <c r="J99" s="587"/>
      <c r="K99" s="588"/>
      <c r="L99" s="589"/>
      <c r="M99" s="590"/>
      <c r="N99" s="1154"/>
      <c r="O99" s="1154"/>
      <c r="P99" s="2684"/>
      <c r="Q99" s="504"/>
    </row>
    <row r="100" spans="1:17" ht="15.75" thickBot="1">
      <c r="A100" s="2636"/>
      <c r="B100" s="569"/>
      <c r="C100" s="570"/>
      <c r="D100" s="570"/>
      <c r="E100" s="570"/>
      <c r="F100" s="570"/>
      <c r="G100" s="591"/>
      <c r="H100" s="591"/>
      <c r="I100" s="591"/>
      <c r="J100" s="591"/>
      <c r="K100" s="591"/>
      <c r="L100" s="591"/>
      <c r="M100" s="592"/>
      <c r="N100" s="1155"/>
      <c r="O100" s="1155"/>
      <c r="P100" s="2684"/>
      <c r="Q100" s="504"/>
    </row>
    <row r="101" spans="1:17">
      <c r="A101" s="527" t="s">
        <v>2557</v>
      </c>
      <c r="B101" s="528" t="s">
        <v>2606</v>
      </c>
      <c r="C101" s="530"/>
      <c r="D101" s="530"/>
      <c r="E101" s="530"/>
      <c r="F101" s="530"/>
      <c r="G101" s="530"/>
      <c r="H101" s="530"/>
      <c r="I101" s="530"/>
      <c r="J101" s="530"/>
      <c r="K101" s="531"/>
      <c r="L101" s="532"/>
      <c r="M101" s="533"/>
      <c r="N101" s="1154"/>
      <c r="O101" s="1154"/>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4"/>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4"/>
      <c r="Q103" s="504"/>
    </row>
    <row r="104" spans="1:17" s="471" customFormat="1">
      <c r="A104" s="593"/>
      <c r="B104" s="594"/>
      <c r="C104" s="595"/>
      <c r="D104" s="595"/>
      <c r="E104" s="595"/>
      <c r="F104" s="595"/>
      <c r="G104" s="595"/>
      <c r="H104" s="595"/>
      <c r="I104" s="595"/>
      <c r="J104" s="596"/>
      <c r="K104" s="596"/>
      <c r="L104" s="597"/>
      <c r="M104" s="598"/>
      <c r="N104" s="1156"/>
      <c r="O104" s="1156"/>
      <c r="P104" s="2685"/>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5"/>
      <c r="Q105" s="559"/>
    </row>
    <row r="106" spans="1:17" ht="15" thickTop="1">
      <c r="A106" s="599"/>
      <c r="B106" s="538" t="s">
        <v>2608</v>
      </c>
      <c r="C106" s="554"/>
      <c r="D106" s="554"/>
      <c r="E106" s="583"/>
      <c r="F106" s="583"/>
      <c r="G106" s="583"/>
      <c r="H106" s="583"/>
      <c r="I106" s="583"/>
      <c r="J106" s="583"/>
      <c r="K106" s="584"/>
      <c r="L106" s="585"/>
      <c r="M106" s="586"/>
      <c r="N106" s="1154"/>
      <c r="O106" s="1154"/>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4"/>
      <c r="Q107" s="504"/>
    </row>
    <row r="108" spans="1:17" ht="15" thickTop="1">
      <c r="A108" s="599"/>
      <c r="B108" s="538" t="s">
        <v>2610</v>
      </c>
      <c r="C108" s="554"/>
      <c r="D108" s="554"/>
      <c r="E108" s="554"/>
      <c r="F108" s="583"/>
      <c r="G108" s="583"/>
      <c r="H108" s="583"/>
      <c r="I108" s="583"/>
      <c r="J108" s="583"/>
      <c r="K108" s="584"/>
      <c r="L108" s="585"/>
      <c r="M108" s="586"/>
      <c r="N108" s="1154"/>
      <c r="O108" s="1154"/>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4"/>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4"/>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4"/>
      <c r="Q112" s="504"/>
    </row>
    <row r="113" spans="1:17" s="471" customFormat="1" ht="15" thickTop="1">
      <c r="A113" s="593"/>
      <c r="B113" s="538" t="s">
        <v>2694</v>
      </c>
      <c r="C113" s="554"/>
      <c r="D113" s="554"/>
      <c r="E113" s="554"/>
      <c r="F113" s="554"/>
      <c r="G113" s="554"/>
      <c r="H113" s="583"/>
      <c r="I113" s="583"/>
      <c r="J113" s="583"/>
      <c r="K113" s="584"/>
      <c r="L113" s="585"/>
      <c r="M113" s="586"/>
      <c r="N113" s="1156"/>
      <c r="O113" s="1156"/>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5"/>
      <c r="Q114" s="559"/>
    </row>
    <row r="115" spans="1:17" ht="15" thickTop="1">
      <c r="A115" s="599"/>
      <c r="B115" s="538" t="s">
        <v>2611</v>
      </c>
      <c r="C115" s="554"/>
      <c r="D115" s="554"/>
      <c r="E115" s="583"/>
      <c r="F115" s="583"/>
      <c r="G115" s="583"/>
      <c r="H115" s="583"/>
      <c r="I115" s="583"/>
      <c r="J115" s="583"/>
      <c r="K115" s="584"/>
      <c r="L115" s="585"/>
      <c r="M115" s="586"/>
      <c r="N115" s="1154"/>
      <c r="O115" s="1154"/>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4"/>
      <c r="Q116" s="504"/>
    </row>
    <row r="117" spans="1:17" ht="15" thickTop="1">
      <c r="A117" s="599"/>
      <c r="B117" s="538" t="s">
        <v>2612</v>
      </c>
      <c r="C117" s="554"/>
      <c r="D117" s="554"/>
      <c r="E117" s="554"/>
      <c r="F117" s="554"/>
      <c r="G117" s="554"/>
      <c r="H117" s="583"/>
      <c r="I117" s="583"/>
      <c r="J117" s="583"/>
      <c r="K117" s="584"/>
      <c r="L117" s="585"/>
      <c r="M117" s="586"/>
      <c r="N117" s="1154"/>
      <c r="O117" s="1154"/>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4"/>
      <c r="Q118" s="504"/>
    </row>
    <row r="119" spans="1:17" ht="15" thickTop="1">
      <c r="A119" s="599"/>
      <c r="B119" s="636" t="s">
        <v>2695</v>
      </c>
      <c r="C119" s="583"/>
      <c r="D119" s="583"/>
      <c r="E119" s="583"/>
      <c r="F119" s="583"/>
      <c r="G119" s="583"/>
      <c r="H119" s="583"/>
      <c r="I119" s="583"/>
      <c r="J119" s="583"/>
      <c r="K119" s="583"/>
      <c r="L119" s="2689"/>
      <c r="M119" s="2690"/>
      <c r="N119" s="1155"/>
      <c r="O119" s="1155"/>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4"/>
      <c r="Q120" s="504"/>
    </row>
    <row r="121" spans="1:17" s="471" customFormat="1" ht="15" thickTop="1">
      <c r="A121" s="593"/>
      <c r="B121" s="538" t="s">
        <v>2678</v>
      </c>
      <c r="C121" s="554"/>
      <c r="D121" s="554"/>
      <c r="E121" s="554"/>
      <c r="F121" s="583"/>
      <c r="G121" s="555"/>
      <c r="H121" s="555"/>
      <c r="I121" s="555"/>
      <c r="J121" s="555"/>
      <c r="K121" s="555"/>
      <c r="L121" s="556"/>
      <c r="M121" s="557"/>
      <c r="N121" s="1156"/>
      <c r="O121" s="1156"/>
      <c r="P121" s="2685"/>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5"/>
      <c r="Q122" s="559"/>
    </row>
    <row r="123" spans="1:17" ht="15" thickTop="1">
      <c r="A123" s="599"/>
      <c r="B123" s="538" t="s">
        <v>2614</v>
      </c>
      <c r="C123" s="554"/>
      <c r="D123" s="554"/>
      <c r="E123" s="554"/>
      <c r="F123" s="583"/>
      <c r="G123" s="583"/>
      <c r="H123" s="583"/>
      <c r="I123" s="583"/>
      <c r="J123" s="583"/>
      <c r="K123" s="584"/>
      <c r="L123" s="585"/>
      <c r="M123" s="586"/>
      <c r="N123" s="1154"/>
      <c r="O123" s="1154"/>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4"/>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4"/>
      <c r="O125" s="1154"/>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4"/>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5"/>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5"/>
      <c r="Q128" s="559"/>
    </row>
    <row r="129" spans="1:17" ht="15" thickTop="1">
      <c r="A129" s="599"/>
      <c r="B129" s="538">
        <f>B46</f>
        <v>111</v>
      </c>
      <c r="C129" s="554"/>
      <c r="D129" s="554"/>
      <c r="E129" s="554"/>
      <c r="F129" s="554"/>
      <c r="G129" s="583"/>
      <c r="H129" s="583"/>
      <c r="I129" s="583"/>
      <c r="J129" s="583"/>
      <c r="K129" s="584"/>
      <c r="L129" s="585"/>
      <c r="M129" s="586"/>
      <c r="N129" s="1154"/>
      <c r="O129" s="1154"/>
      <c r="P129" s="2684"/>
      <c r="Q129" s="504"/>
    </row>
    <row r="130" spans="1:17" ht="15.75" thickBot="1">
      <c r="A130" s="534"/>
      <c r="B130" s="543"/>
      <c r="C130" s="560"/>
      <c r="D130" s="560"/>
      <c r="E130" s="560"/>
      <c r="F130" s="560"/>
      <c r="G130" s="536"/>
      <c r="H130" s="536"/>
      <c r="I130" s="536"/>
      <c r="J130" s="536"/>
      <c r="K130" s="536"/>
      <c r="L130" s="536"/>
      <c r="M130" s="537"/>
      <c r="N130" s="1155"/>
      <c r="O130" s="1155"/>
      <c r="P130" s="2684"/>
      <c r="Q130" s="504"/>
    </row>
    <row r="131" spans="1:17" ht="15" thickTop="1">
      <c r="A131" s="599"/>
      <c r="B131" s="546">
        <f>B47</f>
        <v>111</v>
      </c>
      <c r="C131" s="523"/>
      <c r="D131" s="523"/>
      <c r="E131" s="523"/>
      <c r="F131" s="523"/>
      <c r="G131" s="587"/>
      <c r="H131" s="587"/>
      <c r="I131" s="587"/>
      <c r="J131" s="587"/>
      <c r="K131" s="523"/>
      <c r="L131" s="524"/>
      <c r="M131" s="590"/>
      <c r="N131" s="1154"/>
      <c r="O131" s="1154"/>
      <c r="P131" s="2684"/>
      <c r="Q131" s="504"/>
    </row>
    <row r="132" spans="1:17" ht="15.75" thickBot="1">
      <c r="A132" s="2636"/>
      <c r="B132" s="569"/>
      <c r="C132" s="570"/>
      <c r="D132" s="570"/>
      <c r="E132" s="570"/>
      <c r="F132" s="570"/>
      <c r="G132" s="591"/>
      <c r="H132" s="591"/>
      <c r="I132" s="591"/>
      <c r="J132" s="591"/>
      <c r="K132" s="591"/>
      <c r="L132" s="591"/>
      <c r="M132" s="592"/>
      <c r="N132" s="1155"/>
      <c r="O132" s="1155"/>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2" priority="16" stopIfTrue="1" operator="containsText" text="超过">
      <formula>NOT(ISERROR(SEARCH("超过",F53)))</formula>
    </cfRule>
  </conditionalFormatting>
  <conditionalFormatting sqref="H55">
    <cfRule type="containsText" dxfId="141" priority="15" stopIfTrue="1" operator="containsText" text="超过">
      <formula>NOT(ISERROR(SEARCH("超过",H55)))</formula>
    </cfRule>
  </conditionalFormatting>
  <conditionalFormatting sqref="F55">
    <cfRule type="containsText" dxfId="140" priority="14" stopIfTrue="1" operator="containsText" text="超过">
      <formula>NOT(ISERROR(SEARCH("超过",F55)))</formula>
    </cfRule>
  </conditionalFormatting>
  <conditionalFormatting sqref="F54 H54">
    <cfRule type="containsText" dxfId="139" priority="13" stopIfTrue="1" operator="containsText" text="超过">
      <formula>NOT(ISERROR(SEARCH("超过",F54)))</formula>
    </cfRule>
  </conditionalFormatting>
  <conditionalFormatting sqref="E53">
    <cfRule type="expression" dxfId="138" priority="12" stopIfTrue="1">
      <formula>$F$53="超过30%"</formula>
    </cfRule>
  </conditionalFormatting>
  <conditionalFormatting sqref="E54">
    <cfRule type="expression" dxfId="137" priority="11" stopIfTrue="1">
      <formula>$F$54="超过20%"</formula>
    </cfRule>
  </conditionalFormatting>
  <conditionalFormatting sqref="E55">
    <cfRule type="expression" dxfId="136" priority="10" stopIfTrue="1">
      <formula>$F$55="超过30%"</formula>
    </cfRule>
  </conditionalFormatting>
  <conditionalFormatting sqref="G55">
    <cfRule type="expression" dxfId="135" priority="9" stopIfTrue="1">
      <formula>$H$55="超过30%"</formula>
    </cfRule>
  </conditionalFormatting>
  <conditionalFormatting sqref="G53">
    <cfRule type="expression" dxfId="134" priority="8" stopIfTrue="1">
      <formula>$H$53="超过30%"</formula>
    </cfRule>
  </conditionalFormatting>
  <conditionalFormatting sqref="G54">
    <cfRule type="expression" dxfId="133" priority="7" stopIfTrue="1">
      <formula>$H$54="超过20%"</formula>
    </cfRule>
  </conditionalFormatting>
  <conditionalFormatting sqref="J53">
    <cfRule type="containsText" dxfId="132" priority="6" stopIfTrue="1" operator="containsText" text="超过">
      <formula>NOT(ISERROR(SEARCH("超过",J53)))</formula>
    </cfRule>
  </conditionalFormatting>
  <conditionalFormatting sqref="J55">
    <cfRule type="containsText" dxfId="131" priority="5" stopIfTrue="1" operator="containsText" text="超过">
      <formula>NOT(ISERROR(SEARCH("超过",J55)))</formula>
    </cfRule>
  </conditionalFormatting>
  <conditionalFormatting sqref="J54">
    <cfRule type="containsText" dxfId="130" priority="4" stopIfTrue="1" operator="containsText" text="超过">
      <formula>NOT(ISERROR(SEARCH("超过",J54)))</formula>
    </cfRule>
  </conditionalFormatting>
  <conditionalFormatting sqref="I53">
    <cfRule type="expression" dxfId="129" priority="3" stopIfTrue="1">
      <formula>$J$53="超过30%"</formula>
    </cfRule>
  </conditionalFormatting>
  <conditionalFormatting sqref="I54">
    <cfRule type="expression" dxfId="128" priority="2" stopIfTrue="1">
      <formula>$J$53+$J$54="超过20%"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zoomScalePageLayoutView="90" workbookViewId="0">
      <selection activeCell="G13" sqref="G13"/>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31" customFormat="1" ht="28.5" customHeight="1" thickBot="1">
      <c r="A1" s="1620" t="s">
        <v>2522</v>
      </c>
      <c r="B1" s="2669" t="s">
        <v>2696</v>
      </c>
      <c r="C1" s="1622" t="s">
        <v>2524</v>
      </c>
      <c r="D1" s="1623"/>
      <c r="E1" s="1632"/>
      <c r="F1" s="2585"/>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2321</v>
      </c>
      <c r="B2" s="1420" t="e">
        <f ca="1">IF(C2="——",ROUND(C43*D3/10000,0),ROUND(C43*D3/10000,0)-D2)</f>
        <v>#DIV/0!</v>
      </c>
      <c r="C2" s="2587"/>
      <c r="D2" s="1126" t="e">
        <f ca="1">SUMIF(INDIRECT("'"&amp;F2&amp;"'"&amp;"!A:A"),"承租人权益价值",INDIRECT("'"&amp;F2&amp;"'"&amp;"!c:c"))</f>
        <v>#REF!</v>
      </c>
      <c r="E2" s="2588" t="s">
        <v>2322</v>
      </c>
      <c r="F2" s="2589"/>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137390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2639</v>
      </c>
      <c r="B4" s="402"/>
      <c r="C4" s="3325" t="s">
        <v>2640</v>
      </c>
      <c r="D4" s="3326"/>
      <c r="E4" s="3327" t="s">
        <v>2641</v>
      </c>
      <c r="F4" s="3328"/>
      <c r="G4" s="3325" t="s">
        <v>2642</v>
      </c>
      <c r="H4" s="3326"/>
      <c r="I4" s="3325" t="s">
        <v>2643</v>
      </c>
      <c r="J4" s="3326"/>
      <c r="K4" s="610" t="s">
        <v>2644</v>
      </c>
      <c r="L4" s="1132"/>
      <c r="M4" s="1133"/>
      <c r="N4" s="1133"/>
      <c r="O4" s="1133"/>
      <c r="P4" s="3331" t="s">
        <v>2645</v>
      </c>
      <c r="Q4" s="3332"/>
      <c r="R4" s="3310" t="s">
        <v>2641</v>
      </c>
      <c r="S4" s="3311"/>
      <c r="T4" s="3310" t="s">
        <v>2642</v>
      </c>
      <c r="U4" s="3311"/>
      <c r="V4" s="3339" t="s">
        <v>2643</v>
      </c>
      <c r="W4" s="3339"/>
      <c r="X4" s="1815"/>
      <c r="Y4" s="3310" t="s">
        <v>2645</v>
      </c>
      <c r="Z4" s="3311"/>
      <c r="AA4" s="3305" t="s">
        <v>2641</v>
      </c>
      <c r="AB4" s="3306" t="s">
        <v>2642</v>
      </c>
      <c r="AC4" s="3305" t="s">
        <v>2643</v>
      </c>
    </row>
    <row r="5" spans="1:29" ht="15">
      <c r="A5" s="404"/>
      <c r="B5" s="405"/>
      <c r="C5" s="3316" t="s">
        <v>2536</v>
      </c>
      <c r="D5" s="3317"/>
      <c r="E5" s="3387" t="s">
        <v>2537</v>
      </c>
      <c r="F5" s="3315"/>
      <c r="G5" s="3316" t="s">
        <v>2538</v>
      </c>
      <c r="H5" s="3317"/>
      <c r="I5" s="3316" t="s">
        <v>2539</v>
      </c>
      <c r="J5" s="3317"/>
      <c r="K5" s="610"/>
      <c r="L5" s="1132"/>
      <c r="M5" s="1133"/>
      <c r="N5" s="1133"/>
      <c r="O5" s="1133"/>
      <c r="P5" s="3333"/>
      <c r="Q5" s="3334"/>
      <c r="R5" s="3312"/>
      <c r="S5" s="3313"/>
      <c r="T5" s="3312"/>
      <c r="U5" s="3313"/>
      <c r="V5" s="3339"/>
      <c r="W5" s="3339"/>
      <c r="X5" s="1815"/>
      <c r="Y5" s="3312"/>
      <c r="Z5" s="3313"/>
      <c r="AA5" s="3306"/>
      <c r="AB5" s="3306"/>
      <c r="AC5" s="3306"/>
    </row>
    <row r="6" spans="1:29" ht="15.75" thickBot="1">
      <c r="A6" s="406"/>
      <c r="B6" s="407"/>
      <c r="C6" s="3318" t="s">
        <v>2540</v>
      </c>
      <c r="D6" s="3319"/>
      <c r="E6" s="3388" t="s">
        <v>2540</v>
      </c>
      <c r="F6" s="3322"/>
      <c r="G6" s="3318" t="s">
        <v>2540</v>
      </c>
      <c r="H6" s="3319"/>
      <c r="I6" s="3318" t="s">
        <v>2540</v>
      </c>
      <c r="J6" s="3319"/>
      <c r="K6" s="610" t="s">
        <v>2541</v>
      </c>
      <c r="L6" s="1132"/>
      <c r="M6" s="1133"/>
      <c r="N6" s="1133"/>
      <c r="O6" s="1133"/>
      <c r="P6" s="3335"/>
      <c r="Q6" s="3336"/>
      <c r="R6" s="3312"/>
      <c r="S6" s="3313"/>
      <c r="T6" s="3337"/>
      <c r="U6" s="3338"/>
      <c r="V6" s="3339"/>
      <c r="W6" s="3339"/>
      <c r="X6" s="1815"/>
      <c r="Y6" s="3337"/>
      <c r="Z6" s="3338"/>
      <c r="AA6" s="3307"/>
      <c r="AB6" s="3307"/>
      <c r="AC6" s="3307"/>
    </row>
    <row r="7" spans="1:29" s="117" customFormat="1" ht="15.75" thickBot="1">
      <c r="A7" s="408" t="s">
        <v>2542</v>
      </c>
      <c r="B7" s="409"/>
      <c r="C7" s="410">
        <f>'数据-取费表'!B2</f>
        <v>43482</v>
      </c>
      <c r="D7" s="411">
        <v>100</v>
      </c>
      <c r="E7" s="412"/>
      <c r="F7" s="413">
        <f>SUMIF(52:52,YEAR(E7)&amp;"-"&amp;MONTH(E7),53:53)</f>
        <v>0</v>
      </c>
      <c r="G7" s="412"/>
      <c r="H7" s="411">
        <f>SUMIF(52:52,YEAR(G7)&amp;"-"&amp;MONTH(G7),53:53)</f>
        <v>0</v>
      </c>
      <c r="I7" s="412"/>
      <c r="J7" s="411">
        <f>SUMIF(52:52,YEAR(I7)&amp;"-"&amp;MONTH(I7),53:53)</f>
        <v>0</v>
      </c>
      <c r="K7" s="611"/>
      <c r="L7" s="1134"/>
      <c r="M7" s="1135"/>
      <c r="N7" s="1135"/>
      <c r="O7" s="1135"/>
      <c r="P7" s="3308" t="s">
        <v>2543</v>
      </c>
      <c r="Q7" s="3342"/>
      <c r="R7" s="770" t="s">
        <v>17</v>
      </c>
      <c r="S7" s="771">
        <f t="shared" ref="S7:S15" si="0">F7</f>
        <v>0</v>
      </c>
      <c r="T7" s="770" t="s">
        <v>17</v>
      </c>
      <c r="U7" s="771">
        <f t="shared" ref="U7:U15" si="1">H7</f>
        <v>0</v>
      </c>
      <c r="V7" s="770" t="s">
        <v>17</v>
      </c>
      <c r="W7" s="771">
        <f t="shared" ref="W7:W15" si="2">J7</f>
        <v>0</v>
      </c>
      <c r="X7" s="772"/>
      <c r="Y7" s="3308" t="s">
        <v>2543</v>
      </c>
      <c r="Z7" s="3309"/>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308" t="s">
        <v>2546</v>
      </c>
      <c r="Q8" s="3309"/>
      <c r="R8" s="770" t="s">
        <v>17</v>
      </c>
      <c r="S8" s="771">
        <f t="shared" si="0"/>
        <v>0</v>
      </c>
      <c r="T8" s="770" t="s">
        <v>17</v>
      </c>
      <c r="U8" s="771">
        <f t="shared" si="1"/>
        <v>0</v>
      </c>
      <c r="V8" s="770" t="s">
        <v>17</v>
      </c>
      <c r="W8" s="771">
        <f t="shared" si="2"/>
        <v>0</v>
      </c>
      <c r="X8" s="772"/>
      <c r="Y8" s="3308" t="s">
        <v>2546</v>
      </c>
      <c r="Z8" s="3309"/>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346" t="s">
        <v>2549</v>
      </c>
      <c r="Q9" s="1797" t="str">
        <f t="shared" ref="Q9:Q15" si="6">B9</f>
        <v>用途</v>
      </c>
      <c r="R9" s="770" t="s">
        <v>17</v>
      </c>
      <c r="S9" s="771">
        <f t="shared" si="0"/>
        <v>100</v>
      </c>
      <c r="T9" s="770" t="s">
        <v>17</v>
      </c>
      <c r="U9" s="771">
        <f t="shared" si="1"/>
        <v>100</v>
      </c>
      <c r="V9" s="770" t="s">
        <v>17</v>
      </c>
      <c r="W9" s="771">
        <f t="shared" si="2"/>
        <v>100</v>
      </c>
      <c r="X9" s="772"/>
      <c r="Y9" s="3160"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346"/>
      <c r="Q10" s="1797" t="str">
        <f t="shared" si="6"/>
        <v>土地使用年限（年）</v>
      </c>
      <c r="R10" s="770" t="s">
        <v>17</v>
      </c>
      <c r="S10" s="771">
        <f t="shared" si="0"/>
        <v>100</v>
      </c>
      <c r="T10" s="770" t="s">
        <v>17</v>
      </c>
      <c r="U10" s="771">
        <f t="shared" si="1"/>
        <v>100</v>
      </c>
      <c r="V10" s="770" t="s">
        <v>17</v>
      </c>
      <c r="W10" s="771">
        <f t="shared" si="2"/>
        <v>100</v>
      </c>
      <c r="X10" s="772"/>
      <c r="Y10" s="3160"/>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346"/>
      <c r="Q11" s="1797" t="str">
        <f t="shared" si="6"/>
        <v>容积率</v>
      </c>
      <c r="R11" s="770" t="s">
        <v>17</v>
      </c>
      <c r="S11" s="771" t="e">
        <f t="shared" si="0"/>
        <v>#N/A</v>
      </c>
      <c r="T11" s="770" t="s">
        <v>17</v>
      </c>
      <c r="U11" s="771" t="e">
        <f t="shared" si="1"/>
        <v>#N/A</v>
      </c>
      <c r="V11" s="770" t="s">
        <v>17</v>
      </c>
      <c r="W11" s="771" t="e">
        <f t="shared" si="2"/>
        <v>#N/A</v>
      </c>
      <c r="X11" s="772"/>
      <c r="Y11" s="3160"/>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4"/>
      <c r="M12" s="1135"/>
      <c r="N12" s="1135"/>
      <c r="O12" s="1136"/>
      <c r="P12" s="3346"/>
      <c r="Q12" s="1797">
        <f t="shared" si="6"/>
        <v>111</v>
      </c>
      <c r="R12" s="770" t="s">
        <v>17</v>
      </c>
      <c r="S12" s="771">
        <f t="shared" si="0"/>
        <v>100</v>
      </c>
      <c r="T12" s="770" t="s">
        <v>17</v>
      </c>
      <c r="U12" s="771">
        <f t="shared" si="1"/>
        <v>100</v>
      </c>
      <c r="V12" s="770" t="s">
        <v>17</v>
      </c>
      <c r="W12" s="771">
        <f t="shared" si="2"/>
        <v>100</v>
      </c>
      <c r="X12" s="772"/>
      <c r="Y12" s="3160"/>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2"/>
      <c r="M13" s="1133"/>
      <c r="N13" s="1133"/>
      <c r="O13" s="1141"/>
      <c r="P13" s="3346"/>
      <c r="Q13" s="1797">
        <f t="shared" si="6"/>
        <v>111</v>
      </c>
      <c r="R13" s="770" t="s">
        <v>17</v>
      </c>
      <c r="S13" s="771">
        <f t="shared" si="0"/>
        <v>100</v>
      </c>
      <c r="T13" s="770" t="s">
        <v>17</v>
      </c>
      <c r="U13" s="771">
        <f t="shared" si="1"/>
        <v>100</v>
      </c>
      <c r="V13" s="770" t="s">
        <v>17</v>
      </c>
      <c r="W13" s="771">
        <f t="shared" si="2"/>
        <v>100</v>
      </c>
      <c r="X13" s="772"/>
      <c r="Y13" s="3160"/>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2"/>
      <c r="M14" s="1133"/>
      <c r="N14" s="1133"/>
      <c r="O14" s="1141"/>
      <c r="P14" s="3346"/>
      <c r="Q14" s="1797">
        <f t="shared" si="6"/>
        <v>111</v>
      </c>
      <c r="R14" s="770" t="s">
        <v>17</v>
      </c>
      <c r="S14" s="771">
        <f t="shared" si="0"/>
        <v>100</v>
      </c>
      <c r="T14" s="770" t="s">
        <v>17</v>
      </c>
      <c r="U14" s="771">
        <f t="shared" si="1"/>
        <v>100</v>
      </c>
      <c r="V14" s="770" t="s">
        <v>17</v>
      </c>
      <c r="W14" s="771">
        <f t="shared" si="2"/>
        <v>100</v>
      </c>
      <c r="X14" s="772"/>
      <c r="Y14" s="3160"/>
      <c r="Z14" s="55">
        <f t="shared" si="7"/>
        <v>111</v>
      </c>
      <c r="AA14" s="773">
        <f t="shared" si="3"/>
        <v>1</v>
      </c>
      <c r="AB14" s="773">
        <f t="shared" si="4"/>
        <v>1</v>
      </c>
      <c r="AC14" s="773">
        <f t="shared" si="5"/>
        <v>1</v>
      </c>
    </row>
    <row r="15" spans="1:29" ht="57">
      <c r="A15" s="440" t="s">
        <v>2553</v>
      </c>
      <c r="B15" s="69" t="s">
        <v>2697</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348" t="s">
        <v>2554</v>
      </c>
      <c r="Q15" s="1812" t="str">
        <f t="shared" si="6"/>
        <v>产业集聚程度</v>
      </c>
      <c r="R15" s="774" t="s">
        <v>17</v>
      </c>
      <c r="S15" s="775">
        <f t="shared" si="0"/>
        <v>100</v>
      </c>
      <c r="T15" s="774" t="s">
        <v>17</v>
      </c>
      <c r="U15" s="775">
        <f t="shared" si="1"/>
        <v>100</v>
      </c>
      <c r="V15" s="774" t="s">
        <v>17</v>
      </c>
      <c r="W15" s="775">
        <f t="shared" si="2"/>
        <v>100</v>
      </c>
      <c r="X15" s="1815"/>
      <c r="Y15" s="3348" t="s">
        <v>2554</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349"/>
      <c r="Q16" s="1812"/>
      <c r="R16" s="774"/>
      <c r="S16" s="775"/>
      <c r="T16" s="774"/>
      <c r="U16" s="775"/>
      <c r="V16" s="774"/>
      <c r="W16" s="775"/>
      <c r="X16" s="1815"/>
      <c r="Y16" s="3349"/>
      <c r="Z16" s="1816"/>
      <c r="AA16" s="1813">
        <v>1</v>
      </c>
      <c r="AB16" s="1813">
        <v>1</v>
      </c>
      <c r="AC16" s="1813">
        <v>1</v>
      </c>
    </row>
    <row r="17" spans="1:29" ht="85.5">
      <c r="A17" s="428"/>
      <c r="B17" s="451" t="s">
        <v>2090</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349"/>
      <c r="Q17" s="1812" t="str">
        <f>B17</f>
        <v>交通便捷度</v>
      </c>
      <c r="R17" s="774" t="s">
        <v>17</v>
      </c>
      <c r="S17" s="775">
        <f>F17</f>
        <v>100</v>
      </c>
      <c r="T17" s="774" t="s">
        <v>17</v>
      </c>
      <c r="U17" s="775">
        <f>H17</f>
        <v>100</v>
      </c>
      <c r="V17" s="774" t="s">
        <v>17</v>
      </c>
      <c r="W17" s="775">
        <f>J17</f>
        <v>100</v>
      </c>
      <c r="X17" s="1815"/>
      <c r="Y17" s="3349"/>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2"/>
      <c r="M18" s="1133"/>
      <c r="N18" s="1133"/>
      <c r="O18" s="1141"/>
      <c r="P18" s="3349"/>
      <c r="Q18" s="1812"/>
      <c r="R18" s="774"/>
      <c r="S18" s="775"/>
      <c r="T18" s="774"/>
      <c r="U18" s="775"/>
      <c r="V18" s="774"/>
      <c r="W18" s="775"/>
      <c r="X18" s="1815"/>
      <c r="Y18" s="3349"/>
      <c r="Z18" s="1816"/>
      <c r="AA18" s="1813">
        <v>1</v>
      </c>
      <c r="AB18" s="1813">
        <v>1</v>
      </c>
      <c r="AC18" s="1813">
        <v>1</v>
      </c>
    </row>
    <row r="19" spans="1:29" ht="42.75">
      <c r="A19" s="428"/>
      <c r="B19" s="451" t="s">
        <v>2682</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349"/>
      <c r="Q19" s="1812" t="str">
        <f>B19</f>
        <v>公共配套设施</v>
      </c>
      <c r="R19" s="774" t="s">
        <v>17</v>
      </c>
      <c r="S19" s="775">
        <f>F19</f>
        <v>100</v>
      </c>
      <c r="T19" s="774" t="s">
        <v>17</v>
      </c>
      <c r="U19" s="775">
        <f>H19</f>
        <v>100</v>
      </c>
      <c r="V19" s="774" t="s">
        <v>17</v>
      </c>
      <c r="W19" s="775">
        <f>J19</f>
        <v>100</v>
      </c>
      <c r="X19" s="1815"/>
      <c r="Y19" s="3349"/>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2"/>
      <c r="M20" s="1133"/>
      <c r="N20" s="1133"/>
      <c r="O20" s="1141"/>
      <c r="P20" s="3349"/>
      <c r="Q20" s="1812"/>
      <c r="R20" s="774"/>
      <c r="S20" s="775"/>
      <c r="T20" s="774"/>
      <c r="U20" s="775"/>
      <c r="V20" s="774"/>
      <c r="W20" s="775"/>
      <c r="X20" s="1815"/>
      <c r="Y20" s="3349"/>
      <c r="Z20" s="1816"/>
      <c r="AA20" s="1813">
        <v>1</v>
      </c>
      <c r="AB20" s="1813">
        <v>1</v>
      </c>
      <c r="AC20" s="1813">
        <v>1</v>
      </c>
    </row>
    <row r="21" spans="1:29" ht="28.5">
      <c r="A21" s="428"/>
      <c r="B21" s="1386" t="s">
        <v>2683</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349"/>
      <c r="Q21" s="1812" t="str">
        <f>B21</f>
        <v>基础设施水平</v>
      </c>
      <c r="R21" s="774" t="s">
        <v>17</v>
      </c>
      <c r="S21" s="775">
        <f>F21</f>
        <v>100</v>
      </c>
      <c r="T21" s="774" t="s">
        <v>17</v>
      </c>
      <c r="U21" s="775">
        <f>H21</f>
        <v>100</v>
      </c>
      <c r="V21" s="774" t="s">
        <v>17</v>
      </c>
      <c r="W21" s="775">
        <f>J21</f>
        <v>100</v>
      </c>
      <c r="X21" s="1815"/>
      <c r="Y21" s="3349"/>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2"/>
      <c r="M22" s="1133"/>
      <c r="N22" s="1133"/>
      <c r="O22" s="1141"/>
      <c r="P22" s="3349"/>
      <c r="Q22" s="1812"/>
      <c r="R22" s="774"/>
      <c r="S22" s="775"/>
      <c r="T22" s="774"/>
      <c r="U22" s="775"/>
      <c r="V22" s="774"/>
      <c r="W22" s="775"/>
      <c r="X22" s="1815"/>
      <c r="Y22" s="3349"/>
      <c r="Z22" s="1816"/>
      <c r="AA22" s="1813">
        <v>1</v>
      </c>
      <c r="AB22" s="1813">
        <v>1</v>
      </c>
      <c r="AC22" s="1813">
        <v>1</v>
      </c>
    </row>
    <row r="23" spans="1:29" ht="71.25">
      <c r="A23" s="428"/>
      <c r="B23" s="451" t="s">
        <v>2684</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349"/>
      <c r="Q23" s="1812" t="str">
        <f>B23</f>
        <v>环境质量</v>
      </c>
      <c r="R23" s="774" t="s">
        <v>17</v>
      </c>
      <c r="S23" s="775">
        <f>F23</f>
        <v>100</v>
      </c>
      <c r="T23" s="774" t="s">
        <v>17</v>
      </c>
      <c r="U23" s="775">
        <f>H23</f>
        <v>100</v>
      </c>
      <c r="V23" s="774" t="s">
        <v>17</v>
      </c>
      <c r="W23" s="775">
        <f>J23</f>
        <v>100</v>
      </c>
      <c r="X23" s="1815"/>
      <c r="Y23" s="3349"/>
      <c r="Z23" s="1816" t="str">
        <f>Q23</f>
        <v>环境质量</v>
      </c>
      <c r="AA23" s="1813">
        <f t="shared" si="3"/>
        <v>1</v>
      </c>
      <c r="AB23" s="1813">
        <f t="shared" si="4"/>
        <v>1</v>
      </c>
      <c r="AC23" s="1813">
        <f t="shared" si="5"/>
        <v>1</v>
      </c>
    </row>
    <row r="24" spans="1:29" ht="15">
      <c r="A24" s="428"/>
      <c r="B24" s="1386"/>
      <c r="C24" s="447"/>
      <c r="D24" s="448"/>
      <c r="E24" s="2606"/>
      <c r="F24" s="449"/>
      <c r="G24" s="2605"/>
      <c r="H24" s="448"/>
      <c r="I24" s="2606"/>
      <c r="J24" s="448"/>
      <c r="K24" s="615"/>
      <c r="L24" s="1142"/>
      <c r="M24" s="1133"/>
      <c r="N24" s="1133"/>
      <c r="O24" s="1141"/>
      <c r="P24" s="3349"/>
      <c r="Q24" s="1812"/>
      <c r="R24" s="774"/>
      <c r="S24" s="775"/>
      <c r="T24" s="774"/>
      <c r="U24" s="775"/>
      <c r="V24" s="774"/>
      <c r="W24" s="775"/>
      <c r="X24" s="1815"/>
      <c r="Y24" s="3349"/>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349"/>
      <c r="Q25" s="1812">
        <f>B25</f>
        <v>111</v>
      </c>
      <c r="R25" s="774" t="s">
        <v>17</v>
      </c>
      <c r="S25" s="775">
        <f>F25</f>
        <v>100</v>
      </c>
      <c r="T25" s="774" t="s">
        <v>17</v>
      </c>
      <c r="U25" s="775">
        <f>H25</f>
        <v>100</v>
      </c>
      <c r="V25" s="774" t="s">
        <v>17</v>
      </c>
      <c r="W25" s="775">
        <f>J25</f>
        <v>100</v>
      </c>
      <c r="X25" s="1815"/>
      <c r="Y25" s="3349"/>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349"/>
      <c r="Q26" s="1812">
        <f t="shared" ref="Q26:Q40" si="11">B26</f>
        <v>111</v>
      </c>
      <c r="R26" s="774" t="s">
        <v>17</v>
      </c>
      <c r="S26" s="775">
        <f>F26</f>
        <v>100</v>
      </c>
      <c r="T26" s="774" t="s">
        <v>17</v>
      </c>
      <c r="U26" s="775">
        <f>H26</f>
        <v>100</v>
      </c>
      <c r="V26" s="774" t="s">
        <v>17</v>
      </c>
      <c r="W26" s="775">
        <f>J26</f>
        <v>100</v>
      </c>
      <c r="X26" s="1815"/>
      <c r="Y26" s="3349"/>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349"/>
      <c r="Q27" s="1797">
        <f t="shared" si="11"/>
        <v>111</v>
      </c>
      <c r="R27" s="770" t="s">
        <v>17</v>
      </c>
      <c r="S27" s="771">
        <f>F27</f>
        <v>100</v>
      </c>
      <c r="T27" s="770" t="s">
        <v>17</v>
      </c>
      <c r="U27" s="771">
        <f>H27</f>
        <v>100</v>
      </c>
      <c r="V27" s="770" t="s">
        <v>17</v>
      </c>
      <c r="W27" s="771">
        <f>J27</f>
        <v>100</v>
      </c>
      <c r="X27" s="772"/>
      <c r="Y27" s="3349"/>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349"/>
      <c r="Q28" s="1812">
        <f t="shared" si="11"/>
        <v>111</v>
      </c>
      <c r="R28" s="774" t="s">
        <v>17</v>
      </c>
      <c r="S28" s="775">
        <f t="shared" ref="S28:S40" si="12">F28</f>
        <v>100</v>
      </c>
      <c r="T28" s="774" t="s">
        <v>17</v>
      </c>
      <c r="U28" s="775">
        <f t="shared" ref="U28:U40" si="13">H28</f>
        <v>100</v>
      </c>
      <c r="V28" s="774" t="s">
        <v>17</v>
      </c>
      <c r="W28" s="775">
        <f t="shared" ref="W28:W40" si="14">J28</f>
        <v>100</v>
      </c>
      <c r="X28" s="1815"/>
      <c r="Y28" s="3349"/>
      <c r="Z28" s="1816">
        <f t="shared" ref="Z28:Z40" si="15">Q28</f>
        <v>111</v>
      </c>
      <c r="AA28" s="1813">
        <f t="shared" si="3"/>
        <v>1</v>
      </c>
      <c r="AB28" s="1813">
        <f t="shared" si="4"/>
        <v>1</v>
      </c>
      <c r="AC28" s="1813">
        <f t="shared" si="5"/>
        <v>1</v>
      </c>
    </row>
    <row r="29" spans="1:29" ht="28.5">
      <c r="A29" s="466" t="s">
        <v>2557</v>
      </c>
      <c r="B29" s="71" t="s">
        <v>2687</v>
      </c>
      <c r="C29" s="2679"/>
      <c r="D29" s="467">
        <v>100</v>
      </c>
      <c r="E29" s="2679"/>
      <c r="F29" s="461">
        <f>SUMIF(88:88,E29,89:89)-SUMIF(88:88,C29,89:89)+100</f>
        <v>100</v>
      </c>
      <c r="G29" s="2679"/>
      <c r="H29" s="435">
        <f>SUMIF(88:88,G29,89:89)-SUMIF(88:88,C29,89:89)+100</f>
        <v>100</v>
      </c>
      <c r="I29" s="2679"/>
      <c r="J29" s="467">
        <f>SUMIF(88:88,I29,89:89)-SUMIF(88:88,C29,89:89)+100</f>
        <v>100</v>
      </c>
      <c r="K29" s="612"/>
      <c r="L29" s="1142"/>
      <c r="M29" s="1133"/>
      <c r="N29" s="1133"/>
      <c r="O29" s="1141"/>
      <c r="P29" s="3401" t="s">
        <v>2559</v>
      </c>
      <c r="Q29" s="1812" t="str">
        <f t="shared" si="11"/>
        <v>建筑类型</v>
      </c>
      <c r="R29" s="774" t="s">
        <v>17</v>
      </c>
      <c r="S29" s="775">
        <f t="shared" si="12"/>
        <v>100</v>
      </c>
      <c r="T29" s="774" t="s">
        <v>17</v>
      </c>
      <c r="U29" s="775">
        <f t="shared" si="13"/>
        <v>100</v>
      </c>
      <c r="V29" s="774" t="s">
        <v>17</v>
      </c>
      <c r="W29" s="775">
        <f t="shared" si="14"/>
        <v>100</v>
      </c>
      <c r="X29" s="1815"/>
      <c r="Y29" s="3353" t="s">
        <v>2559</v>
      </c>
      <c r="Z29" s="1816" t="str">
        <f t="shared" si="15"/>
        <v>建筑类型</v>
      </c>
      <c r="AA29" s="1813">
        <f t="shared" si="3"/>
        <v>1</v>
      </c>
      <c r="AB29" s="1813">
        <f t="shared" si="4"/>
        <v>1</v>
      </c>
      <c r="AC29" s="1813">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353"/>
      <c r="Q30" s="776" t="str">
        <f t="shared" si="11"/>
        <v>项目建筑规模</v>
      </c>
      <c r="R30" s="777" t="s">
        <v>17</v>
      </c>
      <c r="S30" s="778" t="e">
        <f t="shared" si="12"/>
        <v>#N/A</v>
      </c>
      <c r="T30" s="777" t="s">
        <v>17</v>
      </c>
      <c r="U30" s="778" t="e">
        <f t="shared" si="13"/>
        <v>#N/A</v>
      </c>
      <c r="V30" s="777" t="s">
        <v>17</v>
      </c>
      <c r="W30" s="778" t="e">
        <f t="shared" si="14"/>
        <v>#N/A</v>
      </c>
      <c r="X30" s="779"/>
      <c r="Y30" s="3353"/>
      <c r="Z30" s="780" t="str">
        <f t="shared" si="15"/>
        <v>项目建筑规模</v>
      </c>
      <c r="AA30" s="1813" t="e">
        <f t="shared" si="3"/>
        <v>#N/A</v>
      </c>
      <c r="AB30" s="1813" t="e">
        <f t="shared" si="4"/>
        <v>#N/A</v>
      </c>
      <c r="AC30" s="1813"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353"/>
      <c r="Q31" s="1812" t="str">
        <f t="shared" si="11"/>
        <v>建筑结构</v>
      </c>
      <c r="R31" s="774" t="s">
        <v>17</v>
      </c>
      <c r="S31" s="775">
        <f t="shared" si="12"/>
        <v>100</v>
      </c>
      <c r="T31" s="774" t="s">
        <v>17</v>
      </c>
      <c r="U31" s="775">
        <f t="shared" si="13"/>
        <v>100</v>
      </c>
      <c r="V31" s="774" t="s">
        <v>17</v>
      </c>
      <c r="W31" s="775">
        <f t="shared" si="14"/>
        <v>100</v>
      </c>
      <c r="X31" s="1815"/>
      <c r="Y31" s="3353"/>
      <c r="Z31" s="1816" t="str">
        <f t="shared" si="15"/>
        <v>建筑结构</v>
      </c>
      <c r="AA31" s="1813">
        <f t="shared" si="3"/>
        <v>1</v>
      </c>
      <c r="AB31" s="1813">
        <f t="shared" si="4"/>
        <v>1</v>
      </c>
      <c r="AC31" s="1813">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353"/>
      <c r="Q32" s="1812" t="str">
        <f t="shared" si="11"/>
        <v>公共部分装修</v>
      </c>
      <c r="R32" s="774" t="s">
        <v>17</v>
      </c>
      <c r="S32" s="775">
        <f t="shared" si="12"/>
        <v>100</v>
      </c>
      <c r="T32" s="774" t="s">
        <v>17</v>
      </c>
      <c r="U32" s="775">
        <f t="shared" si="13"/>
        <v>100</v>
      </c>
      <c r="V32" s="774" t="s">
        <v>17</v>
      </c>
      <c r="W32" s="775">
        <f t="shared" si="14"/>
        <v>100</v>
      </c>
      <c r="X32" s="1815"/>
      <c r="Y32" s="3353"/>
      <c r="Z32" s="1816" t="str">
        <f t="shared" si="15"/>
        <v>公共部分装修</v>
      </c>
      <c r="AA32" s="1813">
        <f t="shared" si="3"/>
        <v>1</v>
      </c>
      <c r="AB32" s="1813">
        <f t="shared" si="4"/>
        <v>1</v>
      </c>
      <c r="AC32" s="1813">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353"/>
      <c r="Q33" s="1812" t="str">
        <f t="shared" si="11"/>
        <v>成新度</v>
      </c>
      <c r="R33" s="774" t="s">
        <v>17</v>
      </c>
      <c r="S33" s="775" t="e">
        <f t="shared" si="12"/>
        <v>#N/A</v>
      </c>
      <c r="T33" s="774" t="s">
        <v>17</v>
      </c>
      <c r="U33" s="775" t="e">
        <f t="shared" si="13"/>
        <v>#N/A</v>
      </c>
      <c r="V33" s="774" t="s">
        <v>17</v>
      </c>
      <c r="W33" s="775" t="e">
        <f t="shared" si="14"/>
        <v>#N/A</v>
      </c>
      <c r="X33" s="1815"/>
      <c r="Y33" s="3353"/>
      <c r="Z33" s="1816" t="str">
        <f t="shared" si="15"/>
        <v>成新度</v>
      </c>
      <c r="AA33" s="1813" t="e">
        <f t="shared" si="3"/>
        <v>#N/A</v>
      </c>
      <c r="AB33" s="1813" t="e">
        <f t="shared" si="4"/>
        <v>#N/A</v>
      </c>
      <c r="AC33" s="1813"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353"/>
      <c r="Q34" s="1797" t="str">
        <f t="shared" si="11"/>
        <v>物业管理</v>
      </c>
      <c r="R34" s="770" t="s">
        <v>17</v>
      </c>
      <c r="S34" s="771">
        <f t="shared" si="12"/>
        <v>100</v>
      </c>
      <c r="T34" s="770" t="s">
        <v>17</v>
      </c>
      <c r="U34" s="771">
        <f t="shared" si="13"/>
        <v>100</v>
      </c>
      <c r="V34" s="770" t="s">
        <v>17</v>
      </c>
      <c r="W34" s="771">
        <f t="shared" si="14"/>
        <v>100</v>
      </c>
      <c r="X34" s="772"/>
      <c r="Y34" s="3353"/>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353" t="s">
        <v>2559</v>
      </c>
      <c r="Q35" s="1812" t="str">
        <f t="shared" si="11"/>
        <v>市政基础设施</v>
      </c>
      <c r="R35" s="774" t="s">
        <v>17</v>
      </c>
      <c r="S35" s="775">
        <f t="shared" si="12"/>
        <v>100</v>
      </c>
      <c r="T35" s="774" t="s">
        <v>17</v>
      </c>
      <c r="U35" s="775">
        <f t="shared" si="13"/>
        <v>100</v>
      </c>
      <c r="V35" s="774" t="s">
        <v>17</v>
      </c>
      <c r="W35" s="775">
        <f t="shared" si="14"/>
        <v>100</v>
      </c>
      <c r="X35" s="1815"/>
      <c r="Y35" s="3353" t="s">
        <v>2559</v>
      </c>
      <c r="Z35" s="1816" t="str">
        <f t="shared" si="15"/>
        <v>市政基础设施</v>
      </c>
      <c r="AA35" s="1813">
        <f t="shared" si="3"/>
        <v>1</v>
      </c>
      <c r="AB35" s="1813">
        <f t="shared" si="4"/>
        <v>1</v>
      </c>
      <c r="AC35" s="1813">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353"/>
      <c r="Q36" s="1812" t="str">
        <f t="shared" si="11"/>
        <v>内部装修</v>
      </c>
      <c r="R36" s="774" t="s">
        <v>17</v>
      </c>
      <c r="S36" s="775">
        <f t="shared" si="12"/>
        <v>100</v>
      </c>
      <c r="T36" s="774" t="s">
        <v>17</v>
      </c>
      <c r="U36" s="775">
        <f t="shared" si="13"/>
        <v>100</v>
      </c>
      <c r="V36" s="774" t="s">
        <v>17</v>
      </c>
      <c r="W36" s="775">
        <f t="shared" si="14"/>
        <v>100</v>
      </c>
      <c r="X36" s="1815"/>
      <c r="Y36" s="3353"/>
      <c r="Z36" s="1816" t="str">
        <f t="shared" si="15"/>
        <v>内部装修</v>
      </c>
      <c r="AA36" s="1813">
        <f t="shared" si="3"/>
        <v>1</v>
      </c>
      <c r="AB36" s="1813">
        <f t="shared" si="4"/>
        <v>1</v>
      </c>
      <c r="AC36" s="1813">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353"/>
      <c r="Q37" s="1812" t="str">
        <f t="shared" si="11"/>
        <v>内部装修状况</v>
      </c>
      <c r="R37" s="774" t="s">
        <v>17</v>
      </c>
      <c r="S37" s="775">
        <f t="shared" si="12"/>
        <v>100</v>
      </c>
      <c r="T37" s="774" t="s">
        <v>17</v>
      </c>
      <c r="U37" s="775">
        <f t="shared" si="13"/>
        <v>100</v>
      </c>
      <c r="V37" s="774" t="s">
        <v>17</v>
      </c>
      <c r="W37" s="775">
        <f t="shared" si="14"/>
        <v>100</v>
      </c>
      <c r="X37" s="1815"/>
      <c r="Y37" s="3353"/>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353"/>
      <c r="Q38" s="776">
        <f t="shared" si="11"/>
        <v>111</v>
      </c>
      <c r="R38" s="777" t="s">
        <v>17</v>
      </c>
      <c r="S38" s="778">
        <f t="shared" si="12"/>
        <v>100</v>
      </c>
      <c r="T38" s="777" t="s">
        <v>17</v>
      </c>
      <c r="U38" s="778">
        <f t="shared" si="13"/>
        <v>100</v>
      </c>
      <c r="V38" s="777" t="s">
        <v>17</v>
      </c>
      <c r="W38" s="778">
        <f t="shared" si="14"/>
        <v>100</v>
      </c>
      <c r="X38" s="779"/>
      <c r="Y38" s="3353"/>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353"/>
      <c r="Q39" s="1812">
        <f t="shared" si="11"/>
        <v>111</v>
      </c>
      <c r="R39" s="774" t="s">
        <v>17</v>
      </c>
      <c r="S39" s="775">
        <f t="shared" si="12"/>
        <v>100</v>
      </c>
      <c r="T39" s="774" t="s">
        <v>17</v>
      </c>
      <c r="U39" s="775">
        <f t="shared" si="13"/>
        <v>100</v>
      </c>
      <c r="V39" s="774" t="s">
        <v>17</v>
      </c>
      <c r="W39" s="775">
        <f t="shared" si="14"/>
        <v>100</v>
      </c>
      <c r="X39" s="1815"/>
      <c r="Y39" s="3353"/>
      <c r="Z39" s="1816">
        <f t="shared" si="15"/>
        <v>111</v>
      </c>
      <c r="AA39" s="1813">
        <f t="shared" si="3"/>
        <v>1</v>
      </c>
      <c r="AB39" s="1813">
        <f t="shared" si="4"/>
        <v>1</v>
      </c>
      <c r="AC39" s="1813">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354"/>
      <c r="Q40" s="1812">
        <f t="shared" si="11"/>
        <v>111</v>
      </c>
      <c r="R40" s="774" t="s">
        <v>17</v>
      </c>
      <c r="S40" s="775">
        <f t="shared" si="12"/>
        <v>100</v>
      </c>
      <c r="T40" s="774" t="s">
        <v>17</v>
      </c>
      <c r="U40" s="775">
        <f t="shared" si="13"/>
        <v>100</v>
      </c>
      <c r="V40" s="774" t="s">
        <v>17</v>
      </c>
      <c r="W40" s="775">
        <f t="shared" si="14"/>
        <v>100</v>
      </c>
      <c r="X40" s="1815"/>
      <c r="Y40" s="3354"/>
      <c r="Z40" s="1816">
        <f t="shared" si="15"/>
        <v>111</v>
      </c>
      <c r="AA40" s="1813">
        <f t="shared" si="3"/>
        <v>1</v>
      </c>
      <c r="AB40" s="1813">
        <f t="shared" si="4"/>
        <v>1</v>
      </c>
      <c r="AC40" s="1813">
        <f t="shared" si="5"/>
        <v>1</v>
      </c>
    </row>
    <row r="41" spans="1:29" ht="15">
      <c r="A41" s="479" t="s">
        <v>2571</v>
      </c>
      <c r="B41" s="480"/>
      <c r="C41" s="1409" t="s">
        <v>1</v>
      </c>
      <c r="D41" s="1410"/>
      <c r="E41" s="1411"/>
      <c r="F41" s="1412"/>
      <c r="G41" s="1413"/>
      <c r="H41" s="1414"/>
      <c r="I41" s="1411"/>
      <c r="J41" s="1414"/>
      <c r="K41" s="783"/>
      <c r="L41" s="1145"/>
      <c r="M41" s="1146"/>
      <c r="N41" s="1133"/>
      <c r="O41" s="1146"/>
      <c r="P41" s="3346" t="str">
        <f>A41</f>
        <v>成交单价（元/平方米）</v>
      </c>
      <c r="Q41" s="3346"/>
      <c r="R41" s="3347">
        <f>E41</f>
        <v>0</v>
      </c>
      <c r="S41" s="3347"/>
      <c r="T41" s="3347">
        <f>G41</f>
        <v>0</v>
      </c>
      <c r="U41" s="3347"/>
      <c r="V41" s="3347">
        <f>I41</f>
        <v>0</v>
      </c>
      <c r="W41" s="3347"/>
      <c r="X41" s="759"/>
      <c r="Y41" s="781"/>
      <c r="Z41" s="759"/>
      <c r="AA41" s="759"/>
      <c r="AB41" s="759"/>
      <c r="AC41" s="759"/>
    </row>
    <row r="42" spans="1:29" ht="15.75" thickBot="1">
      <c r="A42" s="486" t="s">
        <v>2663</v>
      </c>
      <c r="B42" s="487"/>
      <c r="C42" s="1415" t="e">
        <f>R43</f>
        <v>#DIV/0!</v>
      </c>
      <c r="D42" s="1416"/>
      <c r="E42" s="1417" t="e">
        <f>R42</f>
        <v>#DIV/0!</v>
      </c>
      <c r="F42" s="1417"/>
      <c r="G42" s="1415" t="e">
        <f>T42</f>
        <v>#DIV/0!</v>
      </c>
      <c r="H42" s="1416"/>
      <c r="I42" s="1417" t="e">
        <f>V42</f>
        <v>#DIV/0!</v>
      </c>
      <c r="J42" s="1416"/>
      <c r="K42" s="784"/>
      <c r="L42" s="1145"/>
      <c r="M42" s="1146"/>
      <c r="N42" s="1133"/>
      <c r="O42" s="1146"/>
      <c r="P42" s="3346" t="str">
        <f>A42</f>
        <v>比较价值（元/平方米）</v>
      </c>
      <c r="Q42" s="3346"/>
      <c r="R42" s="3347" t="e">
        <f>IF(F1="售价",ROUND(PRODUCT(R41,AA7:AA40),0),ROUND(PRODUCT(R41,AA7:AA40),1))</f>
        <v>#DIV/0!</v>
      </c>
      <c r="S42" s="3347"/>
      <c r="T42" s="3347" t="e">
        <f>IF(F1="售价",ROUND(PRODUCT(T41,AB7:AB40),0),ROUND(PRODUCT(T41,AB7:AB40),1))</f>
        <v>#DIV/0!</v>
      </c>
      <c r="U42" s="3347"/>
      <c r="V42" s="3347" t="e">
        <f>IF(F1="售价",ROUND(PRODUCT(V41,AC7:AC40),0),ROUND(PRODUCT(V41,AC7:AC40),1))</f>
        <v>#DIV/0!</v>
      </c>
      <c r="W42" s="3347"/>
      <c r="X42" s="759"/>
      <c r="Y42" s="759"/>
      <c r="Z42" s="759"/>
      <c r="AA42" s="759"/>
      <c r="AB42" s="759"/>
      <c r="AC42" s="759"/>
    </row>
    <row r="43" spans="1:29" ht="15.75" thickBot="1">
      <c r="A43" s="492" t="s">
        <v>2664</v>
      </c>
      <c r="B43" s="493"/>
      <c r="C43" s="1419" t="e">
        <f>R43</f>
        <v>#DIV/0!</v>
      </c>
      <c r="D43" s="1419"/>
      <c r="E43" s="1419"/>
      <c r="F43" s="1419"/>
      <c r="G43" s="1419"/>
      <c r="H43" s="1419"/>
      <c r="I43" s="1419"/>
      <c r="J43" s="1419"/>
      <c r="K43" s="785"/>
      <c r="L43" s="1145"/>
      <c r="M43" s="1146"/>
      <c r="N43" s="1146"/>
      <c r="O43" s="1146"/>
      <c r="P43" s="3343" t="str">
        <f>A43</f>
        <v>估价对象XX用房的比较价值（楼面单价，元/平方米）</v>
      </c>
      <c r="Q43" s="3344"/>
      <c r="R43" s="3345" t="e">
        <f>IF(F1="售价",ROUND(AVERAGE(R42:V42),0),ROUND(AVERAGE(R42:V42),1))</f>
        <v>#DIV/0!</v>
      </c>
      <c r="S43" s="3345"/>
      <c r="T43" s="3345"/>
      <c r="U43" s="3345"/>
      <c r="V43" s="3345"/>
      <c r="W43" s="3345"/>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2668</v>
      </c>
      <c r="B51" s="759"/>
      <c r="C51" s="764"/>
      <c r="D51" s="764"/>
      <c r="E51" s="764"/>
      <c r="F51" s="765"/>
      <c r="G51" s="765"/>
      <c r="H51" s="764"/>
      <c r="I51" s="764"/>
      <c r="J51" s="764"/>
      <c r="K51" s="1162"/>
      <c r="L51" s="1163"/>
      <c r="M51" s="1161"/>
      <c r="N51" s="1161"/>
      <c r="O51" s="1161"/>
      <c r="P51" s="503"/>
      <c r="Q51" s="504"/>
    </row>
    <row r="52" spans="1:17" s="508" customFormat="1" ht="15">
      <c r="A52" s="505" t="s">
        <v>2542</v>
      </c>
      <c r="B52" s="506"/>
      <c r="C52" s="1576" t="str">
        <f>YEAR(C7)&amp;"-"&amp;MONTH(C7)</f>
        <v>2019-1</v>
      </c>
      <c r="D52" s="1577">
        <f>EDATE(C52,-1)</f>
        <v>43435</v>
      </c>
      <c r="E52" s="1577">
        <f t="shared" ref="E52:O52" si="16">EDATE(D52,-1)</f>
        <v>43405</v>
      </c>
      <c r="F52" s="1577">
        <f t="shared" si="16"/>
        <v>43374</v>
      </c>
      <c r="G52" s="1577">
        <f t="shared" si="16"/>
        <v>43344</v>
      </c>
      <c r="H52" s="1577">
        <f t="shared" si="16"/>
        <v>43313</v>
      </c>
      <c r="I52" s="1577">
        <f t="shared" si="16"/>
        <v>43282</v>
      </c>
      <c r="J52" s="1577">
        <f t="shared" si="16"/>
        <v>43252</v>
      </c>
      <c r="K52" s="1577">
        <f t="shared" si="16"/>
        <v>43221</v>
      </c>
      <c r="L52" s="1577">
        <f t="shared" si="16"/>
        <v>43191</v>
      </c>
      <c r="M52" s="1577">
        <f t="shared" si="16"/>
        <v>43160</v>
      </c>
      <c r="N52" s="1577">
        <f t="shared" si="16"/>
        <v>43132</v>
      </c>
      <c r="O52" s="1577">
        <f t="shared" si="16"/>
        <v>43101</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2582</v>
      </c>
      <c r="B57" s="528" t="s">
        <v>2548</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6"/>
      <c r="B87" s="569"/>
      <c r="C87" s="570"/>
      <c r="D87" s="570"/>
      <c r="E87" s="570"/>
      <c r="F87" s="570"/>
      <c r="G87" s="591"/>
      <c r="H87" s="591"/>
      <c r="I87" s="591"/>
      <c r="J87" s="591"/>
      <c r="K87" s="591"/>
      <c r="L87" s="591"/>
      <c r="M87" s="592"/>
      <c r="N87" s="1155"/>
      <c r="O87" s="1155"/>
      <c r="P87" s="45"/>
      <c r="Q87" s="504"/>
    </row>
    <row r="88" spans="1:17">
      <c r="A88" s="527" t="s">
        <v>2557</v>
      </c>
      <c r="B88" s="528" t="s">
        <v>2606</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2608</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2610</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2611</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2612</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2614</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6"/>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6" priority="16" stopIfTrue="1" operator="containsText" text="超过">
      <formula>NOT(ISERROR(SEARCH("超过",F46)))</formula>
    </cfRule>
  </conditionalFormatting>
  <conditionalFormatting sqref="H48">
    <cfRule type="containsText" dxfId="125" priority="15" stopIfTrue="1" operator="containsText" text="超过">
      <formula>NOT(ISERROR(SEARCH("超过",H48)))</formula>
    </cfRule>
  </conditionalFormatting>
  <conditionalFormatting sqref="F48">
    <cfRule type="containsText" dxfId="124" priority="14" stopIfTrue="1" operator="containsText" text="超过">
      <formula>NOT(ISERROR(SEARCH("超过",F48)))</formula>
    </cfRule>
  </conditionalFormatting>
  <conditionalFormatting sqref="F47 H47">
    <cfRule type="containsText" dxfId="123" priority="13" stopIfTrue="1" operator="containsText" text="超过">
      <formula>NOT(ISERROR(SEARCH("超过",F47)))</formula>
    </cfRule>
  </conditionalFormatting>
  <conditionalFormatting sqref="E46">
    <cfRule type="expression" dxfId="122" priority="12" stopIfTrue="1">
      <formula>$F$46="超过30%"</formula>
    </cfRule>
  </conditionalFormatting>
  <conditionalFormatting sqref="E47">
    <cfRule type="expression" dxfId="121" priority="11" stopIfTrue="1">
      <formula>$F$47="超过20%"</formula>
    </cfRule>
  </conditionalFormatting>
  <conditionalFormatting sqref="E48">
    <cfRule type="expression" dxfId="120" priority="10" stopIfTrue="1">
      <formula>$F$48="超过30%"</formula>
    </cfRule>
  </conditionalFormatting>
  <conditionalFormatting sqref="G48">
    <cfRule type="expression" dxfId="119" priority="9" stopIfTrue="1">
      <formula>$H$48="超过30%"</formula>
    </cfRule>
  </conditionalFormatting>
  <conditionalFormatting sqref="G46">
    <cfRule type="expression" dxfId="118" priority="8" stopIfTrue="1">
      <formula>$H$46="超过30%"</formula>
    </cfRule>
  </conditionalFormatting>
  <conditionalFormatting sqref="G47">
    <cfRule type="expression" dxfId="117" priority="7" stopIfTrue="1">
      <formula>$H$47="超过20%"</formula>
    </cfRule>
  </conditionalFormatting>
  <conditionalFormatting sqref="J46">
    <cfRule type="containsText" dxfId="116" priority="6" stopIfTrue="1" operator="containsText" text="超过">
      <formula>NOT(ISERROR(SEARCH("超过",J46)))</formula>
    </cfRule>
  </conditionalFormatting>
  <conditionalFormatting sqref="J48">
    <cfRule type="containsText" dxfId="115" priority="5" stopIfTrue="1" operator="containsText" text="超过">
      <formula>NOT(ISERROR(SEARCH("超过",J48)))</formula>
    </cfRule>
  </conditionalFormatting>
  <conditionalFormatting sqref="J47">
    <cfRule type="containsText" dxfId="114" priority="4" stopIfTrue="1" operator="containsText" text="超过">
      <formula>NOT(ISERROR(SEARCH("超过",J47)))</formula>
    </cfRule>
  </conditionalFormatting>
  <conditionalFormatting sqref="I46">
    <cfRule type="expression" dxfId="113" priority="3" stopIfTrue="1">
      <formula>$J$46="超过30%"</formula>
    </cfRule>
  </conditionalFormatting>
  <conditionalFormatting sqref="I47">
    <cfRule type="expression" dxfId="112" priority="2" stopIfTrue="1">
      <formula>$J$47="超过20%"</formula>
    </cfRule>
  </conditionalFormatting>
  <conditionalFormatting sqref="I48">
    <cfRule type="expression" dxfId="11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zoomScale="93" zoomScaleNormal="93" zoomScalePageLayoutView="93" workbookViewId="0">
      <selection activeCell="G13" sqref="G13"/>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5.5" style="403" customWidth="1"/>
    <col min="10" max="10" width="12.125" style="403" customWidth="1"/>
    <col min="11" max="11" width="12.125" style="495" customWidth="1"/>
    <col min="12" max="12" width="12.125" style="496" customWidth="1"/>
    <col min="13" max="15" width="12.125" style="403" customWidth="1"/>
    <col min="16" max="16" width="4.875" style="1125"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31" customFormat="1" ht="28.5" customHeight="1" thickBot="1">
      <c r="A1" s="1620" t="s">
        <v>2701</v>
      </c>
      <c r="B1" s="1621"/>
      <c r="C1" s="1622" t="s">
        <v>2524</v>
      </c>
      <c r="D1" s="1623"/>
      <c r="E1" s="1624"/>
      <c r="F1" s="2585"/>
      <c r="G1" s="1625" t="s">
        <v>2637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2321</v>
      </c>
      <c r="B2" s="1420" t="e">
        <f ca="1">IF(C2="——",IF(B37="元/平方米",ROUND(C39*D3/10000,0),ROUND(F3*C39/10000,0)),IF(B37="元/平方米",ROUND(C39*D3/10000,0),ROUND(F3*C39/10000,0))-D2)</f>
        <v>#DIV/0!</v>
      </c>
      <c r="C2" s="2587"/>
      <c r="D2" s="1126" t="e">
        <f ca="1">SUMIF(INDIRECT("'"&amp;F2&amp;"'"&amp;"!A:A"),"承租人权益价值",INDIRECT("'"&amp;F2&amp;"'"&amp;"!c:c"))</f>
        <v>#REF!</v>
      </c>
      <c r="E2" s="2588" t="s">
        <v>2322</v>
      </c>
      <c r="F2" s="2589"/>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2639</v>
      </c>
      <c r="B4" s="402"/>
      <c r="C4" s="3325" t="s">
        <v>2640</v>
      </c>
      <c r="D4" s="3326"/>
      <c r="E4" s="3327" t="s">
        <v>2641</v>
      </c>
      <c r="F4" s="3328"/>
      <c r="G4" s="3325" t="s">
        <v>2642</v>
      </c>
      <c r="H4" s="3326"/>
      <c r="I4" s="3325" t="s">
        <v>2643</v>
      </c>
      <c r="J4" s="3326"/>
      <c r="K4" s="610" t="s">
        <v>2644</v>
      </c>
      <c r="L4" s="1132"/>
      <c r="M4" s="1133"/>
      <c r="N4" s="1133"/>
      <c r="O4" s="1133"/>
      <c r="P4" s="3331" t="s">
        <v>2645</v>
      </c>
      <c r="Q4" s="3332"/>
      <c r="R4" s="3310" t="s">
        <v>2641</v>
      </c>
      <c r="S4" s="3311"/>
      <c r="T4" s="3310" t="s">
        <v>2642</v>
      </c>
      <c r="U4" s="3311"/>
      <c r="V4" s="3339" t="s">
        <v>2643</v>
      </c>
      <c r="W4" s="3339"/>
      <c r="X4" s="1815"/>
      <c r="Y4" s="3310" t="s">
        <v>2645</v>
      </c>
      <c r="Z4" s="3311"/>
      <c r="AA4" s="3305" t="s">
        <v>2641</v>
      </c>
      <c r="AB4" s="3306" t="s">
        <v>2642</v>
      </c>
      <c r="AC4" s="3305" t="s">
        <v>2643</v>
      </c>
    </row>
    <row r="5" spans="1:29" ht="15">
      <c r="A5" s="404"/>
      <c r="B5" s="405"/>
      <c r="C5" s="3316" t="s">
        <v>2536</v>
      </c>
      <c r="D5" s="3317"/>
      <c r="E5" s="3387" t="s">
        <v>2537</v>
      </c>
      <c r="F5" s="3315"/>
      <c r="G5" s="3316" t="s">
        <v>2538</v>
      </c>
      <c r="H5" s="3317"/>
      <c r="I5" s="3316" t="s">
        <v>2539</v>
      </c>
      <c r="J5" s="3317"/>
      <c r="K5" s="610"/>
      <c r="L5" s="1132"/>
      <c r="M5" s="1133"/>
      <c r="N5" s="1133"/>
      <c r="O5" s="1133"/>
      <c r="P5" s="3333"/>
      <c r="Q5" s="3334"/>
      <c r="R5" s="3312"/>
      <c r="S5" s="3313"/>
      <c r="T5" s="3312"/>
      <c r="U5" s="3313"/>
      <c r="V5" s="3339"/>
      <c r="W5" s="3339"/>
      <c r="X5" s="1815"/>
      <c r="Y5" s="3312"/>
      <c r="Z5" s="3313"/>
      <c r="AA5" s="3306"/>
      <c r="AB5" s="3306"/>
      <c r="AC5" s="3306"/>
    </row>
    <row r="6" spans="1:29" ht="15.75" thickBot="1">
      <c r="A6" s="406"/>
      <c r="B6" s="407"/>
      <c r="C6" s="3318" t="s">
        <v>2540</v>
      </c>
      <c r="D6" s="3319"/>
      <c r="E6" s="3388" t="s">
        <v>2540</v>
      </c>
      <c r="F6" s="3322"/>
      <c r="G6" s="3318" t="s">
        <v>2540</v>
      </c>
      <c r="H6" s="3319"/>
      <c r="I6" s="3318" t="s">
        <v>2540</v>
      </c>
      <c r="J6" s="3319"/>
      <c r="K6" s="610" t="s">
        <v>2541</v>
      </c>
      <c r="L6" s="1132"/>
      <c r="M6" s="1133"/>
      <c r="N6" s="1133"/>
      <c r="O6" s="1133"/>
      <c r="P6" s="3335"/>
      <c r="Q6" s="3336"/>
      <c r="R6" s="3312"/>
      <c r="S6" s="3313"/>
      <c r="T6" s="3337"/>
      <c r="U6" s="3338"/>
      <c r="V6" s="3339"/>
      <c r="W6" s="3339"/>
      <c r="X6" s="1815"/>
      <c r="Y6" s="3337"/>
      <c r="Z6" s="3338"/>
      <c r="AA6" s="3307"/>
      <c r="AB6" s="3307"/>
      <c r="AC6" s="3307"/>
    </row>
    <row r="7" spans="1:29" s="117" customFormat="1" ht="15.75" thickBot="1">
      <c r="A7" s="408" t="s">
        <v>2542</v>
      </c>
      <c r="B7" s="409"/>
      <c r="C7" s="410">
        <f>'数据-取费表'!B2</f>
        <v>43482</v>
      </c>
      <c r="D7" s="411">
        <v>100</v>
      </c>
      <c r="E7" s="412"/>
      <c r="F7" s="413">
        <f>SUMIF(48:48,YEAR(E7)&amp;"-"&amp;MONTH(E7),49:49)</f>
        <v>0</v>
      </c>
      <c r="G7" s="412"/>
      <c r="H7" s="411">
        <f>SUMIF(48:48,YEAR(G7)&amp;"-"&amp;MONTH(G7),49:49)</f>
        <v>0</v>
      </c>
      <c r="I7" s="412"/>
      <c r="J7" s="411">
        <f>SUMIF(48:48,YEAR(I7)&amp;"-"&amp;MONTH(I7),49:49)</f>
        <v>0</v>
      </c>
      <c r="K7" s="611"/>
      <c r="L7" s="1134"/>
      <c r="M7" s="1135"/>
      <c r="N7" s="1135"/>
      <c r="O7" s="1135"/>
      <c r="P7" s="3308" t="s">
        <v>2543</v>
      </c>
      <c r="Q7" s="3342"/>
      <c r="R7" s="770" t="s">
        <v>17</v>
      </c>
      <c r="S7" s="771">
        <f t="shared" ref="S7:S14" si="0">F7</f>
        <v>0</v>
      </c>
      <c r="T7" s="770" t="s">
        <v>17</v>
      </c>
      <c r="U7" s="771">
        <f t="shared" ref="U7:U14" si="1">H7</f>
        <v>0</v>
      </c>
      <c r="V7" s="770" t="s">
        <v>17</v>
      </c>
      <c r="W7" s="771">
        <f t="shared" ref="W7:W14" si="2">J7</f>
        <v>0</v>
      </c>
      <c r="X7" s="772"/>
      <c r="Y7" s="3308" t="s">
        <v>2543</v>
      </c>
      <c r="Z7" s="3309"/>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308" t="s">
        <v>2546</v>
      </c>
      <c r="Q8" s="3309"/>
      <c r="R8" s="770" t="s">
        <v>17</v>
      </c>
      <c r="S8" s="771">
        <f t="shared" si="0"/>
        <v>0</v>
      </c>
      <c r="T8" s="770" t="s">
        <v>17</v>
      </c>
      <c r="U8" s="771">
        <f t="shared" si="1"/>
        <v>0</v>
      </c>
      <c r="V8" s="770" t="s">
        <v>17</v>
      </c>
      <c r="W8" s="771">
        <f t="shared" si="2"/>
        <v>0</v>
      </c>
      <c r="X8" s="772"/>
      <c r="Y8" s="3308" t="s">
        <v>2546</v>
      </c>
      <c r="Z8" s="3309"/>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346" t="s">
        <v>2549</v>
      </c>
      <c r="Q9" s="1797" t="str">
        <f t="shared" ref="Q9:Q14" si="6">B9</f>
        <v>用途</v>
      </c>
      <c r="R9" s="770" t="s">
        <v>17</v>
      </c>
      <c r="S9" s="771">
        <f t="shared" si="0"/>
        <v>100</v>
      </c>
      <c r="T9" s="770" t="s">
        <v>17</v>
      </c>
      <c r="U9" s="771">
        <f t="shared" si="1"/>
        <v>100</v>
      </c>
      <c r="V9" s="770" t="s">
        <v>17</v>
      </c>
      <c r="W9" s="771">
        <f t="shared" si="2"/>
        <v>100</v>
      </c>
      <c r="X9" s="772"/>
      <c r="Y9" s="3160"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346"/>
      <c r="Q10" s="1797" t="str">
        <f t="shared" si="6"/>
        <v>土地使用年限（年）</v>
      </c>
      <c r="R10" s="770" t="s">
        <v>17</v>
      </c>
      <c r="S10" s="771">
        <f t="shared" si="0"/>
        <v>100</v>
      </c>
      <c r="T10" s="770" t="s">
        <v>17</v>
      </c>
      <c r="U10" s="771">
        <f t="shared" si="1"/>
        <v>100</v>
      </c>
      <c r="V10" s="770" t="s">
        <v>17</v>
      </c>
      <c r="W10" s="771">
        <f t="shared" si="2"/>
        <v>100</v>
      </c>
      <c r="X10" s="772"/>
      <c r="Y10" s="316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346"/>
      <c r="Q11" s="1797">
        <f t="shared" si="6"/>
        <v>111</v>
      </c>
      <c r="R11" s="770" t="s">
        <v>17</v>
      </c>
      <c r="S11" s="771">
        <f t="shared" si="0"/>
        <v>100</v>
      </c>
      <c r="T11" s="770" t="s">
        <v>17</v>
      </c>
      <c r="U11" s="771">
        <f t="shared" si="1"/>
        <v>100</v>
      </c>
      <c r="V11" s="770" t="s">
        <v>17</v>
      </c>
      <c r="W11" s="771">
        <f t="shared" si="2"/>
        <v>100</v>
      </c>
      <c r="X11" s="772"/>
      <c r="Y11" s="316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346"/>
      <c r="Q12" s="1797">
        <f t="shared" si="6"/>
        <v>111</v>
      </c>
      <c r="R12" s="770" t="s">
        <v>17</v>
      </c>
      <c r="S12" s="771">
        <f t="shared" si="0"/>
        <v>100</v>
      </c>
      <c r="T12" s="770" t="s">
        <v>17</v>
      </c>
      <c r="U12" s="771">
        <f t="shared" si="1"/>
        <v>100</v>
      </c>
      <c r="V12" s="770" t="s">
        <v>17</v>
      </c>
      <c r="W12" s="771">
        <f t="shared" si="2"/>
        <v>100</v>
      </c>
      <c r="X12" s="772"/>
      <c r="Y12" s="316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346"/>
      <c r="Q13" s="1797">
        <f t="shared" si="6"/>
        <v>111</v>
      </c>
      <c r="R13" s="770" t="s">
        <v>17</v>
      </c>
      <c r="S13" s="771">
        <f t="shared" si="0"/>
        <v>100</v>
      </c>
      <c r="T13" s="770" t="s">
        <v>17</v>
      </c>
      <c r="U13" s="771">
        <f t="shared" si="1"/>
        <v>100</v>
      </c>
      <c r="V13" s="770" t="s">
        <v>17</v>
      </c>
      <c r="W13" s="771">
        <f t="shared" si="2"/>
        <v>100</v>
      </c>
      <c r="X13" s="772"/>
      <c r="Y13" s="3160"/>
      <c r="Z13" s="55">
        <f t="shared" si="7"/>
        <v>111</v>
      </c>
      <c r="AA13" s="773">
        <f t="shared" si="3"/>
        <v>1</v>
      </c>
      <c r="AB13" s="773">
        <f t="shared" si="4"/>
        <v>1</v>
      </c>
      <c r="AC13" s="773">
        <f t="shared" si="5"/>
        <v>1</v>
      </c>
    </row>
    <row r="14" spans="1:29" ht="85.5">
      <c r="A14" s="401" t="s">
        <v>2553</v>
      </c>
      <c r="B14" s="629" t="s">
        <v>2703</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348" t="s">
        <v>2554</v>
      </c>
      <c r="Q14" s="1812" t="str">
        <f t="shared" si="6"/>
        <v>交通便捷度</v>
      </c>
      <c r="R14" s="774" t="s">
        <v>17</v>
      </c>
      <c r="S14" s="775">
        <f t="shared" si="0"/>
        <v>100</v>
      </c>
      <c r="T14" s="774" t="s">
        <v>17</v>
      </c>
      <c r="U14" s="775">
        <f t="shared" si="1"/>
        <v>100</v>
      </c>
      <c r="V14" s="774" t="s">
        <v>17</v>
      </c>
      <c r="W14" s="775">
        <f t="shared" si="2"/>
        <v>100</v>
      </c>
      <c r="X14" s="1815"/>
      <c r="Y14" s="3348" t="s">
        <v>2554</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349"/>
      <c r="Q15" s="1812"/>
      <c r="R15" s="774"/>
      <c r="S15" s="775"/>
      <c r="T15" s="774"/>
      <c r="U15" s="775"/>
      <c r="V15" s="774"/>
      <c r="W15" s="775"/>
      <c r="X15" s="1815"/>
      <c r="Y15" s="3349"/>
      <c r="Z15" s="1816"/>
      <c r="AA15" s="1813">
        <v>1</v>
      </c>
      <c r="AB15" s="1813">
        <v>1</v>
      </c>
      <c r="AC15" s="1813">
        <v>1</v>
      </c>
    </row>
    <row r="16" spans="1:29" ht="42.75">
      <c r="A16" s="404"/>
      <c r="B16" s="631" t="s">
        <v>2682</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349"/>
      <c r="Q16" s="1812" t="str">
        <f>B16</f>
        <v>公共配套设施</v>
      </c>
      <c r="R16" s="774" t="s">
        <v>17</v>
      </c>
      <c r="S16" s="775">
        <f>F16</f>
        <v>100</v>
      </c>
      <c r="T16" s="774" t="s">
        <v>17</v>
      </c>
      <c r="U16" s="775">
        <f>H16</f>
        <v>100</v>
      </c>
      <c r="V16" s="774" t="s">
        <v>17</v>
      </c>
      <c r="W16" s="775">
        <f>J16</f>
        <v>100</v>
      </c>
      <c r="X16" s="1815"/>
      <c r="Y16" s="3349"/>
      <c r="Z16" s="1816" t="str">
        <f>Q16</f>
        <v>公共配套设施</v>
      </c>
      <c r="AA16" s="1813">
        <f t="shared" si="3"/>
        <v>1</v>
      </c>
      <c r="AB16" s="1813">
        <f t="shared" si="4"/>
        <v>1</v>
      </c>
      <c r="AC16" s="1813">
        <f t="shared" si="5"/>
        <v>1</v>
      </c>
    </row>
    <row r="17" spans="1:29" ht="15">
      <c r="A17" s="404"/>
      <c r="B17" s="632"/>
      <c r="C17" s="2609"/>
      <c r="D17" s="448"/>
      <c r="E17" s="447"/>
      <c r="F17" s="449"/>
      <c r="G17" s="447"/>
      <c r="H17" s="448"/>
      <c r="I17" s="447"/>
      <c r="J17" s="448"/>
      <c r="K17" s="615"/>
      <c r="L17" s="1142"/>
      <c r="M17" s="1133"/>
      <c r="N17" s="1133"/>
      <c r="O17" s="1133"/>
      <c r="P17" s="3349"/>
      <c r="Q17" s="1812"/>
      <c r="R17" s="774"/>
      <c r="S17" s="775"/>
      <c r="T17" s="774"/>
      <c r="U17" s="775"/>
      <c r="V17" s="774"/>
      <c r="W17" s="775"/>
      <c r="X17" s="1815"/>
      <c r="Y17" s="3349"/>
      <c r="Z17" s="1816"/>
      <c r="AA17" s="1813">
        <v>1</v>
      </c>
      <c r="AB17" s="1813">
        <v>1</v>
      </c>
      <c r="AC17" s="1813">
        <v>1</v>
      </c>
    </row>
    <row r="18" spans="1:29" ht="28.5">
      <c r="A18" s="404"/>
      <c r="B18" s="633" t="s">
        <v>2683</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349"/>
      <c r="Q18" s="1812" t="str">
        <f>B18</f>
        <v>基础设施水平</v>
      </c>
      <c r="R18" s="774" t="s">
        <v>17</v>
      </c>
      <c r="S18" s="775">
        <f>F18</f>
        <v>100</v>
      </c>
      <c r="T18" s="774" t="s">
        <v>17</v>
      </c>
      <c r="U18" s="775">
        <f>H18</f>
        <v>100</v>
      </c>
      <c r="V18" s="774" t="s">
        <v>17</v>
      </c>
      <c r="W18" s="775">
        <f>J18</f>
        <v>100</v>
      </c>
      <c r="X18" s="1815"/>
      <c r="Y18" s="3349"/>
      <c r="Z18" s="1816" t="str">
        <f>Q18</f>
        <v>基础设施水平</v>
      </c>
      <c r="AA18" s="1813">
        <f t="shared" ref="AA18" si="8">D18/F18</f>
        <v>1</v>
      </c>
      <c r="AB18" s="1813">
        <f t="shared" ref="AB18" si="9">D18/H18</f>
        <v>1</v>
      </c>
      <c r="AC18" s="1813">
        <f t="shared" ref="AC18" si="10">D18/J18</f>
        <v>1</v>
      </c>
    </row>
    <row r="19" spans="1:29" ht="15">
      <c r="A19" s="404"/>
      <c r="B19" s="633"/>
      <c r="C19" s="2609"/>
      <c r="D19" s="450"/>
      <c r="E19" s="2609"/>
      <c r="F19" s="453"/>
      <c r="G19" s="2609"/>
      <c r="H19" s="448"/>
      <c r="I19" s="447"/>
      <c r="J19" s="448"/>
      <c r="K19" s="1385"/>
      <c r="L19" s="1142"/>
      <c r="M19" s="1133"/>
      <c r="N19" s="1133"/>
      <c r="O19" s="1133"/>
      <c r="P19" s="3349"/>
      <c r="Q19" s="1812"/>
      <c r="R19" s="774"/>
      <c r="S19" s="775"/>
      <c r="T19" s="774"/>
      <c r="U19" s="775"/>
      <c r="V19" s="774"/>
      <c r="W19" s="775"/>
      <c r="X19" s="1815"/>
      <c r="Y19" s="3349"/>
      <c r="Z19" s="1816"/>
      <c r="AA19" s="1813">
        <v>1</v>
      </c>
      <c r="AB19" s="1813">
        <v>1</v>
      </c>
      <c r="AC19" s="1813">
        <v>1</v>
      </c>
    </row>
    <row r="20" spans="1:29" ht="57">
      <c r="A20" s="404"/>
      <c r="B20" s="631" t="s">
        <v>2704</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349"/>
      <c r="Q20" s="1812" t="str">
        <f>B20</f>
        <v>自然及人文环境</v>
      </c>
      <c r="R20" s="774" t="s">
        <v>17</v>
      </c>
      <c r="S20" s="775">
        <f>F20</f>
        <v>100</v>
      </c>
      <c r="T20" s="774" t="s">
        <v>17</v>
      </c>
      <c r="U20" s="775">
        <f>H20</f>
        <v>100</v>
      </c>
      <c r="V20" s="774" t="s">
        <v>17</v>
      </c>
      <c r="W20" s="775">
        <f>J20</f>
        <v>100</v>
      </c>
      <c r="X20" s="1815"/>
      <c r="Y20" s="3349"/>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349"/>
      <c r="Q21" s="1812"/>
      <c r="R21" s="774"/>
      <c r="S21" s="775"/>
      <c r="T21" s="774"/>
      <c r="U21" s="775"/>
      <c r="V21" s="774"/>
      <c r="W21" s="775"/>
      <c r="X21" s="1815"/>
      <c r="Y21" s="3349"/>
      <c r="Z21" s="1816"/>
      <c r="AA21" s="1813">
        <v>1</v>
      </c>
      <c r="AB21" s="1813">
        <v>1</v>
      </c>
      <c r="AC21" s="1813">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349"/>
      <c r="Q22" s="1812" t="str">
        <f>B22</f>
        <v>楼层</v>
      </c>
      <c r="R22" s="774" t="s">
        <v>17</v>
      </c>
      <c r="S22" s="775">
        <f>F22</f>
        <v>100</v>
      </c>
      <c r="T22" s="774" t="s">
        <v>17</v>
      </c>
      <c r="U22" s="775">
        <f>H22</f>
        <v>100</v>
      </c>
      <c r="V22" s="774" t="s">
        <v>17</v>
      </c>
      <c r="W22" s="775">
        <f>J22</f>
        <v>100</v>
      </c>
      <c r="X22" s="1815"/>
      <c r="Y22" s="3349"/>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349"/>
      <c r="Q23" s="1812">
        <f>B23</f>
        <v>111</v>
      </c>
      <c r="R23" s="774" t="s">
        <v>17</v>
      </c>
      <c r="S23" s="775">
        <f>F23</f>
        <v>100</v>
      </c>
      <c r="T23" s="774" t="s">
        <v>17</v>
      </c>
      <c r="U23" s="775">
        <f>H23</f>
        <v>100</v>
      </c>
      <c r="V23" s="774" t="s">
        <v>17</v>
      </c>
      <c r="W23" s="775">
        <f>J23</f>
        <v>100</v>
      </c>
      <c r="X23" s="1815"/>
      <c r="Y23" s="3349"/>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349"/>
      <c r="Q24" s="1812">
        <f t="shared" ref="Q24:Q36" si="11">B24</f>
        <v>111</v>
      </c>
      <c r="R24" s="774" t="s">
        <v>17</v>
      </c>
      <c r="S24" s="775">
        <f>F24</f>
        <v>100</v>
      </c>
      <c r="T24" s="774" t="s">
        <v>17</v>
      </c>
      <c r="U24" s="775">
        <f>H24</f>
        <v>100</v>
      </c>
      <c r="V24" s="774" t="s">
        <v>17</v>
      </c>
      <c r="W24" s="775">
        <f>J24</f>
        <v>100</v>
      </c>
      <c r="X24" s="1815"/>
      <c r="Y24" s="3349"/>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349"/>
      <c r="Q25" s="1797">
        <f t="shared" si="11"/>
        <v>111</v>
      </c>
      <c r="R25" s="770" t="s">
        <v>17</v>
      </c>
      <c r="S25" s="771">
        <f>F25</f>
        <v>100</v>
      </c>
      <c r="T25" s="770" t="s">
        <v>17</v>
      </c>
      <c r="U25" s="771">
        <f>H25</f>
        <v>100</v>
      </c>
      <c r="V25" s="770" t="s">
        <v>17</v>
      </c>
      <c r="W25" s="771">
        <f>J25</f>
        <v>100</v>
      </c>
      <c r="X25" s="772"/>
      <c r="Y25" s="3349"/>
      <c r="Z25" s="55">
        <f>Q25</f>
        <v>111</v>
      </c>
      <c r="AA25" s="1813">
        <f>D25/F25</f>
        <v>1</v>
      </c>
      <c r="AB25" s="1813">
        <f>D25/H25</f>
        <v>1</v>
      </c>
      <c r="AC25" s="1813">
        <f>D25/J25</f>
        <v>1</v>
      </c>
    </row>
    <row r="26" spans="1:29" ht="28.5">
      <c r="A26" s="652" t="s">
        <v>2557</v>
      </c>
      <c r="B26" s="70" t="s">
        <v>2706</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401" t="s">
        <v>2559</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353" t="s">
        <v>2559</v>
      </c>
      <c r="Z26" s="1816" t="str">
        <f t="shared" ref="Z26:Z36" si="15">Q26</f>
        <v>配套类型</v>
      </c>
      <c r="AA26" s="1813">
        <f t="shared" si="3"/>
        <v>1</v>
      </c>
      <c r="AB26" s="1813">
        <f t="shared" si="4"/>
        <v>1</v>
      </c>
      <c r="AC26" s="1813">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353"/>
      <c r="Q27" s="776" t="str">
        <f t="shared" si="11"/>
        <v>项目停车位配比</v>
      </c>
      <c r="R27" s="777" t="s">
        <v>17</v>
      </c>
      <c r="S27" s="778">
        <f t="shared" si="12"/>
        <v>100</v>
      </c>
      <c r="T27" s="777" t="s">
        <v>17</v>
      </c>
      <c r="U27" s="778">
        <f t="shared" si="13"/>
        <v>100</v>
      </c>
      <c r="V27" s="777" t="s">
        <v>17</v>
      </c>
      <c r="W27" s="778">
        <f t="shared" si="14"/>
        <v>100</v>
      </c>
      <c r="X27" s="779"/>
      <c r="Y27" s="3353"/>
      <c r="Z27" s="780" t="str">
        <f t="shared" si="15"/>
        <v>项目停车位配比</v>
      </c>
      <c r="AA27" s="1813">
        <f t="shared" si="3"/>
        <v>1</v>
      </c>
      <c r="AB27" s="1813">
        <f t="shared" si="4"/>
        <v>1</v>
      </c>
      <c r="AC27" s="1813">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353"/>
      <c r="Q28" s="1812" t="str">
        <f t="shared" si="11"/>
        <v>公共部分装修</v>
      </c>
      <c r="R28" s="774" t="s">
        <v>17</v>
      </c>
      <c r="S28" s="775">
        <f t="shared" si="12"/>
        <v>100</v>
      </c>
      <c r="T28" s="774" t="s">
        <v>17</v>
      </c>
      <c r="U28" s="775">
        <f t="shared" si="13"/>
        <v>100</v>
      </c>
      <c r="V28" s="774" t="s">
        <v>17</v>
      </c>
      <c r="W28" s="775">
        <f t="shared" si="14"/>
        <v>100</v>
      </c>
      <c r="X28" s="1815"/>
      <c r="Y28" s="3353"/>
      <c r="Z28" s="1816" t="str">
        <f t="shared" si="15"/>
        <v>公共部分装修</v>
      </c>
      <c r="AA28" s="1813">
        <f t="shared" si="3"/>
        <v>1</v>
      </c>
      <c r="AB28" s="1813">
        <f t="shared" si="4"/>
        <v>1</v>
      </c>
      <c r="AC28" s="1813">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353"/>
      <c r="Q29" s="1812" t="str">
        <f t="shared" si="11"/>
        <v>成新率</v>
      </c>
      <c r="R29" s="774" t="s">
        <v>17</v>
      </c>
      <c r="S29" s="775" t="e">
        <f t="shared" si="12"/>
        <v>#N/A</v>
      </c>
      <c r="T29" s="774" t="s">
        <v>17</v>
      </c>
      <c r="U29" s="775" t="e">
        <f t="shared" si="13"/>
        <v>#N/A</v>
      </c>
      <c r="V29" s="774" t="s">
        <v>17</v>
      </c>
      <c r="W29" s="775" t="e">
        <f t="shared" si="14"/>
        <v>#N/A</v>
      </c>
      <c r="X29" s="1815"/>
      <c r="Y29" s="3353"/>
      <c r="Z29" s="1816" t="str">
        <f t="shared" si="15"/>
        <v>成新率</v>
      </c>
      <c r="AA29" s="1813" t="e">
        <f t="shared" si="3"/>
        <v>#N/A</v>
      </c>
      <c r="AB29" s="1813" t="e">
        <f t="shared" si="4"/>
        <v>#N/A</v>
      </c>
      <c r="AC29" s="1813"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353"/>
      <c r="Q30" s="1812" t="str">
        <f t="shared" si="11"/>
        <v>物业等级</v>
      </c>
      <c r="R30" s="774" t="s">
        <v>17</v>
      </c>
      <c r="S30" s="775">
        <f t="shared" si="12"/>
        <v>100</v>
      </c>
      <c r="T30" s="774" t="s">
        <v>17</v>
      </c>
      <c r="U30" s="775">
        <f t="shared" si="13"/>
        <v>100</v>
      </c>
      <c r="V30" s="774" t="s">
        <v>17</v>
      </c>
      <c r="W30" s="775">
        <f t="shared" si="14"/>
        <v>100</v>
      </c>
      <c r="X30" s="1815"/>
      <c r="Y30" s="3353"/>
      <c r="Z30" s="1816" t="str">
        <f t="shared" si="15"/>
        <v>物业等级</v>
      </c>
      <c r="AA30" s="1813">
        <f t="shared" si="3"/>
        <v>1</v>
      </c>
      <c r="AB30" s="1813">
        <f t="shared" si="4"/>
        <v>1</v>
      </c>
      <c r="AC30" s="1813">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353"/>
      <c r="Q31" s="1797" t="str">
        <f t="shared" si="11"/>
        <v>停车位面积</v>
      </c>
      <c r="R31" s="770" t="s">
        <v>17</v>
      </c>
      <c r="S31" s="771" t="e">
        <f t="shared" si="12"/>
        <v>#N/A</v>
      </c>
      <c r="T31" s="770" t="s">
        <v>17</v>
      </c>
      <c r="U31" s="771" t="e">
        <f t="shared" si="13"/>
        <v>#N/A</v>
      </c>
      <c r="V31" s="770" t="s">
        <v>17</v>
      </c>
      <c r="W31" s="771" t="e">
        <f t="shared" si="14"/>
        <v>#N/A</v>
      </c>
      <c r="X31" s="772"/>
      <c r="Y31" s="3353"/>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353" t="s">
        <v>2559</v>
      </c>
      <c r="Q32" s="1812" t="str">
        <f t="shared" si="11"/>
        <v>车位类型</v>
      </c>
      <c r="R32" s="774" t="s">
        <v>17</v>
      </c>
      <c r="S32" s="775">
        <f t="shared" si="12"/>
        <v>100</v>
      </c>
      <c r="T32" s="774" t="s">
        <v>17</v>
      </c>
      <c r="U32" s="775">
        <f t="shared" si="13"/>
        <v>100</v>
      </c>
      <c r="V32" s="774" t="s">
        <v>17</v>
      </c>
      <c r="W32" s="775">
        <f t="shared" si="14"/>
        <v>100</v>
      </c>
      <c r="X32" s="1815"/>
      <c r="Y32" s="3353" t="s">
        <v>2559</v>
      </c>
      <c r="Z32" s="1816" t="str">
        <f t="shared" si="15"/>
        <v>车位类型</v>
      </c>
      <c r="AA32" s="1813">
        <f t="shared" si="3"/>
        <v>1</v>
      </c>
      <c r="AB32" s="1813">
        <f t="shared" si="4"/>
        <v>1</v>
      </c>
      <c r="AC32" s="1813">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353"/>
      <c r="Q33" s="1812" t="str">
        <f t="shared" si="11"/>
        <v>是否直接入户</v>
      </c>
      <c r="R33" s="774" t="s">
        <v>17</v>
      </c>
      <c r="S33" s="775">
        <f t="shared" si="12"/>
        <v>100</v>
      </c>
      <c r="T33" s="774" t="s">
        <v>17</v>
      </c>
      <c r="U33" s="775">
        <f t="shared" si="13"/>
        <v>100</v>
      </c>
      <c r="V33" s="774" t="s">
        <v>17</v>
      </c>
      <c r="W33" s="775">
        <f t="shared" si="14"/>
        <v>100</v>
      </c>
      <c r="X33" s="1815"/>
      <c r="Y33" s="3353"/>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353"/>
      <c r="Q34" s="1812">
        <f t="shared" si="11"/>
        <v>111</v>
      </c>
      <c r="R34" s="774" t="s">
        <v>17</v>
      </c>
      <c r="S34" s="775">
        <f t="shared" si="12"/>
        <v>100</v>
      </c>
      <c r="T34" s="774" t="s">
        <v>17</v>
      </c>
      <c r="U34" s="775">
        <f t="shared" si="13"/>
        <v>100</v>
      </c>
      <c r="V34" s="774" t="s">
        <v>17</v>
      </c>
      <c r="W34" s="775">
        <f t="shared" si="14"/>
        <v>100</v>
      </c>
      <c r="X34" s="1815"/>
      <c r="Y34" s="3353"/>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353"/>
      <c r="Q35" s="776">
        <f t="shared" si="11"/>
        <v>111</v>
      </c>
      <c r="R35" s="777" t="s">
        <v>17</v>
      </c>
      <c r="S35" s="778">
        <f t="shared" si="12"/>
        <v>100</v>
      </c>
      <c r="T35" s="777" t="s">
        <v>17</v>
      </c>
      <c r="U35" s="778">
        <f t="shared" si="13"/>
        <v>100</v>
      </c>
      <c r="V35" s="777" t="s">
        <v>17</v>
      </c>
      <c r="W35" s="778">
        <f t="shared" si="14"/>
        <v>100</v>
      </c>
      <c r="X35" s="779"/>
      <c r="Y35" s="3353"/>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353"/>
      <c r="Q36" s="1812">
        <f t="shared" si="11"/>
        <v>111</v>
      </c>
      <c r="R36" s="774" t="s">
        <v>17</v>
      </c>
      <c r="S36" s="775">
        <f t="shared" si="12"/>
        <v>100</v>
      </c>
      <c r="T36" s="774" t="s">
        <v>17</v>
      </c>
      <c r="U36" s="775">
        <f t="shared" si="13"/>
        <v>100</v>
      </c>
      <c r="V36" s="774" t="s">
        <v>17</v>
      </c>
      <c r="W36" s="775">
        <f t="shared" si="14"/>
        <v>100</v>
      </c>
      <c r="X36" s="1815"/>
      <c r="Y36" s="3353"/>
      <c r="Z36" s="1816">
        <f t="shared" si="15"/>
        <v>111</v>
      </c>
      <c r="AA36" s="1813">
        <f t="shared" si="3"/>
        <v>1</v>
      </c>
      <c r="AB36" s="1813">
        <f t="shared" si="4"/>
        <v>1</v>
      </c>
      <c r="AC36" s="1813">
        <f t="shared" si="5"/>
        <v>1</v>
      </c>
    </row>
    <row r="37" spans="1:29" ht="15">
      <c r="A37" s="479" t="s">
        <v>2714</v>
      </c>
      <c r="B37" s="2695" t="s">
        <v>2715</v>
      </c>
      <c r="C37" s="1409" t="s">
        <v>1</v>
      </c>
      <c r="D37" s="1410"/>
      <c r="E37" s="1411"/>
      <c r="F37" s="1412"/>
      <c r="G37" s="1413"/>
      <c r="H37" s="1414"/>
      <c r="I37" s="1411"/>
      <c r="J37" s="1414"/>
      <c r="K37" s="619"/>
      <c r="L37" s="1145"/>
      <c r="M37" s="1146"/>
      <c r="N37" s="1133"/>
      <c r="O37" s="1146"/>
      <c r="P37" s="3346" t="str">
        <f>A37</f>
        <v>成交单价</v>
      </c>
      <c r="Q37" s="3346"/>
      <c r="R37" s="3347">
        <f>E37</f>
        <v>0</v>
      </c>
      <c r="S37" s="3347"/>
      <c r="T37" s="3347">
        <f>G37</f>
        <v>0</v>
      </c>
      <c r="U37" s="3347"/>
      <c r="V37" s="3347">
        <f>I37</f>
        <v>0</v>
      </c>
      <c r="W37" s="3347"/>
      <c r="X37" s="759"/>
      <c r="Y37" s="781"/>
      <c r="Z37" s="759"/>
      <c r="AA37" s="759"/>
      <c r="AB37" s="759"/>
      <c r="AC37" s="759"/>
    </row>
    <row r="38" spans="1:29" ht="15.75" thickBot="1">
      <c r="A38" s="486" t="s">
        <v>2716</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346" t="str">
        <f>A38</f>
        <v>比较价值（元/平方米）</v>
      </c>
      <c r="Q38" s="3346"/>
      <c r="R38" s="3347" t="e">
        <f>IF(F1="售价",ROUND(PRODUCT(R37,AA7:AA36),0),ROUND(PRODUCT(R37,AA7:AA36),1))</f>
        <v>#DIV/0!</v>
      </c>
      <c r="S38" s="3347"/>
      <c r="T38" s="3347" t="e">
        <f>IF(F1="售价",ROUND(PRODUCT(T37,AB7:AB36),0),ROUND(PRODUCT(T37,AB7:AB36),1))</f>
        <v>#DIV/0!</v>
      </c>
      <c r="U38" s="3347"/>
      <c r="V38" s="3347" t="e">
        <f>IF(F1="售价",ROUND(PRODUCT(V37,AC7:AC36),0),ROUND(PRODUCT(V37,AC7:AC36),1))</f>
        <v>#DIV/0!</v>
      </c>
      <c r="W38" s="3347"/>
      <c r="X38" s="759"/>
      <c r="Y38" s="759"/>
      <c r="Z38" s="759"/>
      <c r="AA38" s="759"/>
      <c r="AB38" s="759"/>
      <c r="AC38" s="759"/>
    </row>
    <row r="39" spans="1:29" ht="15.75" thickBot="1">
      <c r="A39" s="492" t="s">
        <v>2717</v>
      </c>
      <c r="B39" s="493"/>
      <c r="C39" s="1419" t="e">
        <f>R39</f>
        <v>#DIV/0!</v>
      </c>
      <c r="D39" s="1419"/>
      <c r="E39" s="1419"/>
      <c r="F39" s="1419"/>
      <c r="G39" s="1419"/>
      <c r="H39" s="1419"/>
      <c r="I39" s="1419"/>
      <c r="J39" s="1419"/>
      <c r="K39" s="621"/>
      <c r="L39" s="1145"/>
      <c r="M39" s="1146"/>
      <c r="N39" s="1146"/>
      <c r="O39" s="1146"/>
      <c r="P39" s="3343" t="str">
        <f>A39</f>
        <v>估价对象XX用房的比较价值（楼面单价，元/平方米）</v>
      </c>
      <c r="Q39" s="3344"/>
      <c r="R39" s="3345" t="e">
        <f>IF(F1="售价",ROUND(AVERAGE(R38:V38),0),ROUND(AVERAGE(R38:V38),1))</f>
        <v>#DIV/0!</v>
      </c>
      <c r="S39" s="3345"/>
      <c r="T39" s="3345"/>
      <c r="U39" s="3345"/>
      <c r="V39" s="3345"/>
      <c r="W39" s="3345"/>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2721</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2722</v>
      </c>
      <c r="B48" s="506"/>
      <c r="C48" s="1576" t="str">
        <f>YEAR(C7)&amp;"-"&amp;MONTH(C7)</f>
        <v>2019-1</v>
      </c>
      <c r="D48" s="1577">
        <f>EDATE(C48,-1)</f>
        <v>43435</v>
      </c>
      <c r="E48" s="1577">
        <f t="shared" ref="E48:O48" si="16">EDATE(D48,-1)</f>
        <v>43405</v>
      </c>
      <c r="F48" s="1577">
        <f t="shared" si="16"/>
        <v>43374</v>
      </c>
      <c r="G48" s="1577">
        <f t="shared" si="16"/>
        <v>43344</v>
      </c>
      <c r="H48" s="1577">
        <f t="shared" si="16"/>
        <v>43313</v>
      </c>
      <c r="I48" s="1577">
        <f t="shared" si="16"/>
        <v>43282</v>
      </c>
      <c r="J48" s="1577">
        <f t="shared" si="16"/>
        <v>43252</v>
      </c>
      <c r="K48" s="1577">
        <f t="shared" si="16"/>
        <v>43221</v>
      </c>
      <c r="L48" s="1577">
        <f t="shared" si="16"/>
        <v>43191</v>
      </c>
      <c r="M48" s="1577">
        <f t="shared" si="16"/>
        <v>43160</v>
      </c>
      <c r="N48" s="1577">
        <f t="shared" si="16"/>
        <v>43132</v>
      </c>
      <c r="O48" s="1577">
        <f t="shared" si="16"/>
        <v>43101</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2579</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2544</v>
      </c>
      <c r="B51" s="510"/>
      <c r="C51" s="522" t="s">
        <v>2646</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2582</v>
      </c>
      <c r="B53" s="528" t="s">
        <v>2548</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2597</v>
      </c>
      <c r="C65" s="578" t="s">
        <v>2591</v>
      </c>
      <c r="D65" s="578" t="s">
        <v>2592</v>
      </c>
      <c r="E65" s="578" t="s">
        <v>2593</v>
      </c>
      <c r="F65" s="578" t="s">
        <v>2594</v>
      </c>
      <c r="G65" s="578" t="s">
        <v>2595</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2683</v>
      </c>
      <c r="C67" s="660" t="s">
        <v>2669</v>
      </c>
      <c r="D67" s="660" t="s">
        <v>2670</v>
      </c>
      <c r="E67" s="660" t="s">
        <v>2671</v>
      </c>
      <c r="F67" s="660" t="s">
        <v>2672</v>
      </c>
      <c r="G67" s="660" t="s">
        <v>2673</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2603</v>
      </c>
      <c r="C69" s="578" t="s">
        <v>2591</v>
      </c>
      <c r="D69" s="578" t="s">
        <v>2592</v>
      </c>
      <c r="E69" s="578" t="s">
        <v>2593</v>
      </c>
      <c r="F69" s="578" t="s">
        <v>2594</v>
      </c>
      <c r="G69" s="578" t="s">
        <v>2595</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2723</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2557</v>
      </c>
      <c r="B79" s="528" t="s">
        <v>2724</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2725</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2610</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2727</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2729</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2730</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10" priority="14" stopIfTrue="1" operator="containsText" text="超过">
      <formula>NOT(ISERROR(SEARCH("超过",F42)))</formula>
    </cfRule>
  </conditionalFormatting>
  <conditionalFormatting sqref="J44">
    <cfRule type="containsText" dxfId="109" priority="13" stopIfTrue="1" operator="containsText" text="超过">
      <formula>NOT(ISERROR(SEARCH("超过",J44)))</formula>
    </cfRule>
  </conditionalFormatting>
  <conditionalFormatting sqref="H44">
    <cfRule type="containsText" dxfId="108" priority="12" stopIfTrue="1" operator="containsText" text="超过">
      <formula>NOT(ISERROR(SEARCH("超过",H44)))</formula>
    </cfRule>
  </conditionalFormatting>
  <conditionalFormatting sqref="F44">
    <cfRule type="containsText" dxfId="107" priority="11" stopIfTrue="1" operator="containsText" text="超过">
      <formula>NOT(ISERROR(SEARCH("超过",F44)))</formula>
    </cfRule>
  </conditionalFormatting>
  <conditionalFormatting sqref="F43 H43 J43">
    <cfRule type="containsText" dxfId="106" priority="10" stopIfTrue="1" operator="containsText" text="超过">
      <formula>NOT(ISERROR(SEARCH("超过",F43)))</formula>
    </cfRule>
  </conditionalFormatting>
  <conditionalFormatting sqref="E42">
    <cfRule type="expression" dxfId="105" priority="9" stopIfTrue="1">
      <formula>$F$42="超过30%"</formula>
    </cfRule>
  </conditionalFormatting>
  <conditionalFormatting sqref="G44">
    <cfRule type="expression" dxfId="104" priority="8" stopIfTrue="1">
      <formula>$H$54+$H$44="超过30%"</formula>
    </cfRule>
  </conditionalFormatting>
  <conditionalFormatting sqref="E43">
    <cfRule type="expression" dxfId="103" priority="7" stopIfTrue="1">
      <formula>$F$43="超过20%"</formula>
    </cfRule>
  </conditionalFormatting>
  <conditionalFormatting sqref="E44">
    <cfRule type="expression" dxfId="102" priority="6" stopIfTrue="1">
      <formula>$F$44="超过30%"</formula>
    </cfRule>
  </conditionalFormatting>
  <conditionalFormatting sqref="G42">
    <cfRule type="expression" dxfId="101" priority="5" stopIfTrue="1">
      <formula>$H$52+$H$42="超过30%"</formula>
    </cfRule>
  </conditionalFormatting>
  <conditionalFormatting sqref="G43">
    <cfRule type="expression" dxfId="100" priority="4" stopIfTrue="1">
      <formula>$H$43="超过20%"</formula>
    </cfRule>
  </conditionalFormatting>
  <conditionalFormatting sqref="I42">
    <cfRule type="expression" dxfId="99" priority="3" stopIfTrue="1">
      <formula>$J$52+$J$42="超过30%"</formula>
    </cfRule>
  </conditionalFormatting>
  <conditionalFormatting sqref="I43">
    <cfRule type="expression" dxfId="98" priority="2" stopIfTrue="1">
      <formula>$J$53+$J$43="超过20%"</formula>
    </cfRule>
  </conditionalFormatting>
  <conditionalFormatting sqref="I44">
    <cfRule type="expression" dxfId="9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zoomScalePageLayoutView="89" workbookViewId="0">
      <selection activeCell="G13" sqref="G13"/>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31" customFormat="1" ht="28.5" customHeight="1" thickBot="1">
      <c r="A1" s="1620" t="s">
        <v>2701</v>
      </c>
      <c r="B1" s="1621"/>
      <c r="C1" s="1622" t="s">
        <v>2524</v>
      </c>
      <c r="D1" s="1623"/>
      <c r="E1" s="1632"/>
      <c r="F1" s="2585"/>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2321</v>
      </c>
      <c r="B2" s="1420" t="e">
        <f ca="1">IF(C2="——",ROUND(C37*D3/10000,0),ROUND(C37*D3/10000,0)-D2)</f>
        <v>#DIV/0!</v>
      </c>
      <c r="C2" s="2587"/>
      <c r="D2" s="1126" t="e">
        <f ca="1">SUMIF(INDIRECT("'"&amp;F2&amp;"'"&amp;"!A:A"),"承租人权益价值",INDIRECT("'"&amp;F2&amp;"'"&amp;"!c:c"))</f>
        <v>#REF!</v>
      </c>
      <c r="E2" s="2588" t="s">
        <v>2322</v>
      </c>
      <c r="F2" s="2589"/>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2639</v>
      </c>
      <c r="B4" s="402"/>
      <c r="C4" s="3325" t="s">
        <v>2640</v>
      </c>
      <c r="D4" s="3326"/>
      <c r="E4" s="3327" t="s">
        <v>2641</v>
      </c>
      <c r="F4" s="3328"/>
      <c r="G4" s="3325" t="s">
        <v>2642</v>
      </c>
      <c r="H4" s="3326"/>
      <c r="I4" s="3325" t="s">
        <v>2643</v>
      </c>
      <c r="J4" s="3326"/>
      <c r="K4" s="610" t="s">
        <v>2644</v>
      </c>
      <c r="L4" s="1132"/>
      <c r="M4" s="1133"/>
      <c r="N4" s="1133"/>
      <c r="O4" s="1133"/>
      <c r="P4" s="3331" t="s">
        <v>2645</v>
      </c>
      <c r="Q4" s="3332"/>
      <c r="R4" s="3310" t="s">
        <v>2641</v>
      </c>
      <c r="S4" s="3311"/>
      <c r="T4" s="3310" t="s">
        <v>2642</v>
      </c>
      <c r="U4" s="3311"/>
      <c r="V4" s="3339" t="s">
        <v>2643</v>
      </c>
      <c r="W4" s="3339"/>
      <c r="X4" s="1815"/>
      <c r="Y4" s="3310" t="s">
        <v>2645</v>
      </c>
      <c r="Z4" s="3311"/>
      <c r="AA4" s="3305" t="s">
        <v>2641</v>
      </c>
      <c r="AB4" s="3306" t="s">
        <v>2642</v>
      </c>
      <c r="AC4" s="3305" t="s">
        <v>2643</v>
      </c>
    </row>
    <row r="5" spans="1:29" ht="15">
      <c r="A5" s="404"/>
      <c r="B5" s="405"/>
      <c r="C5" s="3316" t="s">
        <v>2536</v>
      </c>
      <c r="D5" s="3317"/>
      <c r="E5" s="3387" t="s">
        <v>2537</v>
      </c>
      <c r="F5" s="3315"/>
      <c r="G5" s="3316" t="s">
        <v>2538</v>
      </c>
      <c r="H5" s="3317"/>
      <c r="I5" s="3316" t="s">
        <v>2539</v>
      </c>
      <c r="J5" s="3317"/>
      <c r="K5" s="610"/>
      <c r="L5" s="1132"/>
      <c r="M5" s="1133"/>
      <c r="N5" s="1133"/>
      <c r="O5" s="1133"/>
      <c r="P5" s="3333"/>
      <c r="Q5" s="3334"/>
      <c r="R5" s="3312"/>
      <c r="S5" s="3313"/>
      <c r="T5" s="3312"/>
      <c r="U5" s="3313"/>
      <c r="V5" s="3339"/>
      <c r="W5" s="3339"/>
      <c r="X5" s="1815"/>
      <c r="Y5" s="3312"/>
      <c r="Z5" s="3313"/>
      <c r="AA5" s="3306"/>
      <c r="AB5" s="3306"/>
      <c r="AC5" s="3306"/>
    </row>
    <row r="6" spans="1:29" ht="15.75" thickBot="1">
      <c r="A6" s="406"/>
      <c r="B6" s="407"/>
      <c r="C6" s="3318" t="s">
        <v>2540</v>
      </c>
      <c r="D6" s="3319"/>
      <c r="E6" s="3388" t="s">
        <v>2540</v>
      </c>
      <c r="F6" s="3322"/>
      <c r="G6" s="3318" t="s">
        <v>2540</v>
      </c>
      <c r="H6" s="3319"/>
      <c r="I6" s="3318" t="s">
        <v>2540</v>
      </c>
      <c r="J6" s="3319"/>
      <c r="K6" s="610" t="s">
        <v>2541</v>
      </c>
      <c r="L6" s="1132"/>
      <c r="M6" s="1133"/>
      <c r="N6" s="1133"/>
      <c r="O6" s="1133"/>
      <c r="P6" s="3335"/>
      <c r="Q6" s="3336"/>
      <c r="R6" s="3312"/>
      <c r="S6" s="3313"/>
      <c r="T6" s="3337"/>
      <c r="U6" s="3338"/>
      <c r="V6" s="3339"/>
      <c r="W6" s="3339"/>
      <c r="X6" s="1815"/>
      <c r="Y6" s="3337"/>
      <c r="Z6" s="3338"/>
      <c r="AA6" s="3307"/>
      <c r="AB6" s="3307"/>
      <c r="AC6" s="3307"/>
    </row>
    <row r="7" spans="1:29" s="117" customFormat="1" ht="15.75" thickBot="1">
      <c r="A7" s="408" t="s">
        <v>2542</v>
      </c>
      <c r="B7" s="409"/>
      <c r="C7" s="410">
        <f>'数据-取费表'!B2</f>
        <v>43482</v>
      </c>
      <c r="D7" s="411">
        <v>100</v>
      </c>
      <c r="E7" s="412"/>
      <c r="F7" s="413">
        <f>SUMIF(46:46,YEAR(E7)&amp;"-"&amp;MONTH(E7),47:47)</f>
        <v>0</v>
      </c>
      <c r="G7" s="2696"/>
      <c r="H7" s="411">
        <f>SUMIF(46:46,YEAR(G7)&amp;"-"&amp;MONTH(G7),47:47)</f>
        <v>0</v>
      </c>
      <c r="I7" s="412"/>
      <c r="J7" s="411">
        <f>SUMIF(46:46,YEAR(I7)&amp;"-"&amp;MONTH(I7),47:47)</f>
        <v>0</v>
      </c>
      <c r="K7" s="611"/>
      <c r="L7" s="1134"/>
      <c r="M7" s="1135"/>
      <c r="N7" s="1135"/>
      <c r="O7" s="1135"/>
      <c r="P7" s="3308" t="s">
        <v>2543</v>
      </c>
      <c r="Q7" s="3342"/>
      <c r="R7" s="770" t="s">
        <v>17</v>
      </c>
      <c r="S7" s="771">
        <f t="shared" ref="S7:S14" si="0">F7</f>
        <v>0</v>
      </c>
      <c r="T7" s="770" t="s">
        <v>17</v>
      </c>
      <c r="U7" s="771">
        <f t="shared" ref="U7:U14" si="1">H7</f>
        <v>0</v>
      </c>
      <c r="V7" s="770" t="s">
        <v>17</v>
      </c>
      <c r="W7" s="771">
        <f t="shared" ref="W7:W14" si="2">J7</f>
        <v>0</v>
      </c>
      <c r="X7" s="772"/>
      <c r="Y7" s="3308" t="s">
        <v>2543</v>
      </c>
      <c r="Z7" s="3309"/>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308" t="s">
        <v>2546</v>
      </c>
      <c r="Q8" s="3309"/>
      <c r="R8" s="770" t="s">
        <v>17</v>
      </c>
      <c r="S8" s="771">
        <f t="shared" si="0"/>
        <v>0</v>
      </c>
      <c r="T8" s="770" t="s">
        <v>17</v>
      </c>
      <c r="U8" s="771">
        <f t="shared" si="1"/>
        <v>0</v>
      </c>
      <c r="V8" s="770" t="s">
        <v>17</v>
      </c>
      <c r="W8" s="771">
        <f t="shared" si="2"/>
        <v>0</v>
      </c>
      <c r="X8" s="772"/>
      <c r="Y8" s="3308" t="s">
        <v>2546</v>
      </c>
      <c r="Z8" s="3309"/>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346" t="s">
        <v>2549</v>
      </c>
      <c r="Q9" s="1797" t="str">
        <f t="shared" ref="Q9:Q14" si="6">B9</f>
        <v>用途</v>
      </c>
      <c r="R9" s="770" t="s">
        <v>17</v>
      </c>
      <c r="S9" s="771">
        <f t="shared" si="0"/>
        <v>100</v>
      </c>
      <c r="T9" s="770" t="s">
        <v>17</v>
      </c>
      <c r="U9" s="771">
        <f t="shared" si="1"/>
        <v>100</v>
      </c>
      <c r="V9" s="770" t="s">
        <v>17</v>
      </c>
      <c r="W9" s="771">
        <f t="shared" si="2"/>
        <v>100</v>
      </c>
      <c r="X9" s="772"/>
      <c r="Y9" s="3160"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346"/>
      <c r="Q10" s="1797" t="str">
        <f t="shared" si="6"/>
        <v>土地使用年限（年）</v>
      </c>
      <c r="R10" s="770" t="s">
        <v>17</v>
      </c>
      <c r="S10" s="771">
        <f t="shared" si="0"/>
        <v>100</v>
      </c>
      <c r="T10" s="770" t="s">
        <v>17</v>
      </c>
      <c r="U10" s="771">
        <f t="shared" si="1"/>
        <v>100</v>
      </c>
      <c r="V10" s="770" t="s">
        <v>17</v>
      </c>
      <c r="W10" s="771">
        <f t="shared" si="2"/>
        <v>100</v>
      </c>
      <c r="X10" s="772"/>
      <c r="Y10" s="3160"/>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346"/>
      <c r="Q11" s="1797">
        <f t="shared" si="6"/>
        <v>111</v>
      </c>
      <c r="R11" s="770" t="s">
        <v>17</v>
      </c>
      <c r="S11" s="771">
        <f t="shared" si="0"/>
        <v>100</v>
      </c>
      <c r="T11" s="770" t="s">
        <v>17</v>
      </c>
      <c r="U11" s="771">
        <f t="shared" si="1"/>
        <v>100</v>
      </c>
      <c r="V11" s="770" t="s">
        <v>17</v>
      </c>
      <c r="W11" s="771">
        <f t="shared" si="2"/>
        <v>100</v>
      </c>
      <c r="X11" s="772"/>
      <c r="Y11" s="3160"/>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346"/>
      <c r="Q12" s="1797">
        <f t="shared" si="6"/>
        <v>111</v>
      </c>
      <c r="R12" s="770" t="s">
        <v>17</v>
      </c>
      <c r="S12" s="771">
        <f t="shared" si="0"/>
        <v>100</v>
      </c>
      <c r="T12" s="770" t="s">
        <v>17</v>
      </c>
      <c r="U12" s="771">
        <f t="shared" si="1"/>
        <v>100</v>
      </c>
      <c r="V12" s="770" t="s">
        <v>17</v>
      </c>
      <c r="W12" s="771">
        <f t="shared" si="2"/>
        <v>100</v>
      </c>
      <c r="X12" s="772"/>
      <c r="Y12" s="3160"/>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2"/>
      <c r="M13" s="1133"/>
      <c r="N13" s="1133"/>
      <c r="O13" s="1141"/>
      <c r="P13" s="3346"/>
      <c r="Q13" s="1797">
        <f t="shared" si="6"/>
        <v>111</v>
      </c>
      <c r="R13" s="770" t="s">
        <v>17</v>
      </c>
      <c r="S13" s="771">
        <f t="shared" si="0"/>
        <v>100</v>
      </c>
      <c r="T13" s="770" t="s">
        <v>17</v>
      </c>
      <c r="U13" s="771">
        <f t="shared" si="1"/>
        <v>100</v>
      </c>
      <c r="V13" s="770" t="s">
        <v>17</v>
      </c>
      <c r="W13" s="771">
        <f t="shared" si="2"/>
        <v>100</v>
      </c>
      <c r="X13" s="772"/>
      <c r="Y13" s="3160"/>
      <c r="Z13" s="55">
        <f t="shared" si="7"/>
        <v>111</v>
      </c>
      <c r="AA13" s="773">
        <f t="shared" si="3"/>
        <v>1</v>
      </c>
      <c r="AB13" s="773">
        <f t="shared" si="4"/>
        <v>1</v>
      </c>
      <c r="AC13" s="773">
        <f t="shared" si="5"/>
        <v>1</v>
      </c>
    </row>
    <row r="14" spans="1:29" ht="85.5">
      <c r="A14" s="440" t="s">
        <v>2553</v>
      </c>
      <c r="B14" s="69" t="s">
        <v>2703</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348" t="s">
        <v>2554</v>
      </c>
      <c r="Q14" s="1812" t="str">
        <f t="shared" si="6"/>
        <v>交通便捷度</v>
      </c>
      <c r="R14" s="774" t="s">
        <v>17</v>
      </c>
      <c r="S14" s="775">
        <f t="shared" si="0"/>
        <v>100</v>
      </c>
      <c r="T14" s="774" t="s">
        <v>17</v>
      </c>
      <c r="U14" s="775">
        <f t="shared" si="1"/>
        <v>100</v>
      </c>
      <c r="V14" s="774" t="s">
        <v>17</v>
      </c>
      <c r="W14" s="775">
        <f t="shared" si="2"/>
        <v>100</v>
      </c>
      <c r="X14" s="1815"/>
      <c r="Y14" s="3348" t="s">
        <v>2554</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349"/>
      <c r="Q15" s="1812"/>
      <c r="R15" s="774"/>
      <c r="S15" s="775"/>
      <c r="T15" s="774"/>
      <c r="U15" s="775"/>
      <c r="V15" s="774"/>
      <c r="W15" s="775"/>
      <c r="X15" s="1815"/>
      <c r="Y15" s="3349"/>
      <c r="Z15" s="1816"/>
      <c r="AA15" s="1813">
        <v>1</v>
      </c>
      <c r="AB15" s="1813">
        <v>1</v>
      </c>
      <c r="AC15" s="1813">
        <v>1</v>
      </c>
    </row>
    <row r="16" spans="1:29" ht="42.75">
      <c r="A16" s="428"/>
      <c r="B16" s="451" t="s">
        <v>2682</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349"/>
      <c r="Q16" s="1812" t="str">
        <f>B16</f>
        <v>公共配套设施</v>
      </c>
      <c r="R16" s="774" t="s">
        <v>17</v>
      </c>
      <c r="S16" s="775">
        <f>F16</f>
        <v>100</v>
      </c>
      <c r="T16" s="774" t="s">
        <v>17</v>
      </c>
      <c r="U16" s="775">
        <f>H16</f>
        <v>100</v>
      </c>
      <c r="V16" s="774" t="s">
        <v>17</v>
      </c>
      <c r="W16" s="775">
        <f>J16</f>
        <v>100</v>
      </c>
      <c r="X16" s="1815"/>
      <c r="Y16" s="3349"/>
      <c r="Z16" s="1816" t="str">
        <f>Q16</f>
        <v>公共配套设施</v>
      </c>
      <c r="AA16" s="1813">
        <f t="shared" si="3"/>
        <v>1</v>
      </c>
      <c r="AB16" s="1813">
        <f t="shared" si="4"/>
        <v>1</v>
      </c>
      <c r="AC16" s="1813">
        <f t="shared" si="5"/>
        <v>1</v>
      </c>
    </row>
    <row r="17" spans="1:29" ht="15">
      <c r="A17" s="428"/>
      <c r="B17" s="456"/>
      <c r="C17" s="2609"/>
      <c r="D17" s="448"/>
      <c r="E17" s="447"/>
      <c r="F17" s="449"/>
      <c r="G17" s="447"/>
      <c r="H17" s="448"/>
      <c r="I17" s="447"/>
      <c r="J17" s="448"/>
      <c r="K17" s="615"/>
      <c r="L17" s="1142"/>
      <c r="M17" s="1133"/>
      <c r="N17" s="1133"/>
      <c r="O17" s="1141"/>
      <c r="P17" s="3349"/>
      <c r="Q17" s="1812"/>
      <c r="R17" s="774"/>
      <c r="S17" s="775"/>
      <c r="T17" s="774"/>
      <c r="U17" s="775"/>
      <c r="V17" s="774"/>
      <c r="W17" s="775"/>
      <c r="X17" s="1815"/>
      <c r="Y17" s="3349"/>
      <c r="Z17" s="1816"/>
      <c r="AA17" s="1813">
        <v>1</v>
      </c>
      <c r="AB17" s="1813">
        <v>1</v>
      </c>
      <c r="AC17" s="1813">
        <v>1</v>
      </c>
    </row>
    <row r="18" spans="1:29" ht="28.5">
      <c r="A18" s="428"/>
      <c r="B18" s="1386" t="s">
        <v>2683</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349"/>
      <c r="Q18" s="1812" t="str">
        <f>B18</f>
        <v>基础设施水平</v>
      </c>
      <c r="R18" s="774" t="s">
        <v>17</v>
      </c>
      <c r="S18" s="775">
        <f>F18</f>
        <v>100</v>
      </c>
      <c r="T18" s="774" t="s">
        <v>17</v>
      </c>
      <c r="U18" s="775">
        <f>H18</f>
        <v>100</v>
      </c>
      <c r="V18" s="774" t="s">
        <v>17</v>
      </c>
      <c r="W18" s="775">
        <f>J18</f>
        <v>100</v>
      </c>
      <c r="X18" s="1815"/>
      <c r="Y18" s="3349"/>
      <c r="Z18" s="1816" t="str">
        <f>Q18</f>
        <v>基础设施水平</v>
      </c>
      <c r="AA18" s="1813">
        <f t="shared" ref="AA18" si="8">D18/F18</f>
        <v>1</v>
      </c>
      <c r="AB18" s="1813">
        <f t="shared" ref="AB18" si="9">D18/H18</f>
        <v>1</v>
      </c>
      <c r="AC18" s="1813">
        <f t="shared" ref="AC18" si="10">D18/J18</f>
        <v>1</v>
      </c>
    </row>
    <row r="19" spans="1:29" ht="15">
      <c r="A19" s="428"/>
      <c r="B19" s="1386"/>
      <c r="C19" s="2609"/>
      <c r="D19" s="450"/>
      <c r="E19" s="2609"/>
      <c r="F19" s="453"/>
      <c r="G19" s="2609"/>
      <c r="H19" s="448"/>
      <c r="I19" s="447"/>
      <c r="J19" s="448"/>
      <c r="K19" s="1385"/>
      <c r="L19" s="1142"/>
      <c r="M19" s="1133"/>
      <c r="N19" s="1133"/>
      <c r="O19" s="1141"/>
      <c r="P19" s="3349"/>
      <c r="Q19" s="1812"/>
      <c r="R19" s="774"/>
      <c r="S19" s="775"/>
      <c r="T19" s="774"/>
      <c r="U19" s="775"/>
      <c r="V19" s="774"/>
      <c r="W19" s="775"/>
      <c r="X19" s="1815"/>
      <c r="Y19" s="3349"/>
      <c r="Z19" s="1816"/>
      <c r="AA19" s="1813">
        <v>1</v>
      </c>
      <c r="AB19" s="1813">
        <v>1</v>
      </c>
      <c r="AC19" s="1813">
        <v>1</v>
      </c>
    </row>
    <row r="20" spans="1:29" ht="57">
      <c r="A20" s="428"/>
      <c r="B20" s="451" t="s">
        <v>2704</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349"/>
      <c r="Q20" s="1812" t="str">
        <f>B20</f>
        <v>自然及人文环境</v>
      </c>
      <c r="R20" s="774" t="s">
        <v>17</v>
      </c>
      <c r="S20" s="775">
        <f>F20</f>
        <v>100</v>
      </c>
      <c r="T20" s="774" t="s">
        <v>17</v>
      </c>
      <c r="U20" s="775">
        <f>H20</f>
        <v>100</v>
      </c>
      <c r="V20" s="774" t="s">
        <v>17</v>
      </c>
      <c r="W20" s="775">
        <f>J20</f>
        <v>100</v>
      </c>
      <c r="X20" s="1815"/>
      <c r="Y20" s="3349"/>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349"/>
      <c r="Q21" s="1812"/>
      <c r="R21" s="774"/>
      <c r="S21" s="775"/>
      <c r="T21" s="774"/>
      <c r="U21" s="775"/>
      <c r="V21" s="774"/>
      <c r="W21" s="775"/>
      <c r="X21" s="1815"/>
      <c r="Y21" s="3349"/>
      <c r="Z21" s="1816"/>
      <c r="AA21" s="1813">
        <v>1</v>
      </c>
      <c r="AB21" s="1813">
        <v>1</v>
      </c>
      <c r="AC21" s="1813">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349"/>
      <c r="Q22" s="1812" t="str">
        <f>B22</f>
        <v>楼层</v>
      </c>
      <c r="R22" s="774" t="s">
        <v>17</v>
      </c>
      <c r="S22" s="775">
        <f>F22</f>
        <v>100</v>
      </c>
      <c r="T22" s="774" t="s">
        <v>17</v>
      </c>
      <c r="U22" s="775">
        <f>H22</f>
        <v>100</v>
      </c>
      <c r="V22" s="774" t="s">
        <v>17</v>
      </c>
      <c r="W22" s="775">
        <f>J22</f>
        <v>100</v>
      </c>
      <c r="X22" s="1815"/>
      <c r="Y22" s="3349"/>
      <c r="Z22" s="1816" t="str">
        <f>Q22</f>
        <v>楼层</v>
      </c>
      <c r="AA22" s="1813">
        <f t="shared" si="3"/>
        <v>1</v>
      </c>
      <c r="AB22" s="1813">
        <f t="shared" si="4"/>
        <v>1</v>
      </c>
      <c r="AC22" s="1813">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349"/>
      <c r="Q23" s="1812">
        <f>B23</f>
        <v>111</v>
      </c>
      <c r="R23" s="774" t="s">
        <v>17</v>
      </c>
      <c r="S23" s="775">
        <f>F23</f>
        <v>100</v>
      </c>
      <c r="T23" s="774" t="s">
        <v>17</v>
      </c>
      <c r="U23" s="775">
        <f>H23</f>
        <v>100</v>
      </c>
      <c r="V23" s="774" t="s">
        <v>17</v>
      </c>
      <c r="W23" s="775">
        <f>J23</f>
        <v>100</v>
      </c>
      <c r="X23" s="1815"/>
      <c r="Y23" s="3349"/>
      <c r="Z23" s="1816">
        <f>Q23</f>
        <v>111</v>
      </c>
      <c r="AA23" s="1813">
        <f t="shared" si="3"/>
        <v>1</v>
      </c>
      <c r="AB23" s="1813">
        <f t="shared" si="4"/>
        <v>1</v>
      </c>
      <c r="AC23" s="1813">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349"/>
      <c r="Q24" s="1812">
        <f t="shared" ref="Q24:Q34" si="11">B24</f>
        <v>111</v>
      </c>
      <c r="R24" s="774" t="s">
        <v>17</v>
      </c>
      <c r="S24" s="775">
        <f>F24</f>
        <v>100</v>
      </c>
      <c r="T24" s="774" t="s">
        <v>17</v>
      </c>
      <c r="U24" s="775">
        <f>H24</f>
        <v>100</v>
      </c>
      <c r="V24" s="774" t="s">
        <v>17</v>
      </c>
      <c r="W24" s="775">
        <f>J24</f>
        <v>100</v>
      </c>
      <c r="X24" s="1815"/>
      <c r="Y24" s="3349"/>
      <c r="Z24" s="1816">
        <f>Q24</f>
        <v>111</v>
      </c>
      <c r="AA24" s="1813">
        <f t="shared" si="3"/>
        <v>1</v>
      </c>
      <c r="AB24" s="1813">
        <f t="shared" si="4"/>
        <v>1</v>
      </c>
      <c r="AC24" s="1813">
        <f t="shared" si="5"/>
        <v>1</v>
      </c>
    </row>
    <row r="25" spans="1:29" s="117" customFormat="1" ht="15.75"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4"/>
      <c r="M25" s="1135"/>
      <c r="N25" s="1135"/>
      <c r="O25" s="1136"/>
      <c r="P25" s="3349"/>
      <c r="Q25" s="1797">
        <f t="shared" si="11"/>
        <v>111</v>
      </c>
      <c r="R25" s="770" t="s">
        <v>17</v>
      </c>
      <c r="S25" s="771">
        <f>F25</f>
        <v>100</v>
      </c>
      <c r="T25" s="770" t="s">
        <v>17</v>
      </c>
      <c r="U25" s="771">
        <f>H25</f>
        <v>100</v>
      </c>
      <c r="V25" s="770" t="s">
        <v>17</v>
      </c>
      <c r="W25" s="771">
        <f>J25</f>
        <v>100</v>
      </c>
      <c r="X25" s="772"/>
      <c r="Y25" s="3349"/>
      <c r="Z25" s="55">
        <f>Q25</f>
        <v>111</v>
      </c>
      <c r="AA25" s="1813">
        <f>D25/F25</f>
        <v>1</v>
      </c>
      <c r="AB25" s="1813">
        <f>D25/H25</f>
        <v>1</v>
      </c>
      <c r="AC25" s="1813">
        <f>D25/J25</f>
        <v>1</v>
      </c>
    </row>
    <row r="26" spans="1:29" ht="28.5">
      <c r="A26" s="466" t="s">
        <v>2557</v>
      </c>
      <c r="B26" s="71" t="s">
        <v>2708</v>
      </c>
      <c r="C26" s="2679"/>
      <c r="D26" s="467">
        <v>100</v>
      </c>
      <c r="E26" s="2679"/>
      <c r="F26" s="667">
        <f>SUMIF(77:77,E26,78:78)-SUMIF(77:77,C26,78:78)+100</f>
        <v>100</v>
      </c>
      <c r="G26" s="2679"/>
      <c r="H26" s="467">
        <f>SUMIF(77:77,G26,78:78)-SUMIF(77:77,C26,78:78)+100</f>
        <v>100</v>
      </c>
      <c r="I26" s="2679"/>
      <c r="J26" s="467">
        <f>SUMIF(77:77,I26,78:78)-SUMIF(77:77,C26,78:78)+100</f>
        <v>100</v>
      </c>
      <c r="K26" s="612"/>
      <c r="L26" s="1142"/>
      <c r="M26" s="1133"/>
      <c r="N26" s="1133"/>
      <c r="O26" s="1141"/>
      <c r="P26" s="3401" t="s">
        <v>2559</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353" t="s">
        <v>2559</v>
      </c>
      <c r="Z26" s="1816" t="str">
        <f t="shared" ref="Z26:Z34" si="15">Q26</f>
        <v>公共部分装修</v>
      </c>
      <c r="AA26" s="1813">
        <f t="shared" si="3"/>
        <v>1</v>
      </c>
      <c r="AB26" s="1813">
        <f t="shared" si="4"/>
        <v>1</v>
      </c>
      <c r="AC26" s="1813">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353"/>
      <c r="Q27" s="776" t="str">
        <f t="shared" si="11"/>
        <v>成新率</v>
      </c>
      <c r="R27" s="777" t="s">
        <v>17</v>
      </c>
      <c r="S27" s="778" t="e">
        <f t="shared" si="12"/>
        <v>#N/A</v>
      </c>
      <c r="T27" s="777" t="s">
        <v>17</v>
      </c>
      <c r="U27" s="778" t="e">
        <f t="shared" si="13"/>
        <v>#N/A</v>
      </c>
      <c r="V27" s="777" t="s">
        <v>17</v>
      </c>
      <c r="W27" s="778" t="e">
        <f t="shared" si="14"/>
        <v>#N/A</v>
      </c>
      <c r="X27" s="779"/>
      <c r="Y27" s="3353"/>
      <c r="Z27" s="780" t="str">
        <f t="shared" si="15"/>
        <v>成新率</v>
      </c>
      <c r="AA27" s="1813" t="e">
        <f t="shared" si="3"/>
        <v>#N/A</v>
      </c>
      <c r="AB27" s="1813" t="e">
        <f t="shared" si="4"/>
        <v>#N/A</v>
      </c>
      <c r="AC27" s="1813"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353"/>
      <c r="Q28" s="1812" t="str">
        <f t="shared" si="11"/>
        <v>物业等级</v>
      </c>
      <c r="R28" s="774" t="s">
        <v>17</v>
      </c>
      <c r="S28" s="775">
        <f t="shared" si="12"/>
        <v>100</v>
      </c>
      <c r="T28" s="774" t="s">
        <v>17</v>
      </c>
      <c r="U28" s="775">
        <f t="shared" si="13"/>
        <v>100</v>
      </c>
      <c r="V28" s="774" t="s">
        <v>17</v>
      </c>
      <c r="W28" s="775">
        <f t="shared" si="14"/>
        <v>100</v>
      </c>
      <c r="X28" s="1815"/>
      <c r="Y28" s="3353"/>
      <c r="Z28" s="1816" t="str">
        <f t="shared" si="15"/>
        <v>物业等级</v>
      </c>
      <c r="AA28" s="1813">
        <f t="shared" si="3"/>
        <v>1</v>
      </c>
      <c r="AB28" s="1813">
        <f t="shared" si="4"/>
        <v>1</v>
      </c>
      <c r="AC28" s="1813">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353"/>
      <c r="Q29" s="1812" t="str">
        <f t="shared" si="11"/>
        <v>有无电梯</v>
      </c>
      <c r="R29" s="774" t="s">
        <v>17</v>
      </c>
      <c r="S29" s="775">
        <f t="shared" si="12"/>
        <v>100</v>
      </c>
      <c r="T29" s="774" t="s">
        <v>17</v>
      </c>
      <c r="U29" s="775">
        <f t="shared" si="13"/>
        <v>100</v>
      </c>
      <c r="V29" s="774" t="s">
        <v>17</v>
      </c>
      <c r="W29" s="775">
        <f t="shared" si="14"/>
        <v>100</v>
      </c>
      <c r="X29" s="1815"/>
      <c r="Y29" s="3353"/>
      <c r="Z29" s="1816" t="str">
        <f t="shared" si="15"/>
        <v>有无电梯</v>
      </c>
      <c r="AA29" s="1813">
        <f t="shared" si="3"/>
        <v>1</v>
      </c>
      <c r="AB29" s="1813">
        <f t="shared" si="4"/>
        <v>1</v>
      </c>
      <c r="AC29" s="1813">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353"/>
      <c r="Q30" s="1812" t="str">
        <f t="shared" si="11"/>
        <v>建筑面积</v>
      </c>
      <c r="R30" s="774" t="s">
        <v>17</v>
      </c>
      <c r="S30" s="775" t="e">
        <f t="shared" si="12"/>
        <v>#N/A</v>
      </c>
      <c r="T30" s="774" t="s">
        <v>17</v>
      </c>
      <c r="U30" s="775" t="e">
        <f t="shared" si="13"/>
        <v>#N/A</v>
      </c>
      <c r="V30" s="774" t="s">
        <v>17</v>
      </c>
      <c r="W30" s="775" t="e">
        <f t="shared" si="14"/>
        <v>#N/A</v>
      </c>
      <c r="X30" s="1815"/>
      <c r="Y30" s="3353"/>
      <c r="Z30" s="1816" t="str">
        <f t="shared" si="15"/>
        <v>建筑面积</v>
      </c>
      <c r="AA30" s="1813" t="e">
        <f t="shared" si="3"/>
        <v>#N/A</v>
      </c>
      <c r="AB30" s="1813" t="e">
        <f t="shared" si="4"/>
        <v>#N/A</v>
      </c>
      <c r="AC30" s="1813"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353"/>
      <c r="Q31" s="1797" t="str">
        <f t="shared" si="11"/>
        <v>是否封闭</v>
      </c>
      <c r="R31" s="770" t="s">
        <v>17</v>
      </c>
      <c r="S31" s="771">
        <f t="shared" si="12"/>
        <v>100</v>
      </c>
      <c r="T31" s="770" t="s">
        <v>17</v>
      </c>
      <c r="U31" s="771">
        <f t="shared" si="13"/>
        <v>100</v>
      </c>
      <c r="V31" s="770" t="s">
        <v>17</v>
      </c>
      <c r="W31" s="771">
        <f t="shared" si="14"/>
        <v>100</v>
      </c>
      <c r="X31" s="772"/>
      <c r="Y31" s="3353"/>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353" t="s">
        <v>2559</v>
      </c>
      <c r="Q32" s="1812">
        <f t="shared" si="11"/>
        <v>111</v>
      </c>
      <c r="R32" s="774" t="s">
        <v>17</v>
      </c>
      <c r="S32" s="775">
        <f t="shared" si="12"/>
        <v>100</v>
      </c>
      <c r="T32" s="774" t="s">
        <v>17</v>
      </c>
      <c r="U32" s="775">
        <f t="shared" si="13"/>
        <v>100</v>
      </c>
      <c r="V32" s="774" t="s">
        <v>17</v>
      </c>
      <c r="W32" s="775">
        <f t="shared" si="14"/>
        <v>100</v>
      </c>
      <c r="X32" s="1815"/>
      <c r="Y32" s="3353" t="s">
        <v>2559</v>
      </c>
      <c r="Z32" s="1816">
        <f t="shared" si="15"/>
        <v>111</v>
      </c>
      <c r="AA32" s="1813">
        <f t="shared" si="3"/>
        <v>1</v>
      </c>
      <c r="AB32" s="1813">
        <f t="shared" si="4"/>
        <v>1</v>
      </c>
      <c r="AC32" s="1813">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353"/>
      <c r="Q33" s="1812">
        <f t="shared" si="11"/>
        <v>111</v>
      </c>
      <c r="R33" s="774" t="s">
        <v>17</v>
      </c>
      <c r="S33" s="775">
        <f t="shared" si="12"/>
        <v>100</v>
      </c>
      <c r="T33" s="774" t="s">
        <v>17</v>
      </c>
      <c r="U33" s="775">
        <f t="shared" si="13"/>
        <v>100</v>
      </c>
      <c r="V33" s="774" t="s">
        <v>17</v>
      </c>
      <c r="W33" s="775">
        <f t="shared" si="14"/>
        <v>100</v>
      </c>
      <c r="X33" s="1815"/>
      <c r="Y33" s="3353"/>
      <c r="Z33" s="1816">
        <f t="shared" si="15"/>
        <v>111</v>
      </c>
      <c r="AA33" s="1813">
        <f t="shared" si="3"/>
        <v>1</v>
      </c>
      <c r="AB33" s="1813">
        <f t="shared" si="4"/>
        <v>1</v>
      </c>
      <c r="AC33" s="1813">
        <f t="shared" si="5"/>
        <v>1</v>
      </c>
    </row>
    <row r="34" spans="1:29" ht="15.75"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2"/>
      <c r="M34" s="1133"/>
      <c r="N34" s="1133"/>
      <c r="O34" s="1141"/>
      <c r="P34" s="3353"/>
      <c r="Q34" s="1812">
        <f t="shared" si="11"/>
        <v>111</v>
      </c>
      <c r="R34" s="774" t="s">
        <v>17</v>
      </c>
      <c r="S34" s="775">
        <f t="shared" si="12"/>
        <v>100</v>
      </c>
      <c r="T34" s="774" t="s">
        <v>17</v>
      </c>
      <c r="U34" s="775">
        <f t="shared" si="13"/>
        <v>100</v>
      </c>
      <c r="V34" s="774" t="s">
        <v>17</v>
      </c>
      <c r="W34" s="775">
        <f t="shared" si="14"/>
        <v>100</v>
      </c>
      <c r="X34" s="1815"/>
      <c r="Y34" s="3353"/>
      <c r="Z34" s="1816">
        <f t="shared" si="15"/>
        <v>111</v>
      </c>
      <c r="AA34" s="1813">
        <f t="shared" si="3"/>
        <v>1</v>
      </c>
      <c r="AB34" s="1813">
        <f t="shared" si="4"/>
        <v>1</v>
      </c>
      <c r="AC34" s="1813">
        <f t="shared" si="5"/>
        <v>1</v>
      </c>
    </row>
    <row r="35" spans="1:29" ht="15">
      <c r="A35" s="479" t="s">
        <v>2571</v>
      </c>
      <c r="B35" s="480"/>
      <c r="C35" s="1409" t="s">
        <v>1</v>
      </c>
      <c r="D35" s="1410"/>
      <c r="E35" s="1411"/>
      <c r="F35" s="1412"/>
      <c r="G35" s="1413"/>
      <c r="H35" s="1414"/>
      <c r="I35" s="1411"/>
      <c r="J35" s="1414"/>
      <c r="K35" s="783"/>
      <c r="L35" s="1145"/>
      <c r="M35" s="1146"/>
      <c r="N35" s="1133"/>
      <c r="O35" s="1146"/>
      <c r="P35" s="3346" t="str">
        <f>A35</f>
        <v>成交单价（元/平方米）</v>
      </c>
      <c r="Q35" s="3346"/>
      <c r="R35" s="3347">
        <f>E35</f>
        <v>0</v>
      </c>
      <c r="S35" s="3347"/>
      <c r="T35" s="3347">
        <f>G35</f>
        <v>0</v>
      </c>
      <c r="U35" s="3347"/>
      <c r="V35" s="3347">
        <f>I35</f>
        <v>0</v>
      </c>
      <c r="W35" s="3347"/>
      <c r="X35" s="759"/>
      <c r="Y35" s="781"/>
      <c r="Z35" s="759"/>
      <c r="AA35" s="759"/>
      <c r="AB35" s="759"/>
      <c r="AC35" s="759"/>
    </row>
    <row r="36" spans="1:29" ht="15.75" thickBot="1">
      <c r="A36" s="486" t="s">
        <v>2663</v>
      </c>
      <c r="B36" s="487"/>
      <c r="C36" s="1415" t="e">
        <f>R37</f>
        <v>#DIV/0!</v>
      </c>
      <c r="D36" s="1416"/>
      <c r="E36" s="1417" t="e">
        <f>R36</f>
        <v>#DIV/0!</v>
      </c>
      <c r="F36" s="1417"/>
      <c r="G36" s="1415" t="e">
        <f>T36</f>
        <v>#DIV/0!</v>
      </c>
      <c r="H36" s="1416"/>
      <c r="I36" s="1417" t="e">
        <f>V36</f>
        <v>#DIV/0!</v>
      </c>
      <c r="J36" s="1416"/>
      <c r="K36" s="784"/>
      <c r="L36" s="1145"/>
      <c r="M36" s="1146"/>
      <c r="N36" s="1133"/>
      <c r="O36" s="1146"/>
      <c r="P36" s="3346" t="str">
        <f>A36</f>
        <v>比较价值（元/平方米）</v>
      </c>
      <c r="Q36" s="3346"/>
      <c r="R36" s="3347" t="e">
        <f>IF(F1="售价",ROUND(PRODUCT(R35,AA7:AA34),0),ROUND(PRODUCT(R35,AA7:AA34),1))</f>
        <v>#DIV/0!</v>
      </c>
      <c r="S36" s="3347"/>
      <c r="T36" s="3347" t="e">
        <f>IF(F1="售价",ROUND(PRODUCT(T35,AB7:AB34),0),ROUND(PRODUCT(T35,AB7:AB34),1))</f>
        <v>#DIV/0!</v>
      </c>
      <c r="U36" s="3347"/>
      <c r="V36" s="3347" t="e">
        <f>IF(F1="售价",ROUND(PRODUCT(V35,AC7:AC34),0),ROUND(PRODUCT(V35,AC7:AC34),1))</f>
        <v>#DIV/0!</v>
      </c>
      <c r="W36" s="3347"/>
      <c r="X36" s="759"/>
      <c r="Y36" s="759"/>
      <c r="Z36" s="759"/>
      <c r="AA36" s="759"/>
      <c r="AB36" s="759"/>
      <c r="AC36" s="759"/>
    </row>
    <row r="37" spans="1:29" ht="15.75" thickBot="1">
      <c r="A37" s="492" t="s">
        <v>2664</v>
      </c>
      <c r="B37" s="493"/>
      <c r="C37" s="1419" t="e">
        <f>R37</f>
        <v>#DIV/0!</v>
      </c>
      <c r="D37" s="1419"/>
      <c r="E37" s="1419"/>
      <c r="F37" s="1419"/>
      <c r="G37" s="1419"/>
      <c r="H37" s="1419"/>
      <c r="I37" s="1419"/>
      <c r="J37" s="1419"/>
      <c r="K37" s="785"/>
      <c r="L37" s="1145"/>
      <c r="M37" s="1146"/>
      <c r="N37" s="1146"/>
      <c r="O37" s="1146"/>
      <c r="P37" s="3343" t="str">
        <f>A37</f>
        <v>估价对象XX用房的比较价值（楼面单价，元/平方米）</v>
      </c>
      <c r="Q37" s="3344"/>
      <c r="R37" s="3345" t="e">
        <f>IF(F1="售价",ROUND(AVERAGE(R36:V36),0),ROUND(AVERAGE(R36:V36),1))</f>
        <v>#DIV/0!</v>
      </c>
      <c r="S37" s="3345"/>
      <c r="T37" s="3345"/>
      <c r="U37" s="3345"/>
      <c r="V37" s="3345"/>
      <c r="W37" s="3345"/>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6" t="str">
        <f>YEAR(C7)&amp;"-"&amp;MONTH(C7)</f>
        <v>2019-1</v>
      </c>
      <c r="D46" s="1577">
        <f>EDATE(C46,-1)</f>
        <v>43435</v>
      </c>
      <c r="E46" s="1577">
        <f t="shared" ref="E46:O46" si="16">EDATE(D46,-1)</f>
        <v>43405</v>
      </c>
      <c r="F46" s="1577">
        <f t="shared" si="16"/>
        <v>43374</v>
      </c>
      <c r="G46" s="1577">
        <f t="shared" si="16"/>
        <v>43344</v>
      </c>
      <c r="H46" s="1577">
        <f t="shared" si="16"/>
        <v>43313</v>
      </c>
      <c r="I46" s="1577">
        <f t="shared" si="16"/>
        <v>43282</v>
      </c>
      <c r="J46" s="1577">
        <f t="shared" si="16"/>
        <v>43252</v>
      </c>
      <c r="K46" s="1577">
        <f t="shared" si="16"/>
        <v>43221</v>
      </c>
      <c r="L46" s="1577">
        <f t="shared" si="16"/>
        <v>43191</v>
      </c>
      <c r="M46" s="1577">
        <f t="shared" si="16"/>
        <v>43160</v>
      </c>
      <c r="N46" s="1577">
        <f t="shared" si="16"/>
        <v>43132</v>
      </c>
      <c r="O46" s="1577">
        <f t="shared" si="16"/>
        <v>43101</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2582</v>
      </c>
      <c r="B51" s="528" t="s">
        <v>2548</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2723</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2557</v>
      </c>
      <c r="B77" s="528" t="s">
        <v>2610</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2727</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2735</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2737</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96" priority="14" stopIfTrue="1" operator="containsText" text="超过">
      <formula>NOT(ISERROR(SEARCH("超过",F40)))</formula>
    </cfRule>
  </conditionalFormatting>
  <conditionalFormatting sqref="J42">
    <cfRule type="containsText" dxfId="95" priority="13" stopIfTrue="1" operator="containsText" text="超过">
      <formula>NOT(ISERROR(SEARCH("超过",J42)))</formula>
    </cfRule>
  </conditionalFormatting>
  <conditionalFormatting sqref="H42">
    <cfRule type="containsText" dxfId="94" priority="12" stopIfTrue="1" operator="containsText" text="超过">
      <formula>NOT(ISERROR(SEARCH("超过",H42)))</formula>
    </cfRule>
  </conditionalFormatting>
  <conditionalFormatting sqref="F42">
    <cfRule type="containsText" dxfId="93" priority="11" stopIfTrue="1" operator="containsText" text="超过">
      <formula>NOT(ISERROR(SEARCH("超过",F42)))</formula>
    </cfRule>
  </conditionalFormatting>
  <conditionalFormatting sqref="F41 H41 J41">
    <cfRule type="containsText" dxfId="92" priority="10" stopIfTrue="1" operator="containsText" text="超过">
      <formula>NOT(ISERROR(SEARCH("超过",F41)))</formula>
    </cfRule>
  </conditionalFormatting>
  <conditionalFormatting sqref="E40">
    <cfRule type="expression" dxfId="91" priority="9" stopIfTrue="1">
      <formula>$F$40="超过30%"</formula>
    </cfRule>
  </conditionalFormatting>
  <conditionalFormatting sqref="G42">
    <cfRule type="expression" dxfId="90" priority="8" stopIfTrue="1">
      <formula>$H$54+$H$42="超过30%"</formula>
    </cfRule>
  </conditionalFormatting>
  <conditionalFormatting sqref="E41">
    <cfRule type="expression" dxfId="89" priority="7" stopIfTrue="1">
      <formula>$F$41="超过20%"</formula>
    </cfRule>
  </conditionalFormatting>
  <conditionalFormatting sqref="E42">
    <cfRule type="expression" dxfId="88" priority="6" stopIfTrue="1">
      <formula>$F$42="超过30%"</formula>
    </cfRule>
  </conditionalFormatting>
  <conditionalFormatting sqref="G40">
    <cfRule type="expression" dxfId="87" priority="5" stopIfTrue="1">
      <formula>$H$52+$H$40="超过30%"</formula>
    </cfRule>
  </conditionalFormatting>
  <conditionalFormatting sqref="G41">
    <cfRule type="expression" dxfId="86" priority="4" stopIfTrue="1">
      <formula>$H$53+$H$41="超过20%"</formula>
    </cfRule>
  </conditionalFormatting>
  <conditionalFormatting sqref="I40">
    <cfRule type="expression" dxfId="85" priority="3" stopIfTrue="1">
      <formula>$J$40="超过30%"</formula>
    </cfRule>
  </conditionalFormatting>
  <conditionalFormatting sqref="I41">
    <cfRule type="expression" dxfId="84" priority="2" stopIfTrue="1">
      <formula>$J$41="超过20%"</formula>
    </cfRule>
  </conditionalFormatting>
  <conditionalFormatting sqref="I42">
    <cfRule type="expression" dxfId="8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zoomScale="80" zoomScaleNormal="80" zoomScalePageLayoutView="80" workbookViewId="0">
      <selection activeCell="G13" sqref="G13"/>
    </sheetView>
  </sheetViews>
  <sheetFormatPr defaultColWidth="9" defaultRowHeight="14.25"/>
  <cols>
    <col min="1" max="1" width="14.375" style="403" customWidth="1"/>
    <col min="2" max="2" width="15.875" style="403" customWidth="1"/>
    <col min="3" max="3" width="14.37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2639</v>
      </c>
      <c r="B4" s="402"/>
      <c r="C4" s="3325" t="s">
        <v>2640</v>
      </c>
      <c r="D4" s="3326"/>
      <c r="E4" s="3327" t="s">
        <v>2641</v>
      </c>
      <c r="F4" s="3328"/>
      <c r="G4" s="3325" t="s">
        <v>2642</v>
      </c>
      <c r="H4" s="3326"/>
      <c r="I4" s="3325" t="s">
        <v>2643</v>
      </c>
      <c r="J4" s="3326"/>
      <c r="K4" s="610" t="s">
        <v>2644</v>
      </c>
      <c r="L4" s="1132"/>
      <c r="M4" s="1133"/>
      <c r="N4" s="1133"/>
      <c r="O4" s="1133"/>
      <c r="P4" s="3331" t="s">
        <v>2645</v>
      </c>
      <c r="Q4" s="3332"/>
      <c r="R4" s="3310" t="s">
        <v>2641</v>
      </c>
      <c r="S4" s="3311"/>
      <c r="T4" s="3310" t="s">
        <v>2642</v>
      </c>
      <c r="U4" s="3311"/>
      <c r="V4" s="3339" t="s">
        <v>2643</v>
      </c>
      <c r="W4" s="3339"/>
      <c r="X4" s="1815"/>
      <c r="Y4" s="3310" t="s">
        <v>2645</v>
      </c>
      <c r="Z4" s="3311"/>
      <c r="AA4" s="3305" t="s">
        <v>2641</v>
      </c>
      <c r="AB4" s="3306" t="s">
        <v>2642</v>
      </c>
      <c r="AC4" s="3305" t="s">
        <v>2643</v>
      </c>
    </row>
    <row r="5" spans="1:30" ht="15">
      <c r="A5" s="404"/>
      <c r="B5" s="405"/>
      <c r="C5" s="3316" t="s">
        <v>2536</v>
      </c>
      <c r="D5" s="3317"/>
      <c r="E5" s="3387" t="s">
        <v>2537</v>
      </c>
      <c r="F5" s="3315"/>
      <c r="G5" s="3316" t="s">
        <v>2538</v>
      </c>
      <c r="H5" s="3317"/>
      <c r="I5" s="3316" t="s">
        <v>2539</v>
      </c>
      <c r="J5" s="3317"/>
      <c r="K5" s="610"/>
      <c r="L5" s="1132"/>
      <c r="M5" s="1133"/>
      <c r="N5" s="1133"/>
      <c r="O5" s="1133"/>
      <c r="P5" s="3333"/>
      <c r="Q5" s="3334"/>
      <c r="R5" s="3312"/>
      <c r="S5" s="3313"/>
      <c r="T5" s="3312"/>
      <c r="U5" s="3313"/>
      <c r="V5" s="3339"/>
      <c r="W5" s="3339"/>
      <c r="X5" s="1815"/>
      <c r="Y5" s="3312"/>
      <c r="Z5" s="3313"/>
      <c r="AA5" s="3306"/>
      <c r="AB5" s="3306"/>
      <c r="AC5" s="3306"/>
    </row>
    <row r="6" spans="1:30" ht="15.75" thickBot="1">
      <c r="A6" s="406"/>
      <c r="B6" s="407"/>
      <c r="C6" s="3318" t="s">
        <v>2540</v>
      </c>
      <c r="D6" s="3319"/>
      <c r="E6" s="3388" t="s">
        <v>2540</v>
      </c>
      <c r="F6" s="3322"/>
      <c r="G6" s="3318" t="s">
        <v>2540</v>
      </c>
      <c r="H6" s="3319"/>
      <c r="I6" s="3318" t="s">
        <v>2540</v>
      </c>
      <c r="J6" s="3319"/>
      <c r="K6" s="610" t="s">
        <v>2541</v>
      </c>
      <c r="L6" s="1132"/>
      <c r="M6" s="1133"/>
      <c r="N6" s="1133"/>
      <c r="O6" s="1133"/>
      <c r="P6" s="3335"/>
      <c r="Q6" s="3336"/>
      <c r="R6" s="3312"/>
      <c r="S6" s="3313"/>
      <c r="T6" s="3337"/>
      <c r="U6" s="3338"/>
      <c r="V6" s="3339"/>
      <c r="W6" s="3339"/>
      <c r="X6" s="1815"/>
      <c r="Y6" s="3337"/>
      <c r="Z6" s="3338"/>
      <c r="AA6" s="3307"/>
      <c r="AB6" s="3307"/>
      <c r="AC6" s="3307"/>
    </row>
    <row r="7" spans="1:30" s="117" customFormat="1" ht="15.75" thickBot="1">
      <c r="A7" s="408" t="s">
        <v>2542</v>
      </c>
      <c r="B7" s="409"/>
      <c r="C7" s="410">
        <f>'数据-取费表'!B2</f>
        <v>43482</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4"/>
      <c r="M7" s="1135"/>
      <c r="N7" s="1135"/>
      <c r="O7" s="1135"/>
      <c r="P7" s="3308" t="s">
        <v>2543</v>
      </c>
      <c r="Q7" s="3342"/>
      <c r="R7" s="770" t="s">
        <v>17</v>
      </c>
      <c r="S7" s="771">
        <f t="shared" ref="S7:S15" si="0">F7</f>
        <v>0</v>
      </c>
      <c r="T7" s="770" t="s">
        <v>17</v>
      </c>
      <c r="U7" s="771">
        <f t="shared" ref="U7:U15" si="1">H7</f>
        <v>0</v>
      </c>
      <c r="V7" s="770" t="s">
        <v>17</v>
      </c>
      <c r="W7" s="771">
        <f t="shared" ref="W7:W15" si="2">J7</f>
        <v>0</v>
      </c>
      <c r="X7" s="772"/>
      <c r="Y7" s="3308" t="s">
        <v>2543</v>
      </c>
      <c r="Z7" s="3309"/>
      <c r="AA7" s="773" t="e">
        <f>D7/F7</f>
        <v>#DIV/0!</v>
      </c>
      <c r="AB7" s="773" t="e">
        <f>D7/H7</f>
        <v>#DIV/0!</v>
      </c>
      <c r="AC7" s="773"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308" t="s">
        <v>2546</v>
      </c>
      <c r="Q8" s="3309"/>
      <c r="R8" s="770" t="s">
        <v>17</v>
      </c>
      <c r="S8" s="771">
        <f t="shared" si="0"/>
        <v>0</v>
      </c>
      <c r="T8" s="770" t="s">
        <v>17</v>
      </c>
      <c r="U8" s="771">
        <f t="shared" si="1"/>
        <v>0</v>
      </c>
      <c r="V8" s="770" t="s">
        <v>17</v>
      </c>
      <c r="W8" s="771">
        <f t="shared" si="2"/>
        <v>0</v>
      </c>
      <c r="X8" s="772"/>
      <c r="Y8" s="3308" t="s">
        <v>2546</v>
      </c>
      <c r="Z8" s="3309"/>
      <c r="AA8" s="773" t="e">
        <f t="shared" ref="AA8:AA45" si="3">D8/F8</f>
        <v>#DIV/0!</v>
      </c>
      <c r="AB8" s="773" t="e">
        <f t="shared" ref="AB8:AB45" si="4">D8/H8</f>
        <v>#DIV/0!</v>
      </c>
      <c r="AC8" s="773" t="e">
        <f t="shared" ref="AC8:AC45" si="5">D8/J8</f>
        <v>#DIV/0!</v>
      </c>
    </row>
    <row r="9" spans="1:30" s="117" customFormat="1">
      <c r="A9" s="415" t="s">
        <v>2547</v>
      </c>
      <c r="B9" s="71" t="s">
        <v>2548</v>
      </c>
      <c r="C9" s="2699"/>
      <c r="D9" s="135">
        <v>100</v>
      </c>
      <c r="E9" s="2699"/>
      <c r="F9" s="135">
        <f>SUMIF(75:75,E9,76:76)-SUMIF(75:75,C9,76:76)+100</f>
        <v>100</v>
      </c>
      <c r="G9" s="2699"/>
      <c r="H9" s="135">
        <f>SUMIF(75:75,G9,76:76)-SUMIF(75:75,C9,76:76)+100</f>
        <v>100</v>
      </c>
      <c r="I9" s="2699"/>
      <c r="J9" s="135">
        <f>SUMIF(75:75,I9,76:76)-SUMIF(75:75,C9,76:76)+100</f>
        <v>100</v>
      </c>
      <c r="K9" s="611"/>
      <c r="L9" s="1134"/>
      <c r="M9" s="1135"/>
      <c r="N9" s="1135"/>
      <c r="O9" s="1136"/>
      <c r="P9" s="3346" t="s">
        <v>2549</v>
      </c>
      <c r="Q9" s="1797" t="str">
        <f t="shared" ref="Q9:Q15" si="6">B9</f>
        <v>用途</v>
      </c>
      <c r="R9" s="770" t="s">
        <v>17</v>
      </c>
      <c r="S9" s="771">
        <f t="shared" si="0"/>
        <v>100</v>
      </c>
      <c r="T9" s="770" t="s">
        <v>17</v>
      </c>
      <c r="U9" s="771">
        <f t="shared" si="1"/>
        <v>100</v>
      </c>
      <c r="V9" s="770" t="s">
        <v>17</v>
      </c>
      <c r="W9" s="771">
        <f t="shared" si="2"/>
        <v>100</v>
      </c>
      <c r="X9" s="772"/>
      <c r="Y9" s="3160"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101</v>
      </c>
      <c r="G10" s="463"/>
      <c r="H10" s="136">
        <f>ROUND(100/'数据-取费表'!G16,0)</f>
        <v>101</v>
      </c>
      <c r="I10" s="463"/>
      <c r="J10" s="136">
        <f>ROUND(100/'数据-取费表'!G16,0)</f>
        <v>101</v>
      </c>
      <c r="K10" s="672"/>
      <c r="L10" s="1137"/>
      <c r="M10" s="1138"/>
      <c r="N10" s="1138"/>
      <c r="O10" s="1139"/>
      <c r="P10" s="3346"/>
      <c r="Q10" s="1797" t="str">
        <f t="shared" si="6"/>
        <v>土地使用年限（年）</v>
      </c>
      <c r="R10" s="770" t="s">
        <v>17</v>
      </c>
      <c r="S10" s="771">
        <f t="shared" si="0"/>
        <v>101</v>
      </c>
      <c r="T10" s="770" t="s">
        <v>17</v>
      </c>
      <c r="U10" s="771">
        <f t="shared" si="1"/>
        <v>101</v>
      </c>
      <c r="V10" s="770" t="s">
        <v>17</v>
      </c>
      <c r="W10" s="771">
        <f t="shared" si="2"/>
        <v>101</v>
      </c>
      <c r="X10" s="772"/>
      <c r="Y10" s="3160"/>
      <c r="Z10" s="55" t="str">
        <f t="shared" si="7"/>
        <v>土地使用年限（年）</v>
      </c>
      <c r="AA10" s="773">
        <f t="shared" si="3"/>
        <v>0.99009900990099009</v>
      </c>
      <c r="AB10" s="773">
        <f t="shared" si="4"/>
        <v>0.99009900990099009</v>
      </c>
      <c r="AC10" s="773">
        <f t="shared" si="5"/>
        <v>0.99009900990099009</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346"/>
      <c r="Q11" s="1797" t="str">
        <f t="shared" si="6"/>
        <v>容积率</v>
      </c>
      <c r="R11" s="770" t="s">
        <v>17</v>
      </c>
      <c r="S11" s="771" t="e">
        <f t="shared" si="0"/>
        <v>#N/A</v>
      </c>
      <c r="T11" s="770" t="s">
        <v>17</v>
      </c>
      <c r="U11" s="771" t="e">
        <f t="shared" si="1"/>
        <v>#N/A</v>
      </c>
      <c r="V11" s="770" t="s">
        <v>17</v>
      </c>
      <c r="W11" s="771" t="e">
        <f t="shared" si="2"/>
        <v>#N/A</v>
      </c>
      <c r="X11" s="772"/>
      <c r="Y11" s="3160"/>
      <c r="Z11" s="55" t="str">
        <f t="shared" si="7"/>
        <v>容积率</v>
      </c>
      <c r="AA11" s="773" t="e">
        <f t="shared" si="3"/>
        <v>#N/A</v>
      </c>
      <c r="AB11" s="773" t="e">
        <f t="shared" si="4"/>
        <v>#N/A</v>
      </c>
      <c r="AC11" s="773" t="e">
        <f t="shared" si="5"/>
        <v>#N/A</v>
      </c>
    </row>
    <row r="12" spans="1:30" s="117" customFormat="1" ht="15">
      <c r="A12" s="431"/>
      <c r="B12" s="2601" t="s">
        <v>2741</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346"/>
      <c r="Q12" s="1797" t="str">
        <f t="shared" si="6"/>
        <v>配建</v>
      </c>
      <c r="R12" s="770" t="s">
        <v>17</v>
      </c>
      <c r="S12" s="771">
        <f t="shared" si="0"/>
        <v>100</v>
      </c>
      <c r="T12" s="770" t="s">
        <v>17</v>
      </c>
      <c r="U12" s="771">
        <f t="shared" si="1"/>
        <v>100</v>
      </c>
      <c r="V12" s="770" t="s">
        <v>17</v>
      </c>
      <c r="W12" s="771">
        <f t="shared" si="2"/>
        <v>100</v>
      </c>
      <c r="X12" s="772"/>
      <c r="Y12" s="3160"/>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346"/>
      <c r="Q13" s="1797">
        <f t="shared" si="6"/>
        <v>111</v>
      </c>
      <c r="R13" s="770" t="s">
        <v>17</v>
      </c>
      <c r="S13" s="771">
        <f t="shared" si="0"/>
        <v>100</v>
      </c>
      <c r="T13" s="770" t="s">
        <v>17</v>
      </c>
      <c r="U13" s="771">
        <f t="shared" si="1"/>
        <v>100</v>
      </c>
      <c r="V13" s="770" t="s">
        <v>17</v>
      </c>
      <c r="W13" s="771">
        <f t="shared" si="2"/>
        <v>100</v>
      </c>
      <c r="X13" s="772"/>
      <c r="Y13" s="3160"/>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346"/>
      <c r="Q14" s="1797">
        <f t="shared" si="6"/>
        <v>111</v>
      </c>
      <c r="R14" s="770" t="s">
        <v>17</v>
      </c>
      <c r="S14" s="771">
        <f t="shared" si="0"/>
        <v>100</v>
      </c>
      <c r="T14" s="770" t="s">
        <v>17</v>
      </c>
      <c r="U14" s="771">
        <f t="shared" si="1"/>
        <v>100</v>
      </c>
      <c r="V14" s="770" t="s">
        <v>17</v>
      </c>
      <c r="W14" s="771">
        <f t="shared" si="2"/>
        <v>100</v>
      </c>
      <c r="X14" s="772"/>
      <c r="Y14" s="3160"/>
      <c r="Z14" s="55">
        <f t="shared" si="7"/>
        <v>111</v>
      </c>
      <c r="AA14" s="773">
        <f>D14/F14</f>
        <v>1</v>
      </c>
      <c r="AB14" s="773">
        <f>D14/H14</f>
        <v>1</v>
      </c>
      <c r="AC14" s="773">
        <f>D14/J14</f>
        <v>1</v>
      </c>
    </row>
    <row r="15" spans="1:30" ht="99.75">
      <c r="A15" s="440" t="s">
        <v>2553</v>
      </c>
      <c r="B15" s="69" t="s">
        <v>2078</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348" t="s">
        <v>2554</v>
      </c>
      <c r="Q15" s="1812" t="str">
        <f t="shared" si="6"/>
        <v>居住社区成熟度</v>
      </c>
      <c r="R15" s="774" t="s">
        <v>17</v>
      </c>
      <c r="S15" s="775">
        <f t="shared" si="0"/>
        <v>100</v>
      </c>
      <c r="T15" s="774" t="s">
        <v>17</v>
      </c>
      <c r="U15" s="775">
        <f t="shared" si="1"/>
        <v>100</v>
      </c>
      <c r="V15" s="774" t="s">
        <v>17</v>
      </c>
      <c r="W15" s="775">
        <f t="shared" si="2"/>
        <v>100</v>
      </c>
      <c r="X15" s="1815"/>
      <c r="Y15" s="3348" t="s">
        <v>2554</v>
      </c>
      <c r="Z15" s="1816" t="str">
        <f t="shared" si="7"/>
        <v>居住社区成熟度</v>
      </c>
      <c r="AA15" s="1813">
        <f t="shared" si="3"/>
        <v>1</v>
      </c>
      <c r="AB15" s="1813">
        <f t="shared" si="4"/>
        <v>1</v>
      </c>
      <c r="AC15" s="1813">
        <f t="shared" si="5"/>
        <v>1</v>
      </c>
    </row>
    <row r="16" spans="1:30" ht="15">
      <c r="A16" s="428"/>
      <c r="B16" s="446"/>
      <c r="C16" s="447"/>
      <c r="D16" s="448"/>
      <c r="E16" s="2606"/>
      <c r="F16" s="448"/>
      <c r="G16" s="2606"/>
      <c r="H16" s="450"/>
      <c r="I16" s="2605"/>
      <c r="J16" s="448"/>
      <c r="K16" s="672"/>
      <c r="L16" s="1142"/>
      <c r="M16" s="1133"/>
      <c r="N16" s="1133"/>
      <c r="O16" s="1141"/>
      <c r="P16" s="3349"/>
      <c r="Q16" s="1812"/>
      <c r="R16" s="774"/>
      <c r="S16" s="775"/>
      <c r="T16" s="774"/>
      <c r="U16" s="775"/>
      <c r="V16" s="774"/>
      <c r="W16" s="775"/>
      <c r="X16" s="1815"/>
      <c r="Y16" s="3349"/>
      <c r="Z16" s="1816"/>
      <c r="AA16" s="1813">
        <v>1</v>
      </c>
      <c r="AB16" s="1813">
        <v>1</v>
      </c>
      <c r="AC16" s="1813">
        <v>1</v>
      </c>
    </row>
    <row r="17" spans="1:29" ht="71.25">
      <c r="A17" s="428"/>
      <c r="B17" s="451" t="s">
        <v>2647</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349"/>
      <c r="Q17" s="1812" t="str">
        <f>B17</f>
        <v>商业繁华度</v>
      </c>
      <c r="R17" s="774" t="s">
        <v>17</v>
      </c>
      <c r="S17" s="775">
        <f>F17</f>
        <v>100</v>
      </c>
      <c r="T17" s="774" t="s">
        <v>17</v>
      </c>
      <c r="U17" s="775">
        <f>H17</f>
        <v>100</v>
      </c>
      <c r="V17" s="774" t="s">
        <v>17</v>
      </c>
      <c r="W17" s="775">
        <f>J17</f>
        <v>100</v>
      </c>
      <c r="X17" s="1815"/>
      <c r="Y17" s="3349"/>
      <c r="Z17" s="1816" t="str">
        <f>Q17</f>
        <v>商业繁华度</v>
      </c>
      <c r="AA17" s="1813">
        <f t="shared" si="3"/>
        <v>1</v>
      </c>
      <c r="AB17" s="1813">
        <f t="shared" si="4"/>
        <v>1</v>
      </c>
      <c r="AC17" s="1813">
        <f t="shared" si="5"/>
        <v>1</v>
      </c>
    </row>
    <row r="18" spans="1:29" ht="15">
      <c r="A18" s="428"/>
      <c r="B18" s="456"/>
      <c r="C18" s="2609"/>
      <c r="D18" s="450"/>
      <c r="E18" s="2611"/>
      <c r="F18" s="450"/>
      <c r="G18" s="2611"/>
      <c r="H18" s="448"/>
      <c r="I18" s="2610"/>
      <c r="J18" s="448"/>
      <c r="K18" s="672"/>
      <c r="L18" s="1142"/>
      <c r="M18" s="1133"/>
      <c r="N18" s="1133"/>
      <c r="O18" s="1141"/>
      <c r="P18" s="3349"/>
      <c r="Q18" s="1812"/>
      <c r="R18" s="774"/>
      <c r="S18" s="775"/>
      <c r="T18" s="774"/>
      <c r="U18" s="775"/>
      <c r="V18" s="774"/>
      <c r="W18" s="775"/>
      <c r="X18" s="1815"/>
      <c r="Y18" s="3349"/>
      <c r="Z18" s="1816"/>
      <c r="AA18" s="1813">
        <v>1</v>
      </c>
      <c r="AB18" s="1813">
        <v>1</v>
      </c>
      <c r="AC18" s="1813">
        <v>1</v>
      </c>
    </row>
    <row r="19" spans="1:29" ht="71.25">
      <c r="A19" s="428"/>
      <c r="B19" s="451" t="s">
        <v>2681</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349"/>
      <c r="Q19" s="1812" t="str">
        <f>B19</f>
        <v>办公集聚程度</v>
      </c>
      <c r="R19" s="774" t="s">
        <v>17</v>
      </c>
      <c r="S19" s="775">
        <f>F19</f>
        <v>100</v>
      </c>
      <c r="T19" s="774" t="s">
        <v>17</v>
      </c>
      <c r="U19" s="775">
        <f>H19</f>
        <v>100</v>
      </c>
      <c r="V19" s="774" t="s">
        <v>17</v>
      </c>
      <c r="W19" s="775">
        <f>J19</f>
        <v>100</v>
      </c>
      <c r="X19" s="1815"/>
      <c r="Y19" s="3349"/>
      <c r="Z19" s="1816" t="str">
        <f>Q19</f>
        <v>办公集聚程度</v>
      </c>
      <c r="AA19" s="1813">
        <f t="shared" si="3"/>
        <v>1</v>
      </c>
      <c r="AB19" s="1813">
        <f t="shared" si="4"/>
        <v>1</v>
      </c>
      <c r="AC19" s="1813">
        <f t="shared" si="5"/>
        <v>1</v>
      </c>
    </row>
    <row r="20" spans="1:29" ht="15">
      <c r="A20" s="428"/>
      <c r="B20" s="456"/>
      <c r="C20" s="447"/>
      <c r="D20" s="448"/>
      <c r="E20" s="2606"/>
      <c r="F20" s="448"/>
      <c r="G20" s="2606"/>
      <c r="H20" s="448"/>
      <c r="I20" s="2605"/>
      <c r="J20" s="448"/>
      <c r="K20" s="672"/>
      <c r="L20" s="1142"/>
      <c r="M20" s="1133"/>
      <c r="N20" s="1133"/>
      <c r="O20" s="1141"/>
      <c r="P20" s="3349"/>
      <c r="Q20" s="1812"/>
      <c r="R20" s="774"/>
      <c r="S20" s="775"/>
      <c r="T20" s="774"/>
      <c r="U20" s="775"/>
      <c r="V20" s="774"/>
      <c r="W20" s="775"/>
      <c r="X20" s="1815"/>
      <c r="Y20" s="3349"/>
      <c r="Z20" s="1816"/>
      <c r="AA20" s="1813">
        <v>1</v>
      </c>
      <c r="AB20" s="1813">
        <v>1</v>
      </c>
      <c r="AC20" s="1813">
        <v>1</v>
      </c>
    </row>
    <row r="21" spans="1:29" ht="85.5">
      <c r="A21" s="428"/>
      <c r="B21" s="451" t="s">
        <v>2703</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349"/>
      <c r="Q21" s="1812" t="str">
        <f>B21</f>
        <v>交通便捷度</v>
      </c>
      <c r="R21" s="774" t="s">
        <v>17</v>
      </c>
      <c r="S21" s="775">
        <f>F21</f>
        <v>100</v>
      </c>
      <c r="T21" s="774" t="s">
        <v>17</v>
      </c>
      <c r="U21" s="775">
        <f>H21</f>
        <v>100</v>
      </c>
      <c r="V21" s="774" t="s">
        <v>17</v>
      </c>
      <c r="W21" s="775">
        <f>J21</f>
        <v>100</v>
      </c>
      <c r="X21" s="1815"/>
      <c r="Y21" s="3349"/>
      <c r="Z21" s="1816" t="str">
        <f>Q21</f>
        <v>交通便捷度</v>
      </c>
      <c r="AA21" s="1813">
        <f t="shared" si="3"/>
        <v>1</v>
      </c>
      <c r="AB21" s="1813">
        <f t="shared" si="4"/>
        <v>1</v>
      </c>
      <c r="AC21" s="1813">
        <f t="shared" si="5"/>
        <v>1</v>
      </c>
    </row>
    <row r="22" spans="1:29" ht="15">
      <c r="A22" s="428"/>
      <c r="B22" s="1386"/>
      <c r="C22" s="447"/>
      <c r="D22" s="450"/>
      <c r="E22" s="2606"/>
      <c r="F22" s="448"/>
      <c r="G22" s="2606"/>
      <c r="H22" s="448"/>
      <c r="I22" s="2605"/>
      <c r="J22" s="448"/>
      <c r="K22" s="672"/>
      <c r="L22" s="1142"/>
      <c r="M22" s="1133"/>
      <c r="N22" s="1133"/>
      <c r="O22" s="1141"/>
      <c r="P22" s="3349"/>
      <c r="Q22" s="1812"/>
      <c r="R22" s="774"/>
      <c r="S22" s="775"/>
      <c r="T22" s="774"/>
      <c r="U22" s="775"/>
      <c r="V22" s="774"/>
      <c r="W22" s="775"/>
      <c r="X22" s="1815"/>
      <c r="Y22" s="3349"/>
      <c r="Z22" s="1816"/>
      <c r="AA22" s="1813">
        <v>1</v>
      </c>
      <c r="AB22" s="1813">
        <v>1</v>
      </c>
      <c r="AC22" s="1813">
        <v>1</v>
      </c>
    </row>
    <row r="23" spans="1:29" ht="15">
      <c r="A23" s="404"/>
      <c r="B23" s="451" t="s">
        <v>2742</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349"/>
      <c r="Q23" s="1812" t="str">
        <f t="shared" ref="Q23:Q37" si="8">B23</f>
        <v>区域土地利用方向</v>
      </c>
      <c r="R23" s="774" t="s">
        <v>17</v>
      </c>
      <c r="S23" s="775">
        <f>F23</f>
        <v>100</v>
      </c>
      <c r="T23" s="774" t="s">
        <v>17</v>
      </c>
      <c r="U23" s="775">
        <f>H23</f>
        <v>100</v>
      </c>
      <c r="V23" s="774" t="s">
        <v>17</v>
      </c>
      <c r="W23" s="775">
        <f>J23</f>
        <v>100</v>
      </c>
      <c r="X23" s="1815"/>
      <c r="Y23" s="3349"/>
      <c r="Z23" s="1816" t="str">
        <f>Q23</f>
        <v>区域土地利用方向</v>
      </c>
      <c r="AA23" s="1813">
        <f t="shared" si="3"/>
        <v>1</v>
      </c>
      <c r="AB23" s="1813">
        <f t="shared" si="4"/>
        <v>1</v>
      </c>
      <c r="AC23" s="1813">
        <f t="shared" si="5"/>
        <v>1</v>
      </c>
    </row>
    <row r="24" spans="1:29" ht="15">
      <c r="A24" s="404"/>
      <c r="B24" s="456"/>
      <c r="C24" s="616"/>
      <c r="D24" s="448"/>
      <c r="E24" s="2606"/>
      <c r="F24" s="448"/>
      <c r="G24" s="2605"/>
      <c r="H24" s="448"/>
      <c r="I24" s="2605"/>
      <c r="J24" s="448"/>
      <c r="K24" s="811"/>
      <c r="L24" s="1142"/>
      <c r="M24" s="1133"/>
      <c r="N24" s="1133"/>
      <c r="O24" s="1141"/>
      <c r="P24" s="3349"/>
      <c r="Q24" s="1812"/>
      <c r="R24" s="774"/>
      <c r="S24" s="775"/>
      <c r="T24" s="774"/>
      <c r="U24" s="775"/>
      <c r="V24" s="774"/>
      <c r="W24" s="775"/>
      <c r="X24" s="1815"/>
      <c r="Y24" s="3349"/>
      <c r="Z24" s="1816"/>
      <c r="AA24" s="1813"/>
      <c r="AB24" s="1813"/>
      <c r="AC24" s="1813"/>
    </row>
    <row r="25" spans="1:29" ht="57">
      <c r="A25" s="404"/>
      <c r="B25" s="1386" t="s">
        <v>2743</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349"/>
      <c r="Q25" s="1812" t="str">
        <f t="shared" si="8"/>
        <v>自然及人文环境状况</v>
      </c>
      <c r="R25" s="774" t="s">
        <v>17</v>
      </c>
      <c r="S25" s="775">
        <f>F25</f>
        <v>100</v>
      </c>
      <c r="T25" s="774" t="s">
        <v>17</v>
      </c>
      <c r="U25" s="775">
        <f>H25</f>
        <v>100</v>
      </c>
      <c r="V25" s="774" t="s">
        <v>17</v>
      </c>
      <c r="W25" s="775">
        <f>J25</f>
        <v>100</v>
      </c>
      <c r="X25" s="1815"/>
      <c r="Y25" s="3349"/>
      <c r="Z25" s="1816" t="str">
        <f>Q25</f>
        <v>自然及人文环境状况</v>
      </c>
      <c r="AA25" s="1813">
        <f t="shared" si="3"/>
        <v>1</v>
      </c>
      <c r="AB25" s="1813">
        <f t="shared" si="4"/>
        <v>1</v>
      </c>
      <c r="AC25" s="1813">
        <f t="shared" si="5"/>
        <v>1</v>
      </c>
    </row>
    <row r="26" spans="1:29" ht="15">
      <c r="A26" s="404"/>
      <c r="B26" s="456"/>
      <c r="C26" s="447"/>
      <c r="D26" s="448"/>
      <c r="E26" s="2612"/>
      <c r="F26" s="448"/>
      <c r="G26" s="2612"/>
      <c r="H26" s="448"/>
      <c r="I26" s="447"/>
      <c r="J26" s="448"/>
      <c r="K26" s="672"/>
      <c r="L26" s="1142"/>
      <c r="M26" s="1133"/>
      <c r="N26" s="1133"/>
      <c r="O26" s="1141"/>
      <c r="P26" s="3349"/>
      <c r="Q26" s="1812"/>
      <c r="R26" s="774"/>
      <c r="S26" s="775"/>
      <c r="T26" s="774"/>
      <c r="U26" s="775"/>
      <c r="V26" s="774"/>
      <c r="W26" s="775"/>
      <c r="X26" s="1815"/>
      <c r="Y26" s="3349"/>
      <c r="Z26" s="1816"/>
      <c r="AA26" s="1813">
        <v>1</v>
      </c>
      <c r="AB26" s="1813">
        <v>1</v>
      </c>
      <c r="AC26" s="1813">
        <v>1</v>
      </c>
    </row>
    <row r="27" spans="1:29" s="117" customFormat="1" ht="42.75">
      <c r="A27" s="649"/>
      <c r="B27" s="1386" t="s">
        <v>2648</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349"/>
      <c r="Q27" s="1797" t="str">
        <f t="shared" si="8"/>
        <v>公共配套设施</v>
      </c>
      <c r="R27" s="770" t="s">
        <v>17</v>
      </c>
      <c r="S27" s="771">
        <f>F27</f>
        <v>100</v>
      </c>
      <c r="T27" s="770" t="s">
        <v>17</v>
      </c>
      <c r="U27" s="771">
        <f>H27</f>
        <v>100</v>
      </c>
      <c r="V27" s="770" t="s">
        <v>17</v>
      </c>
      <c r="W27" s="771">
        <f>J27</f>
        <v>100</v>
      </c>
      <c r="X27" s="772"/>
      <c r="Y27" s="3349"/>
      <c r="Z27" s="55" t="str">
        <f>Q27</f>
        <v>公共配套设施</v>
      </c>
      <c r="AA27" s="1813">
        <f>D27/F27</f>
        <v>1</v>
      </c>
      <c r="AB27" s="1813">
        <f>D27/H27</f>
        <v>1</v>
      </c>
      <c r="AC27" s="1813">
        <f>D27/J27</f>
        <v>1</v>
      </c>
    </row>
    <row r="28" spans="1:29" s="117" customFormat="1" ht="15">
      <c r="A28" s="649"/>
      <c r="B28" s="456"/>
      <c r="C28" s="2700"/>
      <c r="D28" s="448"/>
      <c r="E28" s="2612"/>
      <c r="F28" s="448"/>
      <c r="G28" s="2612"/>
      <c r="H28" s="448"/>
      <c r="I28" s="447"/>
      <c r="J28" s="448"/>
      <c r="K28" s="672"/>
      <c r="L28" s="1134"/>
      <c r="M28" s="1135"/>
      <c r="N28" s="1135"/>
      <c r="O28" s="1136"/>
      <c r="P28" s="3349"/>
      <c r="Q28" s="1797"/>
      <c r="R28" s="770"/>
      <c r="S28" s="771"/>
      <c r="T28" s="770"/>
      <c r="U28" s="771"/>
      <c r="V28" s="770"/>
      <c r="W28" s="771"/>
      <c r="X28" s="772"/>
      <c r="Y28" s="3349"/>
      <c r="Z28" s="55"/>
      <c r="AA28" s="1813">
        <v>1</v>
      </c>
      <c r="AB28" s="1813">
        <v>1</v>
      </c>
      <c r="AC28" s="1813">
        <v>1</v>
      </c>
    </row>
    <row r="29" spans="1:29" s="117" customFormat="1" ht="28.5">
      <c r="A29" s="649"/>
      <c r="B29" s="1386" t="s">
        <v>2649</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349"/>
      <c r="Q29" s="1797" t="str">
        <f t="shared" ref="Q29" si="9">B29</f>
        <v>基础设施水平</v>
      </c>
      <c r="R29" s="770" t="s">
        <v>17</v>
      </c>
      <c r="S29" s="771">
        <f>F29</f>
        <v>100</v>
      </c>
      <c r="T29" s="770" t="s">
        <v>17</v>
      </c>
      <c r="U29" s="771">
        <f>H29</f>
        <v>100</v>
      </c>
      <c r="V29" s="770" t="s">
        <v>17</v>
      </c>
      <c r="W29" s="771">
        <f>J29</f>
        <v>100</v>
      </c>
      <c r="X29" s="772"/>
      <c r="Y29" s="3349"/>
      <c r="Z29" s="55" t="str">
        <f>Q29</f>
        <v>基础设施水平</v>
      </c>
      <c r="AA29" s="1813">
        <f>D29/F29</f>
        <v>1</v>
      </c>
      <c r="AB29" s="1813">
        <f>D29/H29</f>
        <v>1</v>
      </c>
      <c r="AC29" s="1813">
        <f>D29/J29</f>
        <v>1</v>
      </c>
    </row>
    <row r="30" spans="1:29" s="117" customFormat="1" ht="15">
      <c r="A30" s="649"/>
      <c r="B30" s="456"/>
      <c r="C30" s="2700"/>
      <c r="D30" s="448"/>
      <c r="E30" s="2701"/>
      <c r="F30" s="448"/>
      <c r="G30" s="2701"/>
      <c r="H30" s="448"/>
      <c r="I30" s="2701"/>
      <c r="J30" s="448"/>
      <c r="K30" s="672"/>
      <c r="L30" s="1134"/>
      <c r="M30" s="1135"/>
      <c r="N30" s="1135"/>
      <c r="O30" s="1136"/>
      <c r="P30" s="3349"/>
      <c r="Q30" s="1797"/>
      <c r="R30" s="770"/>
      <c r="S30" s="771"/>
      <c r="T30" s="770"/>
      <c r="U30" s="771"/>
      <c r="V30" s="770"/>
      <c r="W30" s="771"/>
      <c r="X30" s="772"/>
      <c r="Y30" s="3349"/>
      <c r="Z30" s="55"/>
      <c r="AA30" s="1813">
        <v>1</v>
      </c>
      <c r="AB30" s="1813">
        <v>1</v>
      </c>
      <c r="AC30" s="1813">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349"/>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349"/>
      <c r="Z31" s="1816" t="str">
        <f t="shared" ref="Z31:Z45" si="13">Q31</f>
        <v>临街状况</v>
      </c>
      <c r="AA31" s="1813">
        <f t="shared" si="3"/>
        <v>1</v>
      </c>
      <c r="AB31" s="1813">
        <f t="shared" si="4"/>
        <v>1</v>
      </c>
      <c r="AC31" s="1813">
        <f t="shared" si="5"/>
        <v>1</v>
      </c>
    </row>
    <row r="32" spans="1:29" ht="27">
      <c r="A32" s="428"/>
      <c r="B32" s="1386"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349"/>
      <c r="Q32" s="1812" t="str">
        <f t="shared" si="8"/>
        <v>毗邻道路的类型与等级</v>
      </c>
      <c r="R32" s="774" t="s">
        <v>17</v>
      </c>
      <c r="S32" s="775">
        <f t="shared" si="10"/>
        <v>100</v>
      </c>
      <c r="T32" s="774" t="s">
        <v>17</v>
      </c>
      <c r="U32" s="775">
        <f t="shared" si="11"/>
        <v>100</v>
      </c>
      <c r="V32" s="774" t="s">
        <v>17</v>
      </c>
      <c r="W32" s="775">
        <f t="shared" si="12"/>
        <v>100</v>
      </c>
      <c r="X32" s="1815"/>
      <c r="Y32" s="3349"/>
      <c r="Z32" s="1816" t="str">
        <f t="shared" si="13"/>
        <v>毗邻道路的类型与等级</v>
      </c>
      <c r="AA32" s="1813">
        <f t="shared" si="3"/>
        <v>1</v>
      </c>
      <c r="AB32" s="1813">
        <f t="shared" si="4"/>
        <v>1</v>
      </c>
      <c r="AC32" s="1813">
        <f t="shared" si="5"/>
        <v>1</v>
      </c>
    </row>
    <row r="33" spans="1:29" ht="15">
      <c r="A33" s="428"/>
      <c r="B33" s="456"/>
      <c r="C33" s="447"/>
      <c r="D33" s="448"/>
      <c r="E33" s="2612"/>
      <c r="F33" s="448"/>
      <c r="G33" s="2612"/>
      <c r="H33" s="448"/>
      <c r="I33" s="447"/>
      <c r="J33" s="448"/>
      <c r="K33" s="613"/>
      <c r="L33" s="1142"/>
      <c r="M33" s="1133"/>
      <c r="N33" s="1133"/>
      <c r="O33" s="1141"/>
      <c r="P33" s="3349"/>
      <c r="Q33" s="1812"/>
      <c r="R33" s="774"/>
      <c r="S33" s="775"/>
      <c r="T33" s="774"/>
      <c r="U33" s="775"/>
      <c r="V33" s="774"/>
      <c r="W33" s="775"/>
      <c r="X33" s="1815"/>
      <c r="Y33" s="3349"/>
      <c r="Z33" s="1816"/>
      <c r="AA33" s="1813">
        <v>1</v>
      </c>
      <c r="AB33" s="1813">
        <v>1</v>
      </c>
      <c r="AC33" s="1813">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349"/>
      <c r="Q34" s="1812" t="str">
        <f t="shared" si="8"/>
        <v>土地级别</v>
      </c>
      <c r="R34" s="774" t="s">
        <v>17</v>
      </c>
      <c r="S34" s="775">
        <f t="shared" si="10"/>
        <v>100</v>
      </c>
      <c r="T34" s="774" t="s">
        <v>17</v>
      </c>
      <c r="U34" s="775">
        <f t="shared" si="11"/>
        <v>100</v>
      </c>
      <c r="V34" s="774" t="s">
        <v>17</v>
      </c>
      <c r="W34" s="775">
        <f t="shared" si="12"/>
        <v>100</v>
      </c>
      <c r="X34" s="1815"/>
      <c r="Y34" s="3349"/>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349"/>
      <c r="Q35" s="1812">
        <f t="shared" si="8"/>
        <v>111</v>
      </c>
      <c r="R35" s="774" t="s">
        <v>17</v>
      </c>
      <c r="S35" s="775">
        <f t="shared" si="10"/>
        <v>100</v>
      </c>
      <c r="T35" s="774" t="s">
        <v>17</v>
      </c>
      <c r="U35" s="775">
        <f t="shared" si="11"/>
        <v>100</v>
      </c>
      <c r="V35" s="774" t="s">
        <v>17</v>
      </c>
      <c r="W35" s="775">
        <f t="shared" si="12"/>
        <v>100</v>
      </c>
      <c r="X35" s="1815"/>
      <c r="Y35" s="3349"/>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401" t="s">
        <v>2559</v>
      </c>
      <c r="Q36" s="1812">
        <f t="shared" si="8"/>
        <v>111</v>
      </c>
      <c r="R36" s="774" t="s">
        <v>17</v>
      </c>
      <c r="S36" s="775">
        <f t="shared" si="10"/>
        <v>100</v>
      </c>
      <c r="T36" s="774" t="s">
        <v>17</v>
      </c>
      <c r="U36" s="775">
        <f t="shared" si="11"/>
        <v>100</v>
      </c>
      <c r="V36" s="774" t="s">
        <v>17</v>
      </c>
      <c r="W36" s="775">
        <f t="shared" si="12"/>
        <v>100</v>
      </c>
      <c r="X36" s="1815"/>
      <c r="Y36" s="3353" t="s">
        <v>2559</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353"/>
      <c r="Q37" s="1812">
        <f t="shared" si="8"/>
        <v>111</v>
      </c>
      <c r="R37" s="777" t="s">
        <v>17</v>
      </c>
      <c r="S37" s="778">
        <f t="shared" si="10"/>
        <v>100</v>
      </c>
      <c r="T37" s="777" t="s">
        <v>17</v>
      </c>
      <c r="U37" s="778">
        <f t="shared" si="11"/>
        <v>100</v>
      </c>
      <c r="V37" s="777" t="s">
        <v>17</v>
      </c>
      <c r="W37" s="778">
        <f t="shared" si="12"/>
        <v>100</v>
      </c>
      <c r="X37" s="779"/>
      <c r="Y37" s="3353"/>
      <c r="Z37" s="780">
        <f t="shared" si="13"/>
        <v>111</v>
      </c>
      <c r="AA37" s="1813">
        <f t="shared" si="3"/>
        <v>1</v>
      </c>
      <c r="AB37" s="1813">
        <f t="shared" si="4"/>
        <v>1</v>
      </c>
      <c r="AC37" s="1813">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353"/>
      <c r="Q38" s="1812" t="str">
        <f>B38</f>
        <v>宗地面积</v>
      </c>
      <c r="R38" s="774" t="s">
        <v>17</v>
      </c>
      <c r="S38" s="775" t="e">
        <f t="shared" si="10"/>
        <v>#N/A</v>
      </c>
      <c r="T38" s="774" t="s">
        <v>17</v>
      </c>
      <c r="U38" s="775" t="e">
        <f t="shared" si="11"/>
        <v>#N/A</v>
      </c>
      <c r="V38" s="774" t="s">
        <v>17</v>
      </c>
      <c r="W38" s="775" t="e">
        <f t="shared" si="12"/>
        <v>#N/A</v>
      </c>
      <c r="X38" s="1815"/>
      <c r="Y38" s="3353"/>
      <c r="Z38" s="1816" t="str">
        <f t="shared" si="13"/>
        <v>宗地面积</v>
      </c>
      <c r="AA38" s="1813" t="e">
        <f t="shared" si="3"/>
        <v>#N/A</v>
      </c>
      <c r="AB38" s="1813" t="e">
        <f t="shared" si="4"/>
        <v>#N/A</v>
      </c>
      <c r="AC38" s="1813" t="e">
        <f t="shared" si="5"/>
        <v>#N/A</v>
      </c>
    </row>
    <row r="39" spans="1:29" ht="15">
      <c r="A39" s="472"/>
      <c r="B39" s="422" t="s">
        <v>2746</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2"/>
      <c r="M39" s="1133"/>
      <c r="N39" s="1133"/>
      <c r="O39" s="1141"/>
      <c r="P39" s="3353"/>
      <c r="Q39" s="1812" t="str">
        <f t="shared" ref="Q39:Q45" si="14">B39</f>
        <v>宗地形状</v>
      </c>
      <c r="R39" s="774" t="s">
        <v>17</v>
      </c>
      <c r="S39" s="775">
        <f t="shared" si="10"/>
        <v>100</v>
      </c>
      <c r="T39" s="774" t="s">
        <v>17</v>
      </c>
      <c r="U39" s="775">
        <f t="shared" si="11"/>
        <v>100</v>
      </c>
      <c r="V39" s="774" t="s">
        <v>17</v>
      </c>
      <c r="W39" s="775">
        <f t="shared" si="12"/>
        <v>100</v>
      </c>
      <c r="X39" s="1815"/>
      <c r="Y39" s="3353"/>
      <c r="Z39" s="1816" t="str">
        <f t="shared" si="13"/>
        <v>宗地形状</v>
      </c>
      <c r="AA39" s="1813">
        <f t="shared" si="3"/>
        <v>1</v>
      </c>
      <c r="AB39" s="1813">
        <f t="shared" si="4"/>
        <v>1</v>
      </c>
      <c r="AC39" s="1813">
        <f t="shared" si="5"/>
        <v>1</v>
      </c>
    </row>
    <row r="40" spans="1:29" ht="15">
      <c r="A40" s="472"/>
      <c r="B40" s="422" t="s">
        <v>2747</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2"/>
      <c r="M40" s="1133"/>
      <c r="N40" s="1133"/>
      <c r="O40" s="1141"/>
      <c r="P40" s="3353"/>
      <c r="Q40" s="1812" t="str">
        <f t="shared" si="14"/>
        <v>临街宽度及深度</v>
      </c>
      <c r="R40" s="774" t="s">
        <v>17</v>
      </c>
      <c r="S40" s="775">
        <f t="shared" si="10"/>
        <v>100</v>
      </c>
      <c r="T40" s="774" t="s">
        <v>17</v>
      </c>
      <c r="U40" s="775">
        <f t="shared" si="11"/>
        <v>100</v>
      </c>
      <c r="V40" s="774" t="s">
        <v>17</v>
      </c>
      <c r="W40" s="775">
        <f t="shared" si="12"/>
        <v>100</v>
      </c>
      <c r="X40" s="1815"/>
      <c r="Y40" s="3353"/>
      <c r="Z40" s="1816" t="str">
        <f t="shared" si="13"/>
        <v>临街宽度及深度</v>
      </c>
      <c r="AA40" s="1813">
        <f t="shared" si="3"/>
        <v>1</v>
      </c>
      <c r="AB40" s="1813">
        <f t="shared" si="4"/>
        <v>1</v>
      </c>
      <c r="AC40" s="1813">
        <f t="shared" si="5"/>
        <v>1</v>
      </c>
    </row>
    <row r="41" spans="1:29" s="117" customFormat="1" ht="15">
      <c r="A41" s="473"/>
      <c r="B41" s="422" t="s">
        <v>2748</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4"/>
      <c r="M41" s="1135"/>
      <c r="N41" s="1135"/>
      <c r="O41" s="1136"/>
      <c r="P41" s="3353"/>
      <c r="Q41" s="1812" t="str">
        <f t="shared" si="14"/>
        <v>宗地开发程度</v>
      </c>
      <c r="R41" s="770" t="s">
        <v>17</v>
      </c>
      <c r="S41" s="771">
        <f t="shared" si="10"/>
        <v>100</v>
      </c>
      <c r="T41" s="770" t="s">
        <v>17</v>
      </c>
      <c r="U41" s="771">
        <f t="shared" si="11"/>
        <v>100</v>
      </c>
      <c r="V41" s="770" t="s">
        <v>17</v>
      </c>
      <c r="W41" s="771">
        <f t="shared" si="12"/>
        <v>100</v>
      </c>
      <c r="X41" s="772"/>
      <c r="Y41" s="3353"/>
      <c r="Z41" s="55" t="str">
        <f t="shared" si="13"/>
        <v>宗地开发程度</v>
      </c>
      <c r="AA41" s="773">
        <f t="shared" si="3"/>
        <v>1</v>
      </c>
      <c r="AB41" s="773">
        <f t="shared" si="4"/>
        <v>1</v>
      </c>
      <c r="AC41" s="773">
        <f t="shared" si="5"/>
        <v>1</v>
      </c>
    </row>
    <row r="42" spans="1:29" ht="15">
      <c r="A42" s="472"/>
      <c r="B42" s="422" t="s">
        <v>2749</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2"/>
      <c r="M42" s="1133"/>
      <c r="N42" s="1133"/>
      <c r="O42" s="1141"/>
      <c r="P42" s="3353" t="s">
        <v>2559</v>
      </c>
      <c r="Q42" s="1812" t="str">
        <f t="shared" si="14"/>
        <v>工程地质条件</v>
      </c>
      <c r="R42" s="774" t="s">
        <v>17</v>
      </c>
      <c r="S42" s="775">
        <f t="shared" si="10"/>
        <v>100</v>
      </c>
      <c r="T42" s="774" t="s">
        <v>17</v>
      </c>
      <c r="U42" s="775">
        <f t="shared" si="11"/>
        <v>100</v>
      </c>
      <c r="V42" s="774" t="s">
        <v>17</v>
      </c>
      <c r="W42" s="775">
        <f t="shared" si="12"/>
        <v>100</v>
      </c>
      <c r="X42" s="1815"/>
      <c r="Y42" s="3353" t="s">
        <v>2559</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353"/>
      <c r="Q43" s="1812">
        <f t="shared" si="14"/>
        <v>111</v>
      </c>
      <c r="R43" s="774" t="s">
        <v>17</v>
      </c>
      <c r="S43" s="775">
        <f t="shared" si="10"/>
        <v>100</v>
      </c>
      <c r="T43" s="774" t="s">
        <v>17</v>
      </c>
      <c r="U43" s="775">
        <f t="shared" si="11"/>
        <v>100</v>
      </c>
      <c r="V43" s="774" t="s">
        <v>17</v>
      </c>
      <c r="W43" s="775">
        <f t="shared" si="12"/>
        <v>100</v>
      </c>
      <c r="X43" s="1815"/>
      <c r="Y43" s="3353"/>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353"/>
      <c r="Q44" s="1812">
        <f t="shared" si="14"/>
        <v>111</v>
      </c>
      <c r="R44" s="774" t="s">
        <v>17</v>
      </c>
      <c r="S44" s="775">
        <f t="shared" si="10"/>
        <v>100</v>
      </c>
      <c r="T44" s="774" t="s">
        <v>17</v>
      </c>
      <c r="U44" s="775">
        <f t="shared" si="11"/>
        <v>100</v>
      </c>
      <c r="V44" s="774" t="s">
        <v>17</v>
      </c>
      <c r="W44" s="775">
        <f t="shared" si="12"/>
        <v>100</v>
      </c>
      <c r="X44" s="1815"/>
      <c r="Y44" s="3353"/>
      <c r="Z44" s="1816">
        <f t="shared" si="13"/>
        <v>111</v>
      </c>
      <c r="AA44" s="1813">
        <f t="shared" si="3"/>
        <v>1</v>
      </c>
      <c r="AB44" s="1813">
        <f t="shared" si="4"/>
        <v>1</v>
      </c>
      <c r="AC44" s="1813">
        <f t="shared" si="5"/>
        <v>1</v>
      </c>
    </row>
    <row r="45" spans="1:29" s="471" customFormat="1" ht="15.75" thickBot="1">
      <c r="A45" s="468"/>
      <c r="B45" s="1389">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353"/>
      <c r="Q45" s="1812">
        <f t="shared" si="14"/>
        <v>111</v>
      </c>
      <c r="R45" s="777" t="s">
        <v>17</v>
      </c>
      <c r="S45" s="778">
        <f t="shared" si="10"/>
        <v>100</v>
      </c>
      <c r="T45" s="777" t="s">
        <v>17</v>
      </c>
      <c r="U45" s="778">
        <f t="shared" si="11"/>
        <v>100</v>
      </c>
      <c r="V45" s="777" t="s">
        <v>17</v>
      </c>
      <c r="W45" s="778">
        <f t="shared" si="12"/>
        <v>100</v>
      </c>
      <c r="X45" s="779"/>
      <c r="Y45" s="3353"/>
      <c r="Z45" s="780">
        <f t="shared" si="13"/>
        <v>111</v>
      </c>
      <c r="AA45" s="1813">
        <f t="shared" si="3"/>
        <v>1</v>
      </c>
      <c r="AB45" s="1813">
        <f t="shared" si="4"/>
        <v>1</v>
      </c>
      <c r="AC45" s="1813">
        <f t="shared" si="5"/>
        <v>1</v>
      </c>
    </row>
    <row r="46" spans="1:29" ht="15">
      <c r="A46" s="479" t="s">
        <v>2714</v>
      </c>
      <c r="B46" s="2704" t="s">
        <v>2750</v>
      </c>
      <c r="C46" s="682" t="s">
        <v>1</v>
      </c>
      <c r="D46" s="481"/>
      <c r="E46" s="482"/>
      <c r="F46" s="483"/>
      <c r="G46" s="484"/>
      <c r="H46" s="485"/>
      <c r="I46" s="482"/>
      <c r="J46" s="485"/>
      <c r="K46" s="783"/>
      <c r="L46" s="1145"/>
      <c r="M46" s="1146"/>
      <c r="N46" s="1133"/>
      <c r="O46" s="1146"/>
      <c r="P46" s="3346" t="str">
        <f>A46</f>
        <v>成交单价</v>
      </c>
      <c r="Q46" s="3346"/>
      <c r="R46" s="3339">
        <f>E46</f>
        <v>0</v>
      </c>
      <c r="S46" s="3339"/>
      <c r="T46" s="3339">
        <f>G46</f>
        <v>0</v>
      </c>
      <c r="U46" s="3339"/>
      <c r="V46" s="3339">
        <f>I46</f>
        <v>0</v>
      </c>
      <c r="W46" s="3339"/>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5"/>
      <c r="M47" s="1146"/>
      <c r="N47" s="1146"/>
      <c r="O47" s="1146"/>
      <c r="P47" s="3346" t="str">
        <f>A47</f>
        <v>比较价值（元/平方米）</v>
      </c>
      <c r="Q47" s="3346"/>
      <c r="R47" s="3402" t="e">
        <f>ROUND(PRODUCT(R46,AA7:AA45),0)</f>
        <v>#DIV/0!</v>
      </c>
      <c r="S47" s="3402"/>
      <c r="T47" s="3402" t="e">
        <f>ROUND(PRODUCT(T46,AB7:AB45),0)</f>
        <v>#DIV/0!</v>
      </c>
      <c r="U47" s="3402"/>
      <c r="V47" s="3402" t="e">
        <f>ROUND(PRODUCT(V46,AC7:AC45),0)</f>
        <v>#DIV/0!</v>
      </c>
      <c r="W47" s="3402"/>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5"/>
      <c r="M48" s="1146"/>
      <c r="N48" s="1146"/>
      <c r="O48" s="1146"/>
      <c r="P48" s="3343" t="str">
        <f>A48</f>
        <v>估价对象XX用房的比较价值（楼面单价，元/平方米）</v>
      </c>
      <c r="Q48" s="3344"/>
      <c r="R48" s="3403" t="e">
        <f>ROUND(AVERAGE(R47:V47),0)</f>
        <v>#DIV/0!</v>
      </c>
      <c r="S48" s="3403"/>
      <c r="T48" s="3403"/>
      <c r="U48" s="3403"/>
      <c r="V48" s="3403"/>
      <c r="W48" s="3403"/>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2752</v>
      </c>
      <c r="B55" s="685" t="s">
        <v>2753</v>
      </c>
      <c r="C55" s="2705" t="s">
        <v>2754</v>
      </c>
      <c r="D55" s="2706" t="s">
        <v>2755</v>
      </c>
      <c r="E55" s="686" t="s">
        <v>2756</v>
      </c>
      <c r="F55" s="1109" t="s">
        <v>2757</v>
      </c>
      <c r="G55" s="3325" t="s">
        <v>2758</v>
      </c>
      <c r="H55" s="3404"/>
      <c r="I55" s="144" t="s">
        <v>2759</v>
      </c>
      <c r="J55" s="2707" t="str">
        <f>项目基本情况!F35</f>
        <v>广东省深圳市</v>
      </c>
      <c r="K55" s="2708" t="s">
        <v>2760</v>
      </c>
      <c r="L55" s="1108"/>
      <c r="M55" s="1146"/>
      <c r="N55" s="1146"/>
      <c r="O55" s="1146"/>
    </row>
    <row r="56" spans="1:15" s="692" customFormat="1">
      <c r="A56" s="688" t="s">
        <v>2761</v>
      </c>
      <c r="B56" s="689" t="e">
        <f>C48</f>
        <v>#DIV/0!</v>
      </c>
      <c r="C56" s="690">
        <v>1</v>
      </c>
      <c r="D56" s="1165">
        <v>1</v>
      </c>
      <c r="E56" s="690">
        <f>'数据-汇总表'!E8+'数据-汇总表'!E9</f>
        <v>137390</v>
      </c>
      <c r="F56" s="1105" t="e">
        <f t="shared" ref="F56:F65" si="15">ROUND(B56*E56/10000,0)</f>
        <v>#DIV/0!</v>
      </c>
      <c r="G56" s="3324"/>
      <c r="H56" s="3346"/>
      <c r="I56" s="1110">
        <v>1</v>
      </c>
      <c r="J56" s="1113">
        <v>1</v>
      </c>
      <c r="K56" s="1147"/>
      <c r="L56" s="943"/>
      <c r="M56" s="943"/>
      <c r="N56" s="943"/>
      <c r="O56" s="943"/>
    </row>
    <row r="57" spans="1:15" s="692" customFormat="1">
      <c r="A57" s="693" t="s">
        <v>2762</v>
      </c>
      <c r="B57" s="262" t="e">
        <f>ROUND($C$48*C57*D57,0)</f>
        <v>#DIV/0!</v>
      </c>
      <c r="C57" s="200">
        <f t="shared" ref="C57:C65" si="16">IF($C$55="北京市系数",I57,J57)</f>
        <v>0</v>
      </c>
      <c r="D57" s="1166">
        <v>0.25</v>
      </c>
      <c r="E57" s="694"/>
      <c r="F57" s="1105" t="e">
        <f t="shared" si="15"/>
        <v>#DIV/0!</v>
      </c>
      <c r="G57" s="3405" t="s">
        <v>2763</v>
      </c>
      <c r="H57" s="1106">
        <f>项目基本情况!B37</f>
        <v>0</v>
      </c>
      <c r="I57" s="1110">
        <f>SUMIF(修正!A45:A56,H57,修正!B45:B56)</f>
        <v>0</v>
      </c>
      <c r="J57" s="1114"/>
      <c r="K57" s="1146"/>
      <c r="L57" s="943"/>
      <c r="M57" s="943"/>
      <c r="N57" s="943"/>
      <c r="O57" s="943"/>
    </row>
    <row r="58" spans="1:15" s="692" customFormat="1">
      <c r="A58" s="693" t="s">
        <v>2764</v>
      </c>
      <c r="B58" s="262" t="e">
        <f t="shared" ref="B58:B65" si="17">ROUND($C$48*C58*D58,0)</f>
        <v>#DIV/0!</v>
      </c>
      <c r="C58" s="200">
        <f t="shared" si="16"/>
        <v>0</v>
      </c>
      <c r="D58" s="1166">
        <v>0.25</v>
      </c>
      <c r="E58" s="694"/>
      <c r="F58" s="1105" t="e">
        <f t="shared" si="15"/>
        <v>#DIV/0!</v>
      </c>
      <c r="G58" s="3405"/>
      <c r="H58" s="1106">
        <f>项目基本情况!B37</f>
        <v>0</v>
      </c>
      <c r="I58" s="1110">
        <f>SUMIF(修正!A45:A56,H58,修正!C45:C56)</f>
        <v>0</v>
      </c>
      <c r="J58" s="1114"/>
      <c r="K58" s="1147"/>
      <c r="L58" s="943"/>
      <c r="M58" s="943"/>
      <c r="N58" s="943"/>
      <c r="O58" s="943"/>
    </row>
    <row r="59" spans="1:15" s="692" customFormat="1">
      <c r="A59" s="693" t="s">
        <v>2765</v>
      </c>
      <c r="B59" s="262" t="e">
        <f t="shared" si="17"/>
        <v>#DIV/0!</v>
      </c>
      <c r="C59" s="200">
        <f t="shared" si="16"/>
        <v>0</v>
      </c>
      <c r="D59" s="1166">
        <v>0.25</v>
      </c>
      <c r="E59" s="694"/>
      <c r="F59" s="1105" t="e">
        <f t="shared" si="15"/>
        <v>#DIV/0!</v>
      </c>
      <c r="G59" s="3405"/>
      <c r="H59" s="1106">
        <f>项目基本情况!B37</f>
        <v>0</v>
      </c>
      <c r="I59" s="1110">
        <f>SUMIF(修正!A45:A56,H59,修正!D45:D56)</f>
        <v>0</v>
      </c>
      <c r="J59" s="1114"/>
      <c r="K59" s="1146"/>
      <c r="L59" s="943"/>
      <c r="M59" s="943"/>
      <c r="N59" s="943"/>
      <c r="O59" s="943"/>
    </row>
    <row r="60" spans="1:15" s="692" customFormat="1">
      <c r="A60" s="693" t="s">
        <v>2766</v>
      </c>
      <c r="B60" s="262" t="e">
        <f t="shared" si="17"/>
        <v>#DIV/0!</v>
      </c>
      <c r="C60" s="200">
        <f t="shared" si="16"/>
        <v>0</v>
      </c>
      <c r="D60" s="1166">
        <v>0.25</v>
      </c>
      <c r="E60" s="694"/>
      <c r="F60" s="1105" t="e">
        <f t="shared" si="15"/>
        <v>#DIV/0!</v>
      </c>
      <c r="G60" s="3405"/>
      <c r="H60" s="1106">
        <f>项目基本情况!B37</f>
        <v>0</v>
      </c>
      <c r="I60" s="1110">
        <f>SUMIF(修正!A45:A56,H60,修正!E45:E56)</f>
        <v>0</v>
      </c>
      <c r="J60" s="1114"/>
      <c r="K60" s="1147"/>
      <c r="L60" s="943"/>
      <c r="M60" s="943"/>
      <c r="N60" s="943"/>
      <c r="O60" s="943"/>
    </row>
    <row r="61" spans="1:15" s="692" customFormat="1">
      <c r="A61" s="693" t="s">
        <v>2767</v>
      </c>
      <c r="B61" s="262" t="e">
        <f t="shared" si="17"/>
        <v>#DIV/0!</v>
      </c>
      <c r="C61" s="200">
        <f t="shared" si="16"/>
        <v>0</v>
      </c>
      <c r="D61" s="1166">
        <v>0.25</v>
      </c>
      <c r="E61" s="261">
        <f>'数据-汇总表'!E11</f>
        <v>0</v>
      </c>
      <c r="F61" s="1105" t="e">
        <f t="shared" si="15"/>
        <v>#DIV/0!</v>
      </c>
      <c r="G61" s="2709" t="s">
        <v>2768</v>
      </c>
      <c r="H61" s="1106">
        <f>项目基本情况!C37</f>
        <v>0</v>
      </c>
      <c r="I61" s="1110">
        <f>SUMIF(修正!A45:A56,H61,修正!F45:F56)</f>
        <v>0</v>
      </c>
      <c r="J61" s="1114"/>
      <c r="K61" s="1146"/>
      <c r="L61" s="943"/>
      <c r="M61" s="943"/>
      <c r="N61" s="943"/>
      <c r="O61" s="943"/>
    </row>
    <row r="62" spans="1:15" s="692" customFormat="1">
      <c r="A62" s="693" t="s">
        <v>2769</v>
      </c>
      <c r="B62" s="262" t="e">
        <f t="shared" si="17"/>
        <v>#DIV/0!</v>
      </c>
      <c r="C62" s="200">
        <f t="shared" si="16"/>
        <v>0</v>
      </c>
      <c r="D62" s="1166">
        <v>0.25</v>
      </c>
      <c r="E62" s="261">
        <f>'数据-汇总表'!E12</f>
        <v>0</v>
      </c>
      <c r="F62" s="1105" t="e">
        <f t="shared" si="15"/>
        <v>#DIV/0!</v>
      </c>
      <c r="G62" s="1111" t="s">
        <v>2770</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2771</v>
      </c>
      <c r="B63" s="262" t="e">
        <f t="shared" si="17"/>
        <v>#DIV/0!</v>
      </c>
      <c r="C63" s="200">
        <f t="shared" si="16"/>
        <v>0</v>
      </c>
      <c r="D63" s="1166">
        <v>0.25</v>
      </c>
      <c r="E63" s="261">
        <f>'数据-汇总表'!E13</f>
        <v>0</v>
      </c>
      <c r="F63" s="1105" t="e">
        <f t="shared" si="15"/>
        <v>#DIV/0!</v>
      </c>
      <c r="G63" s="1111" t="s">
        <v>2772</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2773</v>
      </c>
      <c r="B64" s="262" t="e">
        <f t="shared" si="17"/>
        <v>#DIV/0!</v>
      </c>
      <c r="C64" s="200">
        <f t="shared" si="16"/>
        <v>0</v>
      </c>
      <c r="D64" s="1166">
        <v>0.25</v>
      </c>
      <c r="E64" s="261">
        <f>'数据-汇总表'!E14</f>
        <v>0</v>
      </c>
      <c r="F64" s="1105" t="e">
        <f t="shared" si="15"/>
        <v>#DIV/0!</v>
      </c>
      <c r="G64" s="2709" t="s">
        <v>2763</v>
      </c>
      <c r="H64" s="1106">
        <f>项目基本情况!B37</f>
        <v>0</v>
      </c>
      <c r="I64" s="1110">
        <f>SUMIF(修正!A45:A56,H64,修正!H45:H56)</f>
        <v>0</v>
      </c>
      <c r="J64" s="1114"/>
      <c r="K64" s="1147"/>
      <c r="L64" s="943"/>
      <c r="M64" s="943"/>
      <c r="N64" s="943"/>
      <c r="O64" s="943"/>
    </row>
    <row r="65" spans="1:17" s="692" customFormat="1" ht="15" thickBot="1">
      <c r="A65" s="693" t="s">
        <v>2774</v>
      </c>
      <c r="B65" s="262" t="e">
        <f t="shared" si="17"/>
        <v>#DIV/0!</v>
      </c>
      <c r="C65" s="200">
        <f t="shared" si="16"/>
        <v>0</v>
      </c>
      <c r="D65" s="1166">
        <v>0.25</v>
      </c>
      <c r="E65" s="261">
        <f>'数据-汇总表'!E15</f>
        <v>0</v>
      </c>
      <c r="F65" s="1105" t="e">
        <f t="shared" si="15"/>
        <v>#DIV/0!</v>
      </c>
      <c r="G65" s="2710" t="s">
        <v>2768</v>
      </c>
      <c r="H65" s="1116">
        <f>项目基本情况!C37</f>
        <v>0</v>
      </c>
      <c r="I65" s="1112">
        <f>SUMIF(修正!A45:A56,H65,修正!H45:H56)</f>
        <v>0</v>
      </c>
      <c r="J65" s="1115"/>
      <c r="K65" s="1146"/>
      <c r="L65" s="943"/>
      <c r="M65" s="943"/>
      <c r="N65" s="943"/>
      <c r="O65" s="943"/>
    </row>
    <row r="66" spans="1:17" s="692" customFormat="1" ht="13.5" thickBot="1">
      <c r="A66" s="695" t="s">
        <v>2775</v>
      </c>
      <c r="B66" s="696" t="s">
        <v>28</v>
      </c>
      <c r="C66" s="696" t="s">
        <v>29</v>
      </c>
      <c r="D66" s="696" t="s">
        <v>1026</v>
      </c>
      <c r="E66" s="696">
        <f>IF(B46="楼面地价",SUM(E56:E65),'数据-汇总表'!D3)</f>
        <v>137390</v>
      </c>
      <c r="F66" s="697" t="e">
        <f>IF(B46="楼面地价",SUM(F56:F65),ROUND(C48*E66/10000,0))</f>
        <v>#DIV/0!</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2668</v>
      </c>
      <c r="B69" s="759"/>
      <c r="C69" s="764"/>
      <c r="D69" s="764"/>
      <c r="E69" s="764"/>
      <c r="F69" s="765"/>
      <c r="G69" s="765"/>
      <c r="H69" s="764"/>
      <c r="I69" s="764"/>
      <c r="J69" s="1161"/>
      <c r="K69" s="1162"/>
      <c r="L69" s="1163"/>
      <c r="M69" s="1161"/>
      <c r="N69" s="1161"/>
      <c r="O69" s="1161"/>
      <c r="P69" s="503"/>
      <c r="Q69" s="504"/>
    </row>
    <row r="70" spans="1:17" s="508" customFormat="1" ht="15">
      <c r="A70" s="2711" t="s">
        <v>2776</v>
      </c>
      <c r="B70" s="1361"/>
      <c r="C70" s="1574" t="str">
        <f>YEAR(C68)&amp;"-"&amp;ROUNDUP(MONTH(C68)/3,0)</f>
        <v>2019-1</v>
      </c>
      <c r="D70" s="1574" t="str">
        <f>YEAR(D68)&amp;"-"&amp;ROUNDUP(MONTH(D68)/3,0)</f>
        <v>2018-4</v>
      </c>
      <c r="E70" s="1574" t="str">
        <f t="shared" ref="E70:O70" si="19">YEAR(E68)&amp;"-"&amp;ROUNDUP(MONTH(E68)/3,0)</f>
        <v>2018-3</v>
      </c>
      <c r="F70" s="1574" t="str">
        <f t="shared" si="19"/>
        <v>2018-2</v>
      </c>
      <c r="G70" s="1574" t="str">
        <f t="shared" si="19"/>
        <v>2018-1</v>
      </c>
      <c r="H70" s="1574" t="str">
        <f t="shared" si="19"/>
        <v>2017-4</v>
      </c>
      <c r="I70" s="1574" t="str">
        <f t="shared" si="19"/>
        <v>2017-3</v>
      </c>
      <c r="J70" s="1574" t="str">
        <f t="shared" si="19"/>
        <v>2017-2</v>
      </c>
      <c r="K70" s="1574" t="str">
        <f t="shared" si="19"/>
        <v>2017-1</v>
      </c>
      <c r="L70" s="1574" t="str">
        <f t="shared" si="19"/>
        <v>2016-4</v>
      </c>
      <c r="M70" s="1574" t="str">
        <f t="shared" si="19"/>
        <v>2016-3</v>
      </c>
      <c r="N70" s="1574" t="str">
        <f t="shared" si="19"/>
        <v>2016-2</v>
      </c>
      <c r="O70" s="1574" t="str">
        <f t="shared" si="19"/>
        <v>2016-1</v>
      </c>
      <c r="P70" s="507"/>
    </row>
    <row r="71" spans="1:17" s="117" customFormat="1" ht="30" customHeight="1">
      <c r="A71" s="2712" t="s">
        <v>2777</v>
      </c>
      <c r="B71" s="332" t="str">
        <f>"北京市平均增长率"&amp;TEXT(SUMIF(基准地价修正!N21:N25,A71,基准地价修正!P21:P25),"0.00%")</f>
        <v>北京市平均增长率2.29%</v>
      </c>
      <c r="C71" s="603">
        <v>100</v>
      </c>
      <c r="D71" s="595"/>
      <c r="E71" s="595"/>
      <c r="F71" s="595"/>
      <c r="G71" s="595"/>
      <c r="H71" s="595"/>
      <c r="I71" s="595"/>
      <c r="J71" s="595"/>
      <c r="K71" s="595"/>
      <c r="L71" s="595"/>
      <c r="M71" s="1569"/>
      <c r="N71" s="595"/>
      <c r="O71" s="1570"/>
      <c r="P71" s="504"/>
    </row>
    <row r="72" spans="1:17" s="117" customFormat="1" ht="15.75" thickBot="1">
      <c r="A72" s="515" t="s">
        <v>2579</v>
      </c>
      <c r="B72" s="516"/>
      <c r="C72" s="517"/>
      <c r="D72" s="518"/>
      <c r="E72" s="518"/>
      <c r="F72" s="518"/>
      <c r="G72" s="518"/>
      <c r="H72" s="518"/>
      <c r="I72" s="518"/>
      <c r="J72" s="518"/>
      <c r="K72" s="518"/>
      <c r="L72" s="518"/>
      <c r="M72" s="519"/>
      <c r="N72" s="518"/>
      <c r="O72" s="1164"/>
      <c r="P72" s="504"/>
      <c r="Q72" s="504"/>
    </row>
    <row r="73" spans="1:17" s="117" customFormat="1" ht="15">
      <c r="A73" s="521" t="s">
        <v>2544</v>
      </c>
      <c r="B73" s="510"/>
      <c r="C73" s="522" t="s">
        <v>2646</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2582</v>
      </c>
      <c r="B75" s="528" t="s">
        <v>2548</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2551</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2685</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2744</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2786</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2787</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2788</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2789</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82" priority="14" stopIfTrue="1" operator="containsText" text="超过">
      <formula>NOT(ISERROR(SEARCH("超过",F51)))</formula>
    </cfRule>
  </conditionalFormatting>
  <conditionalFormatting sqref="J53">
    <cfRule type="containsText" dxfId="81" priority="13" stopIfTrue="1" operator="containsText" text="超过">
      <formula>NOT(ISERROR(SEARCH("超过",J53)))</formula>
    </cfRule>
  </conditionalFormatting>
  <conditionalFormatting sqref="H53">
    <cfRule type="containsText" dxfId="80" priority="12" stopIfTrue="1" operator="containsText" text="超过">
      <formula>NOT(ISERROR(SEARCH("超过",H53)))</formula>
    </cfRule>
  </conditionalFormatting>
  <conditionalFormatting sqref="F53">
    <cfRule type="containsText" dxfId="79" priority="11" stopIfTrue="1" operator="containsText" text="超过">
      <formula>NOT(ISERROR(SEARCH("超过",F53)))</formula>
    </cfRule>
  </conditionalFormatting>
  <conditionalFormatting sqref="F52 H52 J52">
    <cfRule type="containsText" dxfId="78" priority="10" stopIfTrue="1" operator="containsText" text="超过">
      <formula>NOT(ISERROR(SEARCH("超过",F52)))</formula>
    </cfRule>
  </conditionalFormatting>
  <conditionalFormatting sqref="E51">
    <cfRule type="expression" dxfId="77" priority="9" stopIfTrue="1">
      <formula>$F$51="超过30%"</formula>
    </cfRule>
  </conditionalFormatting>
  <conditionalFormatting sqref="G53">
    <cfRule type="expression" dxfId="76" priority="8" stopIfTrue="1">
      <formula>$H$53="超过30%"</formula>
    </cfRule>
  </conditionalFormatting>
  <conditionalFormatting sqref="E52">
    <cfRule type="expression" dxfId="75" priority="7" stopIfTrue="1">
      <formula>$F$52="超过20%"</formula>
    </cfRule>
  </conditionalFormatting>
  <conditionalFormatting sqref="E53">
    <cfRule type="expression" dxfId="74" priority="6" stopIfTrue="1">
      <formula>$F$53="超过30%"</formula>
    </cfRule>
  </conditionalFormatting>
  <conditionalFormatting sqref="G51">
    <cfRule type="expression" dxfId="73" priority="5" stopIfTrue="1">
      <formula>$H$53+$H$51="超过30%"</formula>
    </cfRule>
  </conditionalFormatting>
  <conditionalFormatting sqref="G52">
    <cfRule type="expression" dxfId="72" priority="4" stopIfTrue="1">
      <formula>$H$52="超过20%"</formula>
    </cfRule>
  </conditionalFormatting>
  <conditionalFormatting sqref="I51">
    <cfRule type="expression" dxfId="71" priority="3" stopIfTrue="1">
      <formula>$J$51="超过30%"</formula>
    </cfRule>
  </conditionalFormatting>
  <conditionalFormatting sqref="I52">
    <cfRule type="expression" dxfId="70" priority="2" stopIfTrue="1">
      <formula>$J$52="超过20%"</formula>
    </cfRule>
  </conditionalFormatting>
  <conditionalFormatting sqref="I53">
    <cfRule type="expression" dxfId="6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zoomScalePageLayoutView="80" workbookViewId="0">
      <selection activeCell="G13" sqref="G13"/>
    </sheetView>
  </sheetViews>
  <sheetFormatPr defaultColWidth="9" defaultRowHeight="14.25"/>
  <cols>
    <col min="1" max="1" width="14.37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2740</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2639</v>
      </c>
      <c r="B4" s="402"/>
      <c r="C4" s="3325" t="s">
        <v>2640</v>
      </c>
      <c r="D4" s="3326"/>
      <c r="E4" s="3327" t="s">
        <v>2641</v>
      </c>
      <c r="F4" s="3328"/>
      <c r="G4" s="3325" t="s">
        <v>2642</v>
      </c>
      <c r="H4" s="3326"/>
      <c r="I4" s="3325" t="s">
        <v>2643</v>
      </c>
      <c r="J4" s="3326"/>
      <c r="K4" s="610" t="s">
        <v>2644</v>
      </c>
      <c r="L4" s="1132"/>
      <c r="M4" s="1133"/>
      <c r="N4" s="1133"/>
      <c r="O4" s="1133"/>
      <c r="P4" s="3331" t="s">
        <v>2645</v>
      </c>
      <c r="Q4" s="3332"/>
      <c r="R4" s="3310" t="s">
        <v>2641</v>
      </c>
      <c r="S4" s="3311"/>
      <c r="T4" s="3310" t="s">
        <v>2642</v>
      </c>
      <c r="U4" s="3311"/>
      <c r="V4" s="3339" t="s">
        <v>2643</v>
      </c>
      <c r="W4" s="3339"/>
      <c r="X4" s="1815"/>
      <c r="Y4" s="3310" t="s">
        <v>2645</v>
      </c>
      <c r="Z4" s="3311"/>
      <c r="AA4" s="3305" t="s">
        <v>2641</v>
      </c>
      <c r="AB4" s="3306" t="s">
        <v>2642</v>
      </c>
      <c r="AC4" s="3305" t="s">
        <v>2643</v>
      </c>
    </row>
    <row r="5" spans="1:29" ht="15">
      <c r="A5" s="404"/>
      <c r="B5" s="405"/>
      <c r="C5" s="3316" t="s">
        <v>2536</v>
      </c>
      <c r="D5" s="3317"/>
      <c r="E5" s="3387" t="s">
        <v>2537</v>
      </c>
      <c r="F5" s="3315"/>
      <c r="G5" s="3316" t="s">
        <v>2538</v>
      </c>
      <c r="H5" s="3317"/>
      <c r="I5" s="3316" t="s">
        <v>2539</v>
      </c>
      <c r="J5" s="3317"/>
      <c r="K5" s="610"/>
      <c r="L5" s="1132"/>
      <c r="M5" s="1133"/>
      <c r="N5" s="1133"/>
      <c r="O5" s="1133"/>
      <c r="P5" s="3333"/>
      <c r="Q5" s="3334"/>
      <c r="R5" s="3312"/>
      <c r="S5" s="3313"/>
      <c r="T5" s="3312"/>
      <c r="U5" s="3313"/>
      <c r="V5" s="3339"/>
      <c r="W5" s="3339"/>
      <c r="X5" s="1815"/>
      <c r="Y5" s="3312"/>
      <c r="Z5" s="3313"/>
      <c r="AA5" s="3306"/>
      <c r="AB5" s="3306"/>
      <c r="AC5" s="3306"/>
    </row>
    <row r="6" spans="1:29" ht="15.75" thickBot="1">
      <c r="A6" s="406"/>
      <c r="B6" s="407"/>
      <c r="C6" s="3406" t="s">
        <v>2791</v>
      </c>
      <c r="D6" s="3407"/>
      <c r="E6" s="3408" t="s">
        <v>2791</v>
      </c>
      <c r="F6" s="3409"/>
      <c r="G6" s="3406" t="s">
        <v>2791</v>
      </c>
      <c r="H6" s="3407"/>
      <c r="I6" s="3406" t="s">
        <v>2791</v>
      </c>
      <c r="J6" s="3407"/>
      <c r="K6" s="610" t="s">
        <v>2541</v>
      </c>
      <c r="L6" s="1132"/>
      <c r="M6" s="1133"/>
      <c r="N6" s="1133"/>
      <c r="O6" s="1133"/>
      <c r="P6" s="3335"/>
      <c r="Q6" s="3336"/>
      <c r="R6" s="3312"/>
      <c r="S6" s="3313"/>
      <c r="T6" s="3337"/>
      <c r="U6" s="3338"/>
      <c r="V6" s="3339"/>
      <c r="W6" s="3339"/>
      <c r="X6" s="1815"/>
      <c r="Y6" s="3337"/>
      <c r="Z6" s="3338"/>
      <c r="AA6" s="3307"/>
      <c r="AB6" s="3307"/>
      <c r="AC6" s="3307"/>
    </row>
    <row r="7" spans="1:29" s="117" customFormat="1" ht="15.75" thickBot="1">
      <c r="A7" s="408" t="s">
        <v>2542</v>
      </c>
      <c r="B7" s="409"/>
      <c r="C7" s="410">
        <f>'数据-取费表'!B2</f>
        <v>43482</v>
      </c>
      <c r="D7" s="411">
        <v>100</v>
      </c>
      <c r="E7" s="412"/>
      <c r="F7" s="413">
        <f>SUMIF(65:65,YEAR(E7)&amp;"-"&amp;INT((MONTH(E7)+2)/3),66:66)</f>
        <v>0</v>
      </c>
      <c r="G7" s="2696"/>
      <c r="H7" s="411">
        <f>SUMIF(65:65,YEAR(G7)&amp;"-"&amp;INT((MONTH(G7)+2)/3),66:66)</f>
        <v>0</v>
      </c>
      <c r="I7" s="2696"/>
      <c r="J7" s="411">
        <f>SUMIF(65:65,YEAR(I7)&amp;"-"&amp;INT((MONTH(I7)+2)/3),66:66)</f>
        <v>0</v>
      </c>
      <c r="K7" s="611"/>
      <c r="L7" s="1134"/>
      <c r="M7" s="1135"/>
      <c r="N7" s="1135"/>
      <c r="O7" s="1135"/>
      <c r="P7" s="3308" t="s">
        <v>2543</v>
      </c>
      <c r="Q7" s="3342"/>
      <c r="R7" s="770" t="s">
        <v>17</v>
      </c>
      <c r="S7" s="771">
        <f t="shared" ref="S7:S15" si="0">F7</f>
        <v>0</v>
      </c>
      <c r="T7" s="770" t="s">
        <v>17</v>
      </c>
      <c r="U7" s="771">
        <f t="shared" ref="U7:U15" si="1">H7</f>
        <v>0</v>
      </c>
      <c r="V7" s="770" t="s">
        <v>17</v>
      </c>
      <c r="W7" s="771">
        <f t="shared" ref="W7:W15" si="2">J7</f>
        <v>0</v>
      </c>
      <c r="X7" s="772"/>
      <c r="Y7" s="3308" t="s">
        <v>2543</v>
      </c>
      <c r="Z7" s="3309"/>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308" t="s">
        <v>2546</v>
      </c>
      <c r="Q8" s="3309"/>
      <c r="R8" s="770" t="s">
        <v>17</v>
      </c>
      <c r="S8" s="771">
        <f t="shared" si="0"/>
        <v>0</v>
      </c>
      <c r="T8" s="770" t="s">
        <v>17</v>
      </c>
      <c r="U8" s="771">
        <f t="shared" si="1"/>
        <v>0</v>
      </c>
      <c r="V8" s="770" t="s">
        <v>17</v>
      </c>
      <c r="W8" s="771">
        <f t="shared" si="2"/>
        <v>0</v>
      </c>
      <c r="X8" s="772"/>
      <c r="Y8" s="3308" t="s">
        <v>2546</v>
      </c>
      <c r="Z8" s="3309"/>
      <c r="AA8" s="773" t="e">
        <f t="shared" ref="AA8:AA40" si="3">D8/F8</f>
        <v>#DIV/0!</v>
      </c>
      <c r="AB8" s="773" t="e">
        <f t="shared" ref="AB8:AB40" si="4">D8/H8</f>
        <v>#DIV/0!</v>
      </c>
      <c r="AC8" s="773" t="e">
        <f t="shared" ref="AC8:AC40" si="5">D8/J8</f>
        <v>#DIV/0!</v>
      </c>
    </row>
    <row r="9" spans="1:29" s="117" customFormat="1">
      <c r="A9" s="415" t="s">
        <v>2547</v>
      </c>
      <c r="B9" s="71" t="s">
        <v>2548</v>
      </c>
      <c r="C9" s="2699"/>
      <c r="D9" s="135">
        <v>100</v>
      </c>
      <c r="E9" s="2699"/>
      <c r="F9" s="135">
        <f>SUMIF(70:70,E9,71:71)-SUMIF(70:70,C9,71:71)+100</f>
        <v>100</v>
      </c>
      <c r="G9" s="2699"/>
      <c r="H9" s="135">
        <f>SUMIF(70:70,G9,71:71)-SUMIF(70:70,C9,71:71)+100</f>
        <v>100</v>
      </c>
      <c r="I9" s="2699"/>
      <c r="J9" s="135">
        <f>SUMIF(70:70,I9,71:71)-SUMIF(70:70,C9,71:71)+100</f>
        <v>100</v>
      </c>
      <c r="K9" s="611"/>
      <c r="L9" s="1134"/>
      <c r="M9" s="1135"/>
      <c r="N9" s="1135"/>
      <c r="O9" s="1136"/>
      <c r="P9" s="3346" t="s">
        <v>2549</v>
      </c>
      <c r="Q9" s="1797" t="str">
        <f t="shared" ref="Q9:Q15" si="6">B9</f>
        <v>用途</v>
      </c>
      <c r="R9" s="770" t="s">
        <v>17</v>
      </c>
      <c r="S9" s="771">
        <f t="shared" si="0"/>
        <v>100</v>
      </c>
      <c r="T9" s="770" t="s">
        <v>17</v>
      </c>
      <c r="U9" s="771">
        <f t="shared" si="1"/>
        <v>100</v>
      </c>
      <c r="V9" s="770" t="s">
        <v>17</v>
      </c>
      <c r="W9" s="771">
        <f t="shared" si="2"/>
        <v>100</v>
      </c>
      <c r="X9" s="772"/>
      <c r="Y9" s="3160"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101</v>
      </c>
      <c r="G10" s="432"/>
      <c r="H10" s="136">
        <f>ROUND(100/'数据-取费表'!G16,0)</f>
        <v>101</v>
      </c>
      <c r="I10" s="432"/>
      <c r="J10" s="136">
        <f>ROUND(100/'数据-取费表'!G16,0)</f>
        <v>101</v>
      </c>
      <c r="K10" s="672"/>
      <c r="L10" s="1137"/>
      <c r="M10" s="1138"/>
      <c r="N10" s="1138"/>
      <c r="O10" s="1139"/>
      <c r="P10" s="3346"/>
      <c r="Q10" s="1797" t="str">
        <f t="shared" si="6"/>
        <v>土地使用年限（年）</v>
      </c>
      <c r="R10" s="770" t="s">
        <v>17</v>
      </c>
      <c r="S10" s="771">
        <f t="shared" si="0"/>
        <v>101</v>
      </c>
      <c r="T10" s="770" t="s">
        <v>17</v>
      </c>
      <c r="U10" s="771">
        <f t="shared" si="1"/>
        <v>101</v>
      </c>
      <c r="V10" s="770" t="s">
        <v>17</v>
      </c>
      <c r="W10" s="771">
        <f t="shared" si="2"/>
        <v>101</v>
      </c>
      <c r="X10" s="772"/>
      <c r="Y10" s="3160"/>
      <c r="Z10" s="55" t="str">
        <f t="shared" si="7"/>
        <v>土地使用年限（年）</v>
      </c>
      <c r="AA10" s="773">
        <f t="shared" si="3"/>
        <v>0.99009900990099009</v>
      </c>
      <c r="AB10" s="773">
        <f t="shared" si="4"/>
        <v>0.99009900990099009</v>
      </c>
      <c r="AC10" s="773">
        <f t="shared" si="5"/>
        <v>0.99009900990099009</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346"/>
      <c r="Q11" s="1797" t="str">
        <f t="shared" si="6"/>
        <v>容积率</v>
      </c>
      <c r="R11" s="770" t="s">
        <v>17</v>
      </c>
      <c r="S11" s="771" t="e">
        <f t="shared" si="0"/>
        <v>#N/A</v>
      </c>
      <c r="T11" s="770" t="s">
        <v>17</v>
      </c>
      <c r="U11" s="771" t="e">
        <f t="shared" si="1"/>
        <v>#N/A</v>
      </c>
      <c r="V11" s="770" t="s">
        <v>17</v>
      </c>
      <c r="W11" s="771" t="e">
        <f t="shared" si="2"/>
        <v>#N/A</v>
      </c>
      <c r="X11" s="772"/>
      <c r="Y11" s="3160"/>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346"/>
      <c r="Q12" s="1797">
        <f t="shared" si="6"/>
        <v>111</v>
      </c>
      <c r="R12" s="770" t="s">
        <v>17</v>
      </c>
      <c r="S12" s="771">
        <f t="shared" si="0"/>
        <v>100</v>
      </c>
      <c r="T12" s="770" t="s">
        <v>17</v>
      </c>
      <c r="U12" s="771">
        <f t="shared" si="1"/>
        <v>100</v>
      </c>
      <c r="V12" s="770" t="s">
        <v>17</v>
      </c>
      <c r="W12" s="771">
        <f t="shared" si="2"/>
        <v>100</v>
      </c>
      <c r="X12" s="772"/>
      <c r="Y12" s="3160"/>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346"/>
      <c r="Q13" s="1797">
        <f t="shared" si="6"/>
        <v>111</v>
      </c>
      <c r="R13" s="770" t="s">
        <v>17</v>
      </c>
      <c r="S13" s="771">
        <f t="shared" si="0"/>
        <v>100</v>
      </c>
      <c r="T13" s="770" t="s">
        <v>17</v>
      </c>
      <c r="U13" s="771">
        <f t="shared" si="1"/>
        <v>100</v>
      </c>
      <c r="V13" s="770" t="s">
        <v>17</v>
      </c>
      <c r="W13" s="771">
        <f t="shared" si="2"/>
        <v>100</v>
      </c>
      <c r="X13" s="772"/>
      <c r="Y13" s="3160"/>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346"/>
      <c r="Q14" s="1797">
        <f t="shared" si="6"/>
        <v>111</v>
      </c>
      <c r="R14" s="770" t="s">
        <v>17</v>
      </c>
      <c r="S14" s="771">
        <f t="shared" si="0"/>
        <v>100</v>
      </c>
      <c r="T14" s="770" t="s">
        <v>17</v>
      </c>
      <c r="U14" s="771">
        <f t="shared" si="1"/>
        <v>100</v>
      </c>
      <c r="V14" s="770" t="s">
        <v>17</v>
      </c>
      <c r="W14" s="771">
        <f t="shared" si="2"/>
        <v>100</v>
      </c>
      <c r="X14" s="772"/>
      <c r="Y14" s="3160"/>
      <c r="Z14" s="55">
        <f t="shared" si="7"/>
        <v>111</v>
      </c>
      <c r="AA14" s="773">
        <f t="shared" si="3"/>
        <v>1</v>
      </c>
      <c r="AB14" s="773">
        <f t="shared" si="4"/>
        <v>1</v>
      </c>
      <c r="AC14" s="773">
        <f t="shared" si="5"/>
        <v>1</v>
      </c>
    </row>
    <row r="15" spans="1:29" ht="57">
      <c r="A15" s="440" t="s">
        <v>2553</v>
      </c>
      <c r="B15" s="629" t="s">
        <v>2792</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348" t="s">
        <v>2554</v>
      </c>
      <c r="Q15" s="1812" t="str">
        <f t="shared" si="6"/>
        <v>产业集聚程度</v>
      </c>
      <c r="R15" s="774" t="s">
        <v>17</v>
      </c>
      <c r="S15" s="775">
        <f t="shared" si="0"/>
        <v>100</v>
      </c>
      <c r="T15" s="774" t="s">
        <v>17</v>
      </c>
      <c r="U15" s="775">
        <f t="shared" si="1"/>
        <v>100</v>
      </c>
      <c r="V15" s="774" t="s">
        <v>17</v>
      </c>
      <c r="W15" s="775">
        <f t="shared" si="2"/>
        <v>100</v>
      </c>
      <c r="X15" s="1815"/>
      <c r="Y15" s="3348" t="s">
        <v>2554</v>
      </c>
      <c r="Z15" s="1816" t="str">
        <f t="shared" si="7"/>
        <v>产业集聚程度</v>
      </c>
      <c r="AA15" s="1813">
        <f t="shared" si="3"/>
        <v>1</v>
      </c>
      <c r="AB15" s="1813">
        <f t="shared" si="4"/>
        <v>1</v>
      </c>
      <c r="AC15" s="1813">
        <f t="shared" si="5"/>
        <v>1</v>
      </c>
    </row>
    <row r="16" spans="1:29" ht="15">
      <c r="A16" s="428"/>
      <c r="B16" s="630"/>
      <c r="C16" s="447"/>
      <c r="D16" s="448"/>
      <c r="E16" s="2612"/>
      <c r="F16" s="448"/>
      <c r="G16" s="2612"/>
      <c r="H16" s="450"/>
      <c r="I16" s="2612"/>
      <c r="J16" s="448"/>
      <c r="K16" s="672"/>
      <c r="L16" s="1142"/>
      <c r="M16" s="1133"/>
      <c r="N16" s="1133"/>
      <c r="O16" s="1141"/>
      <c r="P16" s="3349"/>
      <c r="Q16" s="1812"/>
      <c r="R16" s="774"/>
      <c r="S16" s="775"/>
      <c r="T16" s="774"/>
      <c r="U16" s="775"/>
      <c r="V16" s="774"/>
      <c r="W16" s="775"/>
      <c r="X16" s="1815"/>
      <c r="Y16" s="3349"/>
      <c r="Z16" s="1816"/>
      <c r="AA16" s="1813">
        <v>1</v>
      </c>
      <c r="AB16" s="1813">
        <v>1</v>
      </c>
      <c r="AC16" s="1813">
        <v>1</v>
      </c>
    </row>
    <row r="17" spans="1:29" ht="85.5">
      <c r="A17" s="428"/>
      <c r="B17" s="631" t="s">
        <v>2703</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349"/>
      <c r="Q17" s="1812" t="str">
        <f>B17</f>
        <v>交通便捷度</v>
      </c>
      <c r="R17" s="774" t="s">
        <v>17</v>
      </c>
      <c r="S17" s="775">
        <f>F17</f>
        <v>100</v>
      </c>
      <c r="T17" s="774" t="s">
        <v>17</v>
      </c>
      <c r="U17" s="775">
        <f>H17</f>
        <v>100</v>
      </c>
      <c r="V17" s="774" t="s">
        <v>17</v>
      </c>
      <c r="W17" s="775">
        <f>J17</f>
        <v>100</v>
      </c>
      <c r="X17" s="1815"/>
      <c r="Y17" s="3349"/>
      <c r="Z17" s="1816" t="str">
        <f>Q17</f>
        <v>交通便捷度</v>
      </c>
      <c r="AA17" s="1813">
        <f t="shared" si="3"/>
        <v>1</v>
      </c>
      <c r="AB17" s="1813">
        <f t="shared" si="4"/>
        <v>1</v>
      </c>
      <c r="AC17" s="1813">
        <f t="shared" si="5"/>
        <v>1</v>
      </c>
    </row>
    <row r="18" spans="1:29" ht="15">
      <c r="A18" s="428"/>
      <c r="B18" s="632"/>
      <c r="C18" s="447"/>
      <c r="D18" s="448"/>
      <c r="E18" s="2606"/>
      <c r="F18" s="448"/>
      <c r="G18" s="2606"/>
      <c r="H18" s="448"/>
      <c r="I18" s="2605"/>
      <c r="J18" s="448"/>
      <c r="K18" s="672"/>
      <c r="L18" s="1142"/>
      <c r="M18" s="1133"/>
      <c r="N18" s="1133"/>
      <c r="O18" s="1141"/>
      <c r="P18" s="3349"/>
      <c r="Q18" s="1812"/>
      <c r="R18" s="774"/>
      <c r="S18" s="775"/>
      <c r="T18" s="774"/>
      <c r="U18" s="775"/>
      <c r="V18" s="774"/>
      <c r="W18" s="775"/>
      <c r="X18" s="1815"/>
      <c r="Y18" s="3349"/>
      <c r="Z18" s="1816"/>
      <c r="AA18" s="1813">
        <v>1</v>
      </c>
      <c r="AB18" s="1813">
        <v>1</v>
      </c>
      <c r="AC18" s="1813">
        <v>1</v>
      </c>
    </row>
    <row r="19" spans="1:29" ht="15">
      <c r="A19" s="428"/>
      <c r="B19" s="631" t="s">
        <v>2742</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349"/>
      <c r="Q19" s="1812" t="str">
        <f t="shared" ref="Q19:Q33" si="8">B19</f>
        <v>区域土地利用方向</v>
      </c>
      <c r="R19" s="774" t="s">
        <v>17</v>
      </c>
      <c r="S19" s="775">
        <f>F19</f>
        <v>100</v>
      </c>
      <c r="T19" s="774" t="s">
        <v>17</v>
      </c>
      <c r="U19" s="775">
        <f>H19</f>
        <v>100</v>
      </c>
      <c r="V19" s="774" t="s">
        <v>17</v>
      </c>
      <c r="W19" s="775">
        <f>J19</f>
        <v>100</v>
      </c>
      <c r="X19" s="1815"/>
      <c r="Y19" s="3349"/>
      <c r="Z19" s="1816" t="str">
        <f>Q19</f>
        <v>区域土地利用方向</v>
      </c>
      <c r="AA19" s="1813">
        <f t="shared" si="3"/>
        <v>1</v>
      </c>
      <c r="AB19" s="1813">
        <f t="shared" si="4"/>
        <v>1</v>
      </c>
      <c r="AC19" s="1813">
        <f t="shared" si="5"/>
        <v>1</v>
      </c>
    </row>
    <row r="20" spans="1:29" ht="15">
      <c r="A20" s="404"/>
      <c r="B20" s="632"/>
      <c r="C20" s="447"/>
      <c r="D20" s="448"/>
      <c r="E20" s="2606"/>
      <c r="F20" s="448"/>
      <c r="G20" s="2606"/>
      <c r="H20" s="448"/>
      <c r="I20" s="2606"/>
      <c r="J20" s="448"/>
      <c r="K20" s="811"/>
      <c r="L20" s="1142"/>
      <c r="M20" s="1133"/>
      <c r="N20" s="1133"/>
      <c r="O20" s="1141"/>
      <c r="P20" s="3349"/>
      <c r="Q20" s="1812"/>
      <c r="R20" s="774"/>
      <c r="S20" s="775"/>
      <c r="T20" s="774"/>
      <c r="U20" s="775"/>
      <c r="V20" s="774"/>
      <c r="W20" s="775"/>
      <c r="X20" s="1815"/>
      <c r="Y20" s="3349"/>
      <c r="Z20" s="1816"/>
      <c r="AA20" s="1813"/>
      <c r="AB20" s="1813"/>
      <c r="AC20" s="1813"/>
    </row>
    <row r="21" spans="1:29" ht="71.25">
      <c r="A21" s="404"/>
      <c r="B21" s="631" t="s">
        <v>2793</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349"/>
      <c r="Q21" s="1812" t="str">
        <f t="shared" si="8"/>
        <v>环境状况</v>
      </c>
      <c r="R21" s="774" t="s">
        <v>17</v>
      </c>
      <c r="S21" s="775">
        <f>F21</f>
        <v>100</v>
      </c>
      <c r="T21" s="774" t="s">
        <v>17</v>
      </c>
      <c r="U21" s="775">
        <f>H21</f>
        <v>100</v>
      </c>
      <c r="V21" s="774" t="s">
        <v>17</v>
      </c>
      <c r="W21" s="775">
        <f>J21</f>
        <v>100</v>
      </c>
      <c r="X21" s="1815"/>
      <c r="Y21" s="3349"/>
      <c r="Z21" s="1816" t="str">
        <f>Q21</f>
        <v>环境状况</v>
      </c>
      <c r="AA21" s="1813">
        <f t="shared" si="3"/>
        <v>1</v>
      </c>
      <c r="AB21" s="1813">
        <f t="shared" si="4"/>
        <v>1</v>
      </c>
      <c r="AC21" s="1813">
        <f t="shared" si="5"/>
        <v>1</v>
      </c>
    </row>
    <row r="22" spans="1:29" ht="15">
      <c r="A22" s="404"/>
      <c r="B22" s="632"/>
      <c r="C22" s="447"/>
      <c r="D22" s="448"/>
      <c r="E22" s="2612"/>
      <c r="F22" s="448"/>
      <c r="G22" s="2612"/>
      <c r="H22" s="448"/>
      <c r="I22" s="447"/>
      <c r="J22" s="448"/>
      <c r="K22" s="672"/>
      <c r="L22" s="1142"/>
      <c r="M22" s="1133"/>
      <c r="N22" s="1133"/>
      <c r="O22" s="1141"/>
      <c r="P22" s="3349"/>
      <c r="Q22" s="1812"/>
      <c r="R22" s="774"/>
      <c r="S22" s="775"/>
      <c r="T22" s="774"/>
      <c r="U22" s="775"/>
      <c r="V22" s="774"/>
      <c r="W22" s="775"/>
      <c r="X22" s="1815"/>
      <c r="Y22" s="3349"/>
      <c r="Z22" s="1816"/>
      <c r="AA22" s="1813">
        <v>1</v>
      </c>
      <c r="AB22" s="1813">
        <v>1</v>
      </c>
      <c r="AC22" s="1813">
        <v>1</v>
      </c>
    </row>
    <row r="23" spans="1:29" s="117" customFormat="1" ht="42.75">
      <c r="A23" s="649"/>
      <c r="B23" s="633" t="s">
        <v>2648</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349"/>
      <c r="Q23" s="1797" t="str">
        <f t="shared" si="8"/>
        <v>公共配套设施</v>
      </c>
      <c r="R23" s="770" t="s">
        <v>17</v>
      </c>
      <c r="S23" s="771">
        <f>F23</f>
        <v>100</v>
      </c>
      <c r="T23" s="770" t="s">
        <v>17</v>
      </c>
      <c r="U23" s="771">
        <f>H23</f>
        <v>100</v>
      </c>
      <c r="V23" s="770" t="s">
        <v>17</v>
      </c>
      <c r="W23" s="771">
        <f>J23</f>
        <v>100</v>
      </c>
      <c r="X23" s="772"/>
      <c r="Y23" s="3349"/>
      <c r="Z23" s="55" t="str">
        <f>Q23</f>
        <v>公共配套设施</v>
      </c>
      <c r="AA23" s="1813">
        <f>D23/F23</f>
        <v>1</v>
      </c>
      <c r="AB23" s="1813">
        <f>D23/H23</f>
        <v>1</v>
      </c>
      <c r="AC23" s="1813">
        <f>D23/J23</f>
        <v>1</v>
      </c>
    </row>
    <row r="24" spans="1:29" s="117" customFormat="1" ht="15">
      <c r="A24" s="649"/>
      <c r="B24" s="632"/>
      <c r="C24" s="2700"/>
      <c r="D24" s="448"/>
      <c r="E24" s="2612"/>
      <c r="F24" s="448"/>
      <c r="G24" s="2612"/>
      <c r="H24" s="448"/>
      <c r="I24" s="447"/>
      <c r="J24" s="448"/>
      <c r="K24" s="672"/>
      <c r="L24" s="1134"/>
      <c r="M24" s="1135"/>
      <c r="N24" s="1135"/>
      <c r="O24" s="1136"/>
      <c r="P24" s="3349"/>
      <c r="Q24" s="1797"/>
      <c r="R24" s="770"/>
      <c r="S24" s="771"/>
      <c r="T24" s="770"/>
      <c r="U24" s="771"/>
      <c r="V24" s="770"/>
      <c r="W24" s="771"/>
      <c r="X24" s="772"/>
      <c r="Y24" s="3349"/>
      <c r="Z24" s="55"/>
      <c r="AA24" s="773">
        <v>1</v>
      </c>
      <c r="AB24" s="773">
        <v>1</v>
      </c>
      <c r="AC24" s="773">
        <v>1</v>
      </c>
    </row>
    <row r="25" spans="1:29" s="117" customFormat="1" ht="28.5">
      <c r="A25" s="649"/>
      <c r="B25" s="633" t="s">
        <v>2649</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349"/>
      <c r="Q25" s="1797" t="str">
        <f t="shared" ref="Q25" si="9">B25</f>
        <v>基础设施水平</v>
      </c>
      <c r="R25" s="770" t="s">
        <v>17</v>
      </c>
      <c r="S25" s="771">
        <f>F25</f>
        <v>100</v>
      </c>
      <c r="T25" s="770" t="s">
        <v>17</v>
      </c>
      <c r="U25" s="771">
        <f>H25</f>
        <v>100</v>
      </c>
      <c r="V25" s="770" t="s">
        <v>17</v>
      </c>
      <c r="W25" s="771">
        <f>J25</f>
        <v>100</v>
      </c>
      <c r="X25" s="772"/>
      <c r="Y25" s="3349"/>
      <c r="Z25" s="55" t="str">
        <f>Q25</f>
        <v>基础设施水平</v>
      </c>
      <c r="AA25" s="1813">
        <f>D25/F25</f>
        <v>1</v>
      </c>
      <c r="AB25" s="1813">
        <f>D25/H25</f>
        <v>1</v>
      </c>
      <c r="AC25" s="1813">
        <f>D25/J25</f>
        <v>1</v>
      </c>
    </row>
    <row r="26" spans="1:29" s="117" customFormat="1" ht="15">
      <c r="A26" s="649"/>
      <c r="B26" s="632"/>
      <c r="C26" s="2700"/>
      <c r="D26" s="448"/>
      <c r="E26" s="2701"/>
      <c r="F26" s="448"/>
      <c r="G26" s="2701"/>
      <c r="H26" s="448"/>
      <c r="I26" s="2701"/>
      <c r="J26" s="448"/>
      <c r="K26" s="672"/>
      <c r="L26" s="1134"/>
      <c r="M26" s="1135"/>
      <c r="N26" s="1135"/>
      <c r="O26" s="1136"/>
      <c r="P26" s="3349"/>
      <c r="Q26" s="1797"/>
      <c r="R26" s="770"/>
      <c r="S26" s="771"/>
      <c r="T26" s="770"/>
      <c r="U26" s="771"/>
      <c r="V26" s="770"/>
      <c r="W26" s="771"/>
      <c r="X26" s="772"/>
      <c r="Y26" s="3349"/>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349"/>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349"/>
      <c r="Z27" s="1816" t="str">
        <f t="shared" ref="Z27:Z40" si="13">Q27</f>
        <v>临街状况</v>
      </c>
      <c r="AA27" s="1813">
        <f t="shared" si="3"/>
        <v>1</v>
      </c>
      <c r="AB27" s="1813">
        <f t="shared" si="4"/>
        <v>1</v>
      </c>
      <c r="AC27" s="1813">
        <f t="shared" si="5"/>
        <v>1</v>
      </c>
    </row>
    <row r="28" spans="1:29" ht="27">
      <c r="A28" s="428"/>
      <c r="B28" s="633" t="s">
        <v>2685</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349"/>
      <c r="Q28" s="1812" t="str">
        <f t="shared" si="8"/>
        <v>毗邻道路的类型与等级</v>
      </c>
      <c r="R28" s="774" t="s">
        <v>17</v>
      </c>
      <c r="S28" s="775">
        <f t="shared" si="10"/>
        <v>100</v>
      </c>
      <c r="T28" s="774" t="s">
        <v>17</v>
      </c>
      <c r="U28" s="775">
        <f t="shared" si="11"/>
        <v>100</v>
      </c>
      <c r="V28" s="774" t="s">
        <v>17</v>
      </c>
      <c r="W28" s="775">
        <f t="shared" si="12"/>
        <v>100</v>
      </c>
      <c r="X28" s="1815"/>
      <c r="Y28" s="3349"/>
      <c r="Z28" s="1816" t="str">
        <f t="shared" si="13"/>
        <v>毗邻道路的类型与等级</v>
      </c>
      <c r="AA28" s="1813">
        <f t="shared" si="3"/>
        <v>1</v>
      </c>
      <c r="AB28" s="1813">
        <f t="shared" si="4"/>
        <v>1</v>
      </c>
      <c r="AC28" s="1813">
        <f t="shared" si="5"/>
        <v>1</v>
      </c>
    </row>
    <row r="29" spans="1:29" ht="15">
      <c r="A29" s="428"/>
      <c r="B29" s="632"/>
      <c r="C29" s="447"/>
      <c r="D29" s="448"/>
      <c r="E29" s="2612"/>
      <c r="F29" s="448"/>
      <c r="G29" s="2612"/>
      <c r="H29" s="448"/>
      <c r="I29" s="2612"/>
      <c r="J29" s="448"/>
      <c r="K29" s="613"/>
      <c r="L29" s="1142"/>
      <c r="M29" s="1133"/>
      <c r="N29" s="1133"/>
      <c r="O29" s="1141"/>
      <c r="P29" s="3349"/>
      <c r="Q29" s="1812"/>
      <c r="R29" s="774"/>
      <c r="S29" s="775"/>
      <c r="T29" s="774"/>
      <c r="U29" s="775"/>
      <c r="V29" s="774"/>
      <c r="W29" s="775"/>
      <c r="X29" s="1815"/>
      <c r="Y29" s="3349"/>
      <c r="Z29" s="1816"/>
      <c r="AA29" s="1813">
        <v>1</v>
      </c>
      <c r="AB29" s="1813">
        <v>1</v>
      </c>
      <c r="AC29" s="1813">
        <v>1</v>
      </c>
    </row>
    <row r="30" spans="1:29" ht="15">
      <c r="A30" s="428"/>
      <c r="B30" s="654" t="s">
        <v>2744</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349"/>
      <c r="Q30" s="1812" t="str">
        <f t="shared" si="8"/>
        <v>土地级别</v>
      </c>
      <c r="R30" s="774" t="s">
        <v>17</v>
      </c>
      <c r="S30" s="775">
        <f t="shared" si="10"/>
        <v>100</v>
      </c>
      <c r="T30" s="774" t="s">
        <v>17</v>
      </c>
      <c r="U30" s="775">
        <f t="shared" si="11"/>
        <v>100</v>
      </c>
      <c r="V30" s="774" t="s">
        <v>17</v>
      </c>
      <c r="W30" s="775">
        <f t="shared" si="12"/>
        <v>100</v>
      </c>
      <c r="X30" s="1815"/>
      <c r="Y30" s="3349"/>
      <c r="Z30" s="1816" t="str">
        <f t="shared" si="13"/>
        <v>土地级别</v>
      </c>
      <c r="AA30" s="1813">
        <f t="shared" si="3"/>
        <v>1</v>
      </c>
      <c r="AB30" s="1813">
        <f t="shared" si="4"/>
        <v>1</v>
      </c>
      <c r="AC30" s="1813">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349"/>
      <c r="Q31" s="1812">
        <f t="shared" si="8"/>
        <v>111</v>
      </c>
      <c r="R31" s="774" t="s">
        <v>17</v>
      </c>
      <c r="S31" s="775">
        <f t="shared" si="10"/>
        <v>100</v>
      </c>
      <c r="T31" s="774" t="s">
        <v>17</v>
      </c>
      <c r="U31" s="775">
        <f t="shared" si="11"/>
        <v>100</v>
      </c>
      <c r="V31" s="774" t="s">
        <v>17</v>
      </c>
      <c r="W31" s="775">
        <f t="shared" si="12"/>
        <v>100</v>
      </c>
      <c r="X31" s="1815"/>
      <c r="Y31" s="3349"/>
      <c r="Z31" s="1816">
        <f t="shared" si="13"/>
        <v>111</v>
      </c>
      <c r="AA31" s="1813">
        <f t="shared" si="3"/>
        <v>1</v>
      </c>
      <c r="AB31" s="1813">
        <f t="shared" si="4"/>
        <v>1</v>
      </c>
      <c r="AC31" s="1813">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401" t="s">
        <v>2559</v>
      </c>
      <c r="Q32" s="1812">
        <f t="shared" si="8"/>
        <v>111</v>
      </c>
      <c r="R32" s="774" t="s">
        <v>17</v>
      </c>
      <c r="S32" s="775">
        <f t="shared" si="10"/>
        <v>100</v>
      </c>
      <c r="T32" s="774" t="s">
        <v>17</v>
      </c>
      <c r="U32" s="775">
        <f t="shared" si="11"/>
        <v>100</v>
      </c>
      <c r="V32" s="774" t="s">
        <v>17</v>
      </c>
      <c r="W32" s="775">
        <f t="shared" si="12"/>
        <v>100</v>
      </c>
      <c r="X32" s="1815"/>
      <c r="Y32" s="3353" t="s">
        <v>2559</v>
      </c>
      <c r="Z32" s="1816">
        <f t="shared" si="13"/>
        <v>111</v>
      </c>
      <c r="AA32" s="1813">
        <f t="shared" si="3"/>
        <v>1</v>
      </c>
      <c r="AB32" s="1813">
        <f t="shared" si="4"/>
        <v>1</v>
      </c>
      <c r="AC32" s="1813">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353"/>
      <c r="Q33" s="1812">
        <f t="shared" si="8"/>
        <v>111</v>
      </c>
      <c r="R33" s="777" t="s">
        <v>17</v>
      </c>
      <c r="S33" s="778">
        <f t="shared" si="10"/>
        <v>100</v>
      </c>
      <c r="T33" s="777" t="s">
        <v>17</v>
      </c>
      <c r="U33" s="778">
        <f t="shared" si="11"/>
        <v>100</v>
      </c>
      <c r="V33" s="777" t="s">
        <v>17</v>
      </c>
      <c r="W33" s="778">
        <f t="shared" si="12"/>
        <v>100</v>
      </c>
      <c r="X33" s="779"/>
      <c r="Y33" s="3353"/>
      <c r="Z33" s="780">
        <f t="shared" si="13"/>
        <v>111</v>
      </c>
      <c r="AA33" s="1813">
        <f t="shared" si="3"/>
        <v>1</v>
      </c>
      <c r="AB33" s="1813">
        <f t="shared" si="4"/>
        <v>1</v>
      </c>
      <c r="AC33" s="1813">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353"/>
      <c r="Q34" s="1812" t="str">
        <f>B34</f>
        <v>宗地面积</v>
      </c>
      <c r="R34" s="774" t="s">
        <v>17</v>
      </c>
      <c r="S34" s="775" t="e">
        <f t="shared" si="10"/>
        <v>#N/A</v>
      </c>
      <c r="T34" s="774" t="s">
        <v>17</v>
      </c>
      <c r="U34" s="775" t="e">
        <f t="shared" si="11"/>
        <v>#N/A</v>
      </c>
      <c r="V34" s="774" t="s">
        <v>17</v>
      </c>
      <c r="W34" s="775" t="e">
        <f t="shared" si="12"/>
        <v>#N/A</v>
      </c>
      <c r="X34" s="1815"/>
      <c r="Y34" s="3353"/>
      <c r="Z34" s="1816" t="str">
        <f t="shared" si="13"/>
        <v>宗地面积</v>
      </c>
      <c r="AA34" s="1813" t="e">
        <f t="shared" si="3"/>
        <v>#N/A</v>
      </c>
      <c r="AB34" s="1813" t="e">
        <f t="shared" si="4"/>
        <v>#N/A</v>
      </c>
      <c r="AC34" s="1813" t="e">
        <f t="shared" si="5"/>
        <v>#N/A</v>
      </c>
    </row>
    <row r="35" spans="1:29" ht="15">
      <c r="A35" s="472"/>
      <c r="B35" s="422" t="s">
        <v>2746</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2"/>
      <c r="M35" s="1133"/>
      <c r="N35" s="1133"/>
      <c r="O35" s="1141"/>
      <c r="P35" s="3353"/>
      <c r="Q35" s="1812" t="str">
        <f t="shared" ref="Q35:Q40" si="14">B35</f>
        <v>宗地形状</v>
      </c>
      <c r="R35" s="774" t="s">
        <v>17</v>
      </c>
      <c r="S35" s="775">
        <f t="shared" si="10"/>
        <v>100</v>
      </c>
      <c r="T35" s="774" t="s">
        <v>17</v>
      </c>
      <c r="U35" s="775">
        <f t="shared" si="11"/>
        <v>100</v>
      </c>
      <c r="V35" s="774" t="s">
        <v>17</v>
      </c>
      <c r="W35" s="775">
        <f t="shared" si="12"/>
        <v>100</v>
      </c>
      <c r="X35" s="1815"/>
      <c r="Y35" s="3353"/>
      <c r="Z35" s="1816" t="str">
        <f t="shared" si="13"/>
        <v>宗地形状</v>
      </c>
      <c r="AA35" s="1813">
        <f t="shared" si="3"/>
        <v>1</v>
      </c>
      <c r="AB35" s="1813">
        <f t="shared" si="4"/>
        <v>1</v>
      </c>
      <c r="AC35" s="1813">
        <f t="shared" si="5"/>
        <v>1</v>
      </c>
    </row>
    <row r="36" spans="1:29" s="117" customFormat="1" ht="15">
      <c r="A36" s="473"/>
      <c r="B36" s="422" t="s">
        <v>2748</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4"/>
      <c r="M36" s="1135"/>
      <c r="N36" s="1135"/>
      <c r="O36" s="1136"/>
      <c r="P36" s="3353"/>
      <c r="Q36" s="1812" t="str">
        <f t="shared" si="14"/>
        <v>宗地开发程度</v>
      </c>
      <c r="R36" s="770" t="s">
        <v>17</v>
      </c>
      <c r="S36" s="771">
        <f t="shared" si="10"/>
        <v>100</v>
      </c>
      <c r="T36" s="770" t="s">
        <v>17</v>
      </c>
      <c r="U36" s="771">
        <f t="shared" si="11"/>
        <v>100</v>
      </c>
      <c r="V36" s="770" t="s">
        <v>17</v>
      </c>
      <c r="W36" s="771">
        <f t="shared" si="12"/>
        <v>100</v>
      </c>
      <c r="X36" s="772"/>
      <c r="Y36" s="3353"/>
      <c r="Z36" s="55" t="str">
        <f t="shared" si="13"/>
        <v>宗地开发程度</v>
      </c>
      <c r="AA36" s="773">
        <f t="shared" si="3"/>
        <v>1</v>
      </c>
      <c r="AB36" s="773">
        <f t="shared" si="4"/>
        <v>1</v>
      </c>
      <c r="AC36" s="773">
        <f t="shared" si="5"/>
        <v>1</v>
      </c>
    </row>
    <row r="37" spans="1:29" ht="15">
      <c r="A37" s="472"/>
      <c r="B37" s="422" t="s">
        <v>2749</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2"/>
      <c r="M37" s="1133"/>
      <c r="N37" s="1133"/>
      <c r="O37" s="1141"/>
      <c r="P37" s="3353" t="s">
        <v>2559</v>
      </c>
      <c r="Q37" s="1812" t="str">
        <f t="shared" si="14"/>
        <v>工程地质条件</v>
      </c>
      <c r="R37" s="774" t="s">
        <v>17</v>
      </c>
      <c r="S37" s="775">
        <f t="shared" si="10"/>
        <v>100</v>
      </c>
      <c r="T37" s="774" t="s">
        <v>17</v>
      </c>
      <c r="U37" s="775">
        <f t="shared" si="11"/>
        <v>100</v>
      </c>
      <c r="V37" s="774" t="s">
        <v>17</v>
      </c>
      <c r="W37" s="775">
        <f t="shared" si="12"/>
        <v>100</v>
      </c>
      <c r="X37" s="1815"/>
      <c r="Y37" s="3353" t="s">
        <v>2559</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353"/>
      <c r="Q38" s="1812">
        <f t="shared" si="14"/>
        <v>111</v>
      </c>
      <c r="R38" s="774" t="s">
        <v>17</v>
      </c>
      <c r="S38" s="775">
        <f t="shared" si="10"/>
        <v>100</v>
      </c>
      <c r="T38" s="774" t="s">
        <v>17</v>
      </c>
      <c r="U38" s="775">
        <f t="shared" si="11"/>
        <v>100</v>
      </c>
      <c r="V38" s="774" t="s">
        <v>17</v>
      </c>
      <c r="W38" s="775">
        <f t="shared" si="12"/>
        <v>100</v>
      </c>
      <c r="X38" s="1815"/>
      <c r="Y38" s="3353"/>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353"/>
      <c r="Q39" s="1812">
        <f t="shared" si="14"/>
        <v>111</v>
      </c>
      <c r="R39" s="774" t="s">
        <v>17</v>
      </c>
      <c r="S39" s="775">
        <f t="shared" si="10"/>
        <v>100</v>
      </c>
      <c r="T39" s="774" t="s">
        <v>17</v>
      </c>
      <c r="U39" s="775">
        <f t="shared" si="11"/>
        <v>100</v>
      </c>
      <c r="V39" s="774" t="s">
        <v>17</v>
      </c>
      <c r="W39" s="775">
        <f t="shared" si="12"/>
        <v>100</v>
      </c>
      <c r="X39" s="1815"/>
      <c r="Y39" s="3353"/>
      <c r="Z39" s="1816">
        <f t="shared" si="13"/>
        <v>111</v>
      </c>
      <c r="AA39" s="1813">
        <f t="shared" si="3"/>
        <v>1</v>
      </c>
      <c r="AB39" s="1813">
        <f t="shared" si="4"/>
        <v>1</v>
      </c>
      <c r="AC39" s="1813">
        <f t="shared" si="5"/>
        <v>1</v>
      </c>
    </row>
    <row r="40" spans="1:29" s="471" customFormat="1" ht="15.75" thickBot="1">
      <c r="A40" s="468"/>
      <c r="B40" s="1389">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353"/>
      <c r="Q40" s="1812">
        <f t="shared" si="14"/>
        <v>111</v>
      </c>
      <c r="R40" s="777" t="s">
        <v>17</v>
      </c>
      <c r="S40" s="778">
        <f t="shared" si="10"/>
        <v>100</v>
      </c>
      <c r="T40" s="777" t="s">
        <v>17</v>
      </c>
      <c r="U40" s="778">
        <f t="shared" si="11"/>
        <v>100</v>
      </c>
      <c r="V40" s="777" t="s">
        <v>17</v>
      </c>
      <c r="W40" s="778">
        <f t="shared" si="12"/>
        <v>100</v>
      </c>
      <c r="X40" s="779"/>
      <c r="Y40" s="3353"/>
      <c r="Z40" s="780">
        <f t="shared" si="13"/>
        <v>111</v>
      </c>
      <c r="AA40" s="1813">
        <f t="shared" si="3"/>
        <v>1</v>
      </c>
      <c r="AB40" s="1813">
        <f t="shared" si="4"/>
        <v>1</v>
      </c>
      <c r="AC40" s="1813">
        <f t="shared" si="5"/>
        <v>1</v>
      </c>
    </row>
    <row r="41" spans="1:29" ht="15">
      <c r="A41" s="479" t="s">
        <v>2714</v>
      </c>
      <c r="B41" s="2704" t="s">
        <v>2794</v>
      </c>
      <c r="C41" s="682" t="s">
        <v>1</v>
      </c>
      <c r="D41" s="481"/>
      <c r="E41" s="482"/>
      <c r="F41" s="483"/>
      <c r="G41" s="484"/>
      <c r="H41" s="485"/>
      <c r="I41" s="482"/>
      <c r="J41" s="485"/>
      <c r="K41" s="783"/>
      <c r="L41" s="1145"/>
      <c r="M41" s="1133"/>
      <c r="N41" s="1133"/>
      <c r="O41" s="1146"/>
      <c r="P41" s="3346" t="str">
        <f>A41</f>
        <v>成交单价</v>
      </c>
      <c r="Q41" s="3346"/>
      <c r="R41" s="3339">
        <f>E41</f>
        <v>0</v>
      </c>
      <c r="S41" s="3339"/>
      <c r="T41" s="3339">
        <f>G41</f>
        <v>0</v>
      </c>
      <c r="U41" s="3339"/>
      <c r="V41" s="3339">
        <f>I41</f>
        <v>0</v>
      </c>
      <c r="W41" s="3339"/>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5"/>
      <c r="M42" s="1133"/>
      <c r="N42" s="1133"/>
      <c r="O42" s="1146"/>
      <c r="P42" s="3346" t="str">
        <f>A42</f>
        <v>比较价值（元/平方米）</v>
      </c>
      <c r="Q42" s="3346"/>
      <c r="R42" s="3402" t="e">
        <f>ROUND(PRODUCT(R41,AA7:AA40),0)</f>
        <v>#DIV/0!</v>
      </c>
      <c r="S42" s="3402"/>
      <c r="T42" s="3402" t="e">
        <f>ROUND(PRODUCT(T41,AB7:AB40),0)</f>
        <v>#DIV/0!</v>
      </c>
      <c r="U42" s="3402"/>
      <c r="V42" s="3402" t="e">
        <f>ROUND(PRODUCT(V41,AC7:AC40),0)</f>
        <v>#DIV/0!</v>
      </c>
      <c r="W42" s="3402"/>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5"/>
      <c r="M43" s="1133"/>
      <c r="N43" s="1133"/>
      <c r="O43" s="1146"/>
      <c r="P43" s="3343" t="str">
        <f>A43</f>
        <v>估价对象XX用房的比较价值（楼面单价，元/平方米）</v>
      </c>
      <c r="Q43" s="3344"/>
      <c r="R43" s="3403" t="e">
        <f>ROUND(AVERAGE(R42:V42),0)</f>
        <v>#DIV/0!</v>
      </c>
      <c r="S43" s="3403"/>
      <c r="T43" s="3403"/>
      <c r="U43" s="3403"/>
      <c r="V43" s="3403"/>
      <c r="W43" s="3403"/>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2752</v>
      </c>
      <c r="B50" s="685" t="s">
        <v>2753</v>
      </c>
      <c r="C50" s="2705" t="s">
        <v>2754</v>
      </c>
      <c r="D50" s="2706" t="s">
        <v>2755</v>
      </c>
      <c r="E50" s="686" t="s">
        <v>2756</v>
      </c>
      <c r="F50" s="687" t="s">
        <v>2757</v>
      </c>
      <c r="G50" s="3325" t="s">
        <v>2758</v>
      </c>
      <c r="H50" s="3404"/>
      <c r="I50" s="1816" t="s">
        <v>2795</v>
      </c>
      <c r="J50" s="1816" t="str">
        <f>项目基本情况!F35</f>
        <v>广东省深圳市</v>
      </c>
      <c r="K50" s="2708" t="s">
        <v>2760</v>
      </c>
      <c r="L50" s="1108"/>
      <c r="M50" s="1146"/>
      <c r="N50" s="1146"/>
      <c r="O50" s="1146"/>
    </row>
    <row r="51" spans="1:17" s="692" customFormat="1">
      <c r="A51" s="688" t="s">
        <v>2761</v>
      </c>
      <c r="B51" s="689" t="e">
        <f>C43</f>
        <v>#DIV/0!</v>
      </c>
      <c r="C51" s="690">
        <v>1</v>
      </c>
      <c r="D51" s="1165">
        <v>1</v>
      </c>
      <c r="E51" s="690">
        <f>'数据-汇总表'!E8+'数据-汇总表'!E9</f>
        <v>137390</v>
      </c>
      <c r="F51" s="691" t="e">
        <f t="shared" ref="F51:F60" si="15">ROUND(B51*E51/10000,0)</f>
        <v>#DIV/0!</v>
      </c>
      <c r="G51" s="3324"/>
      <c r="H51" s="3346"/>
      <c r="I51" s="944">
        <v>1</v>
      </c>
      <c r="J51" s="944">
        <v>1</v>
      </c>
      <c r="K51" s="1147"/>
      <c r="L51" s="943"/>
      <c r="M51" s="943"/>
      <c r="N51" s="943"/>
      <c r="O51" s="943"/>
    </row>
    <row r="52" spans="1:17" s="692" customFormat="1">
      <c r="A52" s="693" t="s">
        <v>2762</v>
      </c>
      <c r="B52" s="262" t="e">
        <f>ROUND($C$43*C52*D52,0)</f>
        <v>#DIV/0!</v>
      </c>
      <c r="C52" s="200">
        <f t="shared" ref="C52:C60" si="16">IF($C$50="北京市系数",I52,J52)</f>
        <v>0</v>
      </c>
      <c r="D52" s="1166">
        <v>0.25</v>
      </c>
      <c r="E52" s="694"/>
      <c r="F52" s="691" t="e">
        <f t="shared" si="15"/>
        <v>#DIV/0!</v>
      </c>
      <c r="G52" s="3405" t="s">
        <v>2763</v>
      </c>
      <c r="H52" s="1106">
        <f>项目基本情况!B37</f>
        <v>0</v>
      </c>
      <c r="I52" s="944">
        <f>SUMIF(修正!A45:A56,H52,修正!B45:B56)</f>
        <v>0</v>
      </c>
      <c r="J52" s="945"/>
      <c r="K52" s="1146"/>
      <c r="L52" s="943"/>
      <c r="M52" s="943"/>
      <c r="N52" s="943"/>
      <c r="O52" s="943"/>
    </row>
    <row r="53" spans="1:17" s="692" customFormat="1">
      <c r="A53" s="693" t="s">
        <v>2764</v>
      </c>
      <c r="B53" s="262" t="e">
        <f t="shared" ref="B53:B60" si="17">ROUND($C$43*C53*D53,0)</f>
        <v>#DIV/0!</v>
      </c>
      <c r="C53" s="200">
        <f t="shared" si="16"/>
        <v>0</v>
      </c>
      <c r="D53" s="1166">
        <v>0.25</v>
      </c>
      <c r="E53" s="694"/>
      <c r="F53" s="691" t="e">
        <f t="shared" si="15"/>
        <v>#DIV/0!</v>
      </c>
      <c r="G53" s="3405"/>
      <c r="H53" s="1106">
        <f>项目基本情况!B37</f>
        <v>0</v>
      </c>
      <c r="I53" s="944">
        <f>SUMIF(修正!A45:A56,H53,修正!C45:C56)</f>
        <v>0</v>
      </c>
      <c r="J53" s="945"/>
      <c r="K53" s="1147"/>
      <c r="L53" s="943"/>
      <c r="M53" s="943"/>
      <c r="N53" s="943"/>
      <c r="O53" s="943"/>
    </row>
    <row r="54" spans="1:17" s="692" customFormat="1">
      <c r="A54" s="693" t="s">
        <v>2765</v>
      </c>
      <c r="B54" s="262" t="e">
        <f t="shared" si="17"/>
        <v>#DIV/0!</v>
      </c>
      <c r="C54" s="200">
        <f t="shared" si="16"/>
        <v>0</v>
      </c>
      <c r="D54" s="1166">
        <v>0.25</v>
      </c>
      <c r="E54" s="694"/>
      <c r="F54" s="691" t="e">
        <f t="shared" si="15"/>
        <v>#DIV/0!</v>
      </c>
      <c r="G54" s="3405"/>
      <c r="H54" s="1106">
        <f>项目基本情况!B37</f>
        <v>0</v>
      </c>
      <c r="I54" s="944">
        <f>SUMIF(修正!A45:A56,H54,修正!D45:D56)</f>
        <v>0</v>
      </c>
      <c r="J54" s="945"/>
      <c r="K54" s="1146"/>
      <c r="L54" s="943"/>
      <c r="M54" s="943"/>
      <c r="N54" s="943"/>
      <c r="O54" s="943"/>
    </row>
    <row r="55" spans="1:17" s="692" customFormat="1">
      <c r="A55" s="693" t="s">
        <v>2766</v>
      </c>
      <c r="B55" s="262" t="e">
        <f t="shared" si="17"/>
        <v>#DIV/0!</v>
      </c>
      <c r="C55" s="200">
        <f t="shared" si="16"/>
        <v>0</v>
      </c>
      <c r="D55" s="1166">
        <v>0.25</v>
      </c>
      <c r="E55" s="694"/>
      <c r="F55" s="691" t="e">
        <f t="shared" si="15"/>
        <v>#DIV/0!</v>
      </c>
      <c r="G55" s="3405"/>
      <c r="H55" s="1106">
        <f>项目基本情况!B37</f>
        <v>0</v>
      </c>
      <c r="I55" s="944">
        <f>SUMIF(修正!A45:A56,H55,修正!E45:E56)</f>
        <v>0</v>
      </c>
      <c r="J55" s="945"/>
      <c r="K55" s="1147"/>
      <c r="L55" s="943"/>
      <c r="M55" s="943"/>
      <c r="N55" s="943"/>
      <c r="O55" s="943"/>
    </row>
    <row r="56" spans="1:17" s="692" customFormat="1">
      <c r="A56" s="693" t="s">
        <v>2767</v>
      </c>
      <c r="B56" s="262" t="e">
        <f t="shared" si="17"/>
        <v>#DIV/0!</v>
      </c>
      <c r="C56" s="200">
        <f t="shared" si="16"/>
        <v>0</v>
      </c>
      <c r="D56" s="1166">
        <v>0.25</v>
      </c>
      <c r="E56" s="261">
        <f>'数据-汇总表'!E11</f>
        <v>0</v>
      </c>
      <c r="F56" s="691" t="e">
        <f t="shared" si="15"/>
        <v>#DIV/0!</v>
      </c>
      <c r="G56" s="2709" t="s">
        <v>2768</v>
      </c>
      <c r="H56" s="1106">
        <f>项目基本情况!C37</f>
        <v>0</v>
      </c>
      <c r="I56" s="944">
        <f>SUMIF(修正!A45:A56,H56,修正!F45:F56)</f>
        <v>0</v>
      </c>
      <c r="J56" s="945"/>
      <c r="K56" s="1146"/>
      <c r="L56" s="943"/>
      <c r="M56" s="943"/>
      <c r="N56" s="943"/>
      <c r="O56" s="943"/>
    </row>
    <row r="57" spans="1:17" s="692" customFormat="1">
      <c r="A57" s="693" t="s">
        <v>2769</v>
      </c>
      <c r="B57" s="262" t="e">
        <f t="shared" si="17"/>
        <v>#DIV/0!</v>
      </c>
      <c r="C57" s="200">
        <f t="shared" si="16"/>
        <v>0</v>
      </c>
      <c r="D57" s="1166">
        <v>0.25</v>
      </c>
      <c r="E57" s="261">
        <f>'数据-汇总表'!E12</f>
        <v>0</v>
      </c>
      <c r="F57" s="691" t="e">
        <f t="shared" si="15"/>
        <v>#DIV/0!</v>
      </c>
      <c r="G57" s="1111" t="s">
        <v>2770</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2771</v>
      </c>
      <c r="B58" s="262" t="e">
        <f t="shared" si="17"/>
        <v>#DIV/0!</v>
      </c>
      <c r="C58" s="200">
        <f t="shared" si="16"/>
        <v>0</v>
      </c>
      <c r="D58" s="1166">
        <v>0.25</v>
      </c>
      <c r="E58" s="261">
        <f>'数据-汇总表'!E13</f>
        <v>0</v>
      </c>
      <c r="F58" s="691" t="e">
        <f t="shared" si="15"/>
        <v>#DIV/0!</v>
      </c>
      <c r="G58" s="1111" t="s">
        <v>2772</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2773</v>
      </c>
      <c r="B59" s="262" t="e">
        <f t="shared" si="17"/>
        <v>#DIV/0!</v>
      </c>
      <c r="C59" s="200">
        <f t="shared" si="16"/>
        <v>0</v>
      </c>
      <c r="D59" s="1166">
        <v>0.25</v>
      </c>
      <c r="E59" s="261">
        <f>'数据-汇总表'!E14</f>
        <v>0</v>
      </c>
      <c r="F59" s="691" t="e">
        <f t="shared" si="15"/>
        <v>#DIV/0!</v>
      </c>
      <c r="G59" s="2709" t="s">
        <v>2763</v>
      </c>
      <c r="H59" s="1106">
        <f>项目基本情况!B37</f>
        <v>0</v>
      </c>
      <c r="I59" s="944">
        <f>SUMIF(修正!A45:A56,H59,修正!H45:H56)</f>
        <v>0</v>
      </c>
      <c r="J59" s="945"/>
      <c r="K59" s="1147"/>
      <c r="L59" s="943"/>
      <c r="M59" s="943"/>
      <c r="N59" s="943"/>
      <c r="O59" s="943"/>
    </row>
    <row r="60" spans="1:17" s="692" customFormat="1" ht="15" thickBot="1">
      <c r="A60" s="693" t="s">
        <v>2774</v>
      </c>
      <c r="B60" s="262" t="e">
        <f t="shared" si="17"/>
        <v>#DIV/0!</v>
      </c>
      <c r="C60" s="200">
        <f t="shared" si="16"/>
        <v>0</v>
      </c>
      <c r="D60" s="1166">
        <v>0.25</v>
      </c>
      <c r="E60" s="261">
        <f>'数据-汇总表'!E15</f>
        <v>0</v>
      </c>
      <c r="F60" s="691" t="e">
        <f t="shared" si="15"/>
        <v>#DIV/0!</v>
      </c>
      <c r="G60" s="2710" t="s">
        <v>2768</v>
      </c>
      <c r="H60" s="1116">
        <f>项目基本情况!C37</f>
        <v>0</v>
      </c>
      <c r="I60" s="944">
        <f>SUMIF(修正!A45:A56,H60,修正!H45:H56)</f>
        <v>0</v>
      </c>
      <c r="J60" s="945"/>
      <c r="K60" s="1146"/>
      <c r="L60" s="943"/>
      <c r="M60" s="943"/>
      <c r="N60" s="943"/>
      <c r="O60" s="943"/>
    </row>
    <row r="61" spans="1:17" s="692" customFormat="1" ht="15" thickBot="1">
      <c r="A61" s="695" t="s">
        <v>2775</v>
      </c>
      <c r="B61" s="696" t="s">
        <v>28</v>
      </c>
      <c r="C61" s="696" t="s">
        <v>29</v>
      </c>
      <c r="D61" s="696" t="s">
        <v>1026</v>
      </c>
      <c r="E61" s="696">
        <f>IF(B41="楼面地价",SUM(E51:E60),'数据-汇总表'!D3)</f>
        <v>24673.39</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2668</v>
      </c>
      <c r="B64" s="759"/>
      <c r="C64" s="764"/>
      <c r="D64" s="764"/>
      <c r="E64" s="764"/>
      <c r="F64" s="765"/>
      <c r="G64" s="765"/>
      <c r="H64" s="764"/>
      <c r="I64" s="764"/>
      <c r="J64" s="764"/>
      <c r="K64" s="766"/>
      <c r="L64" s="767"/>
      <c r="M64" s="764"/>
      <c r="N64" s="764"/>
      <c r="O64" s="1161"/>
      <c r="P64" s="503"/>
      <c r="Q64" s="504"/>
    </row>
    <row r="65" spans="1:17" s="508" customFormat="1" ht="15">
      <c r="A65" s="2711" t="s">
        <v>2776</v>
      </c>
      <c r="B65" s="1361"/>
      <c r="C65" s="1574" t="str">
        <f>YEAR(C63)&amp;"-"&amp;ROUNDUP(MONTH(C63)/3,0)</f>
        <v>2019-1</v>
      </c>
      <c r="D65" s="1574" t="str">
        <f t="shared" ref="D65:O65" si="19">YEAR(D63)&amp;"-"&amp;ROUNDUP(MONTH(D63)/3,0)</f>
        <v>2018-4</v>
      </c>
      <c r="E65" s="1574" t="str">
        <f t="shared" si="19"/>
        <v>2018-3</v>
      </c>
      <c r="F65" s="1574" t="str">
        <f t="shared" si="19"/>
        <v>2018-2</v>
      </c>
      <c r="G65" s="1574" t="str">
        <f t="shared" si="19"/>
        <v>2018-1</v>
      </c>
      <c r="H65" s="1574" t="str">
        <f t="shared" si="19"/>
        <v>2017-4</v>
      </c>
      <c r="I65" s="1574" t="str">
        <f t="shared" si="19"/>
        <v>2017-3</v>
      </c>
      <c r="J65" s="1574" t="str">
        <f t="shared" si="19"/>
        <v>2017-2</v>
      </c>
      <c r="K65" s="1574" t="str">
        <f t="shared" si="19"/>
        <v>2017-1</v>
      </c>
      <c r="L65" s="1574" t="str">
        <f t="shared" si="19"/>
        <v>2016-4</v>
      </c>
      <c r="M65" s="1574" t="str">
        <f t="shared" si="19"/>
        <v>2016-3</v>
      </c>
      <c r="N65" s="1574" t="str">
        <f t="shared" si="19"/>
        <v>2016-2</v>
      </c>
      <c r="O65" s="1574" t="str">
        <f t="shared" si="19"/>
        <v>2016-1</v>
      </c>
      <c r="P65" s="507"/>
    </row>
    <row r="66" spans="1:17" s="117" customFormat="1" ht="30.75" customHeight="1">
      <c r="A66" s="2716" t="s">
        <v>2796</v>
      </c>
      <c r="B66" s="332" t="str">
        <f>"北京市平均增长率"&amp;TEXT(基准地价修正!P24,"0.00%")</f>
        <v>北京市平均增长率1.36%</v>
      </c>
      <c r="C66" s="603">
        <v>100</v>
      </c>
      <c r="D66" s="595"/>
      <c r="E66" s="595"/>
      <c r="F66" s="595"/>
      <c r="G66" s="595"/>
      <c r="H66" s="595"/>
      <c r="I66" s="595"/>
      <c r="J66" s="595"/>
      <c r="K66" s="595"/>
      <c r="L66" s="595"/>
      <c r="M66" s="1569"/>
      <c r="N66" s="1569"/>
      <c r="O66" s="1571"/>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2582</v>
      </c>
      <c r="B70" s="528" t="s">
        <v>2548</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2551</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2685</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2744</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2786</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2788</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2789</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68" priority="14" stopIfTrue="1" operator="containsText" text="超过">
      <formula>NOT(ISERROR(SEARCH("超过",F46)))</formula>
    </cfRule>
  </conditionalFormatting>
  <conditionalFormatting sqref="J48">
    <cfRule type="containsText" dxfId="67" priority="13" stopIfTrue="1" operator="containsText" text="超过">
      <formula>NOT(ISERROR(SEARCH("超过",J48)))</formula>
    </cfRule>
  </conditionalFormatting>
  <conditionalFormatting sqref="H48">
    <cfRule type="containsText" dxfId="66" priority="12" stopIfTrue="1" operator="containsText" text="超过">
      <formula>NOT(ISERROR(SEARCH("超过",H48)))</formula>
    </cfRule>
  </conditionalFormatting>
  <conditionalFormatting sqref="F48">
    <cfRule type="containsText" dxfId="65" priority="11" stopIfTrue="1" operator="containsText" text="超过">
      <formula>NOT(ISERROR(SEARCH("超过",F48)))</formula>
    </cfRule>
  </conditionalFormatting>
  <conditionalFormatting sqref="F47 H47 J47">
    <cfRule type="containsText" dxfId="64" priority="10" stopIfTrue="1" operator="containsText" text="超过">
      <formula>NOT(ISERROR(SEARCH("超过",F47)))</formula>
    </cfRule>
  </conditionalFormatting>
  <conditionalFormatting sqref="E46">
    <cfRule type="expression" dxfId="63" priority="9" stopIfTrue="1">
      <formula>$F$46="超过30%"</formula>
    </cfRule>
  </conditionalFormatting>
  <conditionalFormatting sqref="G48">
    <cfRule type="expression" dxfId="62" priority="8" stopIfTrue="1">
      <formula>$H$48="超过30%"</formula>
    </cfRule>
  </conditionalFormatting>
  <conditionalFormatting sqref="E48">
    <cfRule type="expression" dxfId="61" priority="6" stopIfTrue="1">
      <formula>$F$48="超过30%"</formula>
    </cfRule>
  </conditionalFormatting>
  <conditionalFormatting sqref="G46">
    <cfRule type="expression" dxfId="60" priority="5" stopIfTrue="1">
      <formula>$H$46="超过30%"</formula>
    </cfRule>
  </conditionalFormatting>
  <conditionalFormatting sqref="G47">
    <cfRule type="expression" dxfId="59" priority="4" stopIfTrue="1">
      <formula>$H$47="超过20%"</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conditionalFormatting sqref="E47">
    <cfRule type="expression" dxfId="5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workbookViewId="0">
      <selection activeCell="A3" sqref="A3:E3"/>
    </sheetView>
  </sheetViews>
  <sheetFormatPr defaultColWidth="9" defaultRowHeight="14.25"/>
  <cols>
    <col min="1" max="1" width="0.875" style="1962" customWidth="1"/>
    <col min="2" max="2" width="37.125" style="1962" customWidth="1"/>
    <col min="3" max="3" width="11.375" style="1962" customWidth="1"/>
    <col min="4" max="4" width="31.8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30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9"/>
      <c r="C2" s="3099"/>
      <c r="D2" s="3099"/>
      <c r="E2" s="3099"/>
    </row>
    <row r="3" spans="1:5" ht="18">
      <c r="A3" s="3100" t="str">
        <f>IF(项目基本情况!B9="房地产市场价值","估价结果一览表（市场价值不需“结果表-1”）","估价结果一览表")</f>
        <v>估价结果一览表</v>
      </c>
      <c r="B3" s="3100"/>
      <c r="C3" s="3100"/>
      <c r="D3" s="3100"/>
      <c r="E3" s="3100"/>
    </row>
    <row r="4" spans="1:5" ht="19.5" thickBot="1">
      <c r="A4" s="1963"/>
      <c r="B4" s="3098" t="s">
        <v>1626</v>
      </c>
      <c r="C4" s="3098"/>
      <c r="D4" s="3098"/>
      <c r="E4" s="1963"/>
    </row>
    <row r="5" spans="1:5" ht="16.5" thickTop="1">
      <c r="A5" s="1961"/>
      <c r="B5" s="3096" t="s">
        <v>1618</v>
      </c>
      <c r="C5" s="1964" t="s">
        <v>1619</v>
      </c>
      <c r="D5" s="1042">
        <f ca="1">'结果表（住宅）'!H101</f>
        <v>965598</v>
      </c>
      <c r="E5" s="1961"/>
    </row>
    <row r="6" spans="1:5" ht="15.75">
      <c r="A6" s="1961"/>
      <c r="B6" s="3096"/>
      <c r="C6" s="1964" t="s">
        <v>1620</v>
      </c>
      <c r="D6" s="1042" t="str">
        <f ca="1">NUMBERSTRING(INT(D5*10000),2)&amp;"元整"</f>
        <v>玖拾陆亿伍仟伍佰玖拾捌万元整</v>
      </c>
      <c r="E6" s="1961"/>
    </row>
    <row r="7" spans="1:5" ht="15.75">
      <c r="A7" s="1961"/>
      <c r="B7" s="3101"/>
      <c r="C7" s="1965" t="s">
        <v>1621</v>
      </c>
      <c r="D7" s="1043">
        <f ca="1">'结果表（住宅）'!H102</f>
        <v>74173</v>
      </c>
      <c r="E7" s="1961"/>
    </row>
    <row r="8" spans="1:5" ht="15.75">
      <c r="A8" s="1961"/>
      <c r="B8" s="3102" t="str">
        <f>'结果表（住宅）'!E103</f>
        <v>2.估价师知悉的法定优先受偿款</v>
      </c>
      <c r="C8" s="1966" t="s">
        <v>1622</v>
      </c>
      <c r="D8" s="1043">
        <f>'结果表（住宅）'!H103</f>
        <v>0</v>
      </c>
      <c r="E8" s="1961"/>
    </row>
    <row r="9" spans="1:5" ht="15.75">
      <c r="A9" s="1961"/>
      <c r="B9" s="3104"/>
      <c r="C9" s="1964" t="s">
        <v>1620</v>
      </c>
      <c r="D9" s="1042" t="str">
        <f>NUMBERSTRING(INT(D8*10000),2)&amp;"元整"</f>
        <v>零元整</v>
      </c>
      <c r="E9" s="1961"/>
    </row>
    <row r="10" spans="1:5" ht="15">
      <c r="A10" s="1961"/>
      <c r="B10" s="1967" t="s">
        <v>1625</v>
      </c>
      <c r="C10" s="1968" t="s">
        <v>1623</v>
      </c>
      <c r="D10" s="1044">
        <f>'结果表（住宅）'!H104</f>
        <v>0</v>
      </c>
      <c r="E10" s="1961"/>
    </row>
    <row r="11" spans="1:5" ht="15">
      <c r="A11" s="1961"/>
      <c r="B11" s="1967" t="s">
        <v>1627</v>
      </c>
      <c r="C11" s="1968" t="s">
        <v>1628</v>
      </c>
      <c r="D11" s="1044">
        <f>'结果表（住宅）'!H105</f>
        <v>0</v>
      </c>
      <c r="E11" s="1961"/>
    </row>
    <row r="12" spans="1:5" ht="15">
      <c r="A12" s="1961"/>
      <c r="B12" s="1967" t="s">
        <v>1629</v>
      </c>
      <c r="C12" s="1968" t="s">
        <v>1628</v>
      </c>
      <c r="D12" s="1044">
        <f>'结果表（住宅）'!H106</f>
        <v>0</v>
      </c>
      <c r="E12" s="1961"/>
    </row>
    <row r="13" spans="1:5" ht="15.75">
      <c r="A13" s="1961"/>
      <c r="B13" s="3095" t="str">
        <f>'结果表（住宅）'!E107</f>
        <v>3.房地产抵押价值</v>
      </c>
      <c r="C13" s="1969" t="s">
        <v>1619</v>
      </c>
      <c r="D13" s="1045">
        <f ca="1">'结果表（住宅）'!H107</f>
        <v>965598</v>
      </c>
      <c r="E13" s="1961"/>
    </row>
    <row r="14" spans="1:5" ht="15.75">
      <c r="A14" s="1961"/>
      <c r="B14" s="3096"/>
      <c r="C14" s="1964" t="s">
        <v>1620</v>
      </c>
      <c r="D14" s="1042" t="str">
        <f ca="1">NUMBERSTRING(INT(D13*10000),2)&amp;"元整"</f>
        <v>玖拾陆亿伍仟伍佰玖拾捌万元整</v>
      </c>
      <c r="E14" s="1961"/>
    </row>
    <row r="15" spans="1:5" ht="15">
      <c r="A15" s="1961"/>
      <c r="B15" s="3101"/>
      <c r="C15" s="1965" t="s">
        <v>1630</v>
      </c>
      <c r="D15" s="1054">
        <f ca="1">'结果表（住宅）'!H108</f>
        <v>70282</v>
      </c>
      <c r="E15" s="1961"/>
    </row>
    <row r="16" spans="1:5" ht="15">
      <c r="A16" s="1961"/>
      <c r="B16" s="3102" t="str">
        <f>'结果表（住宅）'!E109</f>
        <v>——</v>
      </c>
      <c r="C16" s="1969" t="s">
        <v>1631</v>
      </c>
      <c r="D16" s="1970" t="str">
        <f>'结果表（住宅）'!H109</f>
        <v>——</v>
      </c>
      <c r="E16" s="1961"/>
    </row>
    <row r="17" spans="1:5" ht="15.75">
      <c r="A17" s="1961"/>
      <c r="B17" s="3103"/>
      <c r="C17" s="1964" t="s">
        <v>1632</v>
      </c>
      <c r="D17" s="1042" t="e">
        <f>NUMBERSTRING(INT(D16*10000),2)&amp;"元整"</f>
        <v>#VALUE!</v>
      </c>
      <c r="E17" s="1961"/>
    </row>
    <row r="18" spans="1:5" ht="15">
      <c r="A18" s="1961"/>
      <c r="B18" s="3104"/>
      <c r="C18" s="1965" t="s">
        <v>1621</v>
      </c>
      <c r="D18" s="1054" t="str">
        <f>'结果表（住宅）'!H110</f>
        <v>——</v>
      </c>
      <c r="E18" s="1961"/>
    </row>
    <row r="19" spans="1:5" ht="15.75">
      <c r="A19" s="1961"/>
      <c r="B19" s="3095" t="str">
        <f>'结果表（住宅）'!E111</f>
        <v>——</v>
      </c>
      <c r="C19" s="1969" t="s">
        <v>1619</v>
      </c>
      <c r="D19" s="1043" t="str">
        <f>'结果表（住宅）'!H111</f>
        <v>——</v>
      </c>
      <c r="E19" s="1961"/>
    </row>
    <row r="20" spans="1:5" ht="15.75">
      <c r="A20" s="1961"/>
      <c r="B20" s="3096"/>
      <c r="C20" s="1964" t="s">
        <v>1632</v>
      </c>
      <c r="D20" s="1042" t="e">
        <f>NUMBERSTRING(INT(D19*10000),2)&amp;"元整"</f>
        <v>#VALUE!</v>
      </c>
      <c r="E20" s="1961"/>
    </row>
    <row r="21" spans="1:5" ht="15.75" thickBot="1">
      <c r="A21" s="1961"/>
      <c r="B21" s="3097"/>
      <c r="C21" s="1971" t="s">
        <v>1630</v>
      </c>
      <c r="D21" s="1055" t="str">
        <f>'结果表（住宅）'!H112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topLeftCell="A6" zoomScale="90" zoomScaleNormal="90" zoomScaleSheetLayoutView="96" zoomScalePageLayoutView="90" workbookViewId="0">
      <selection activeCell="G13" sqref="G13"/>
    </sheetView>
  </sheetViews>
  <sheetFormatPr defaultColWidth="12" defaultRowHeight="12.75"/>
  <cols>
    <col min="1" max="1" width="9.875" style="2796" customWidth="1"/>
    <col min="2" max="2" width="19.125" style="2902" customWidth="1"/>
    <col min="3" max="4" width="12" style="2720"/>
    <col min="5" max="5" width="14.625" style="2720" customWidth="1"/>
    <col min="6" max="8" width="12" style="2720"/>
    <col min="9" max="9" width="12.125" style="2720" bestFit="1" customWidth="1"/>
    <col min="10" max="10" width="12" style="2720"/>
    <col min="11" max="11" width="8.125" style="2788" customWidth="1"/>
    <col min="12" max="12" width="12" style="2720"/>
    <col min="13" max="13" width="8.5" style="2720" customWidth="1"/>
    <col min="14" max="14" width="9.8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2798</v>
      </c>
      <c r="B1" s="241"/>
      <c r="C1" s="245" t="s">
        <v>2799</v>
      </c>
      <c r="D1" s="388">
        <f>SUM(D29:D30,D33:D39)</f>
        <v>0</v>
      </c>
      <c r="E1" s="2717"/>
      <c r="F1" s="2717"/>
      <c r="G1" s="2717"/>
      <c r="H1" s="2717"/>
      <c r="I1" s="2717"/>
      <c r="J1" s="2717"/>
      <c r="K1" s="1372"/>
      <c r="L1" s="2718" t="s">
        <v>2800</v>
      </c>
      <c r="M1" s="1082">
        <f>SUMPRODUCT((区片价!B5:B9=I2)*(区片价!C3:F3=E2)*(区片价!C5:F9))</f>
        <v>0</v>
      </c>
      <c r="N1" s="1085">
        <f>SUMPRODUCT((因素修正幅度!B5:B9=I2)*(因素修正幅度!C3:F3=E2)*(因素修正幅度!C5:F9))</f>
        <v>0</v>
      </c>
      <c r="O1" s="2719"/>
      <c r="P1" s="2719"/>
      <c r="Q1" s="1372"/>
      <c r="R1" s="1604" t="s">
        <v>2801</v>
      </c>
      <c r="S1" s="1604" t="s">
        <v>2802</v>
      </c>
      <c r="T1" s="1604" t="s">
        <v>2803</v>
      </c>
      <c r="U1" s="1604" t="s">
        <v>2804</v>
      </c>
      <c r="V1" s="1604" t="s">
        <v>2805</v>
      </c>
      <c r="W1" s="1608"/>
      <c r="X1" s="1608"/>
      <c r="Y1" s="1608"/>
      <c r="Z1" s="1608"/>
      <c r="AA1" s="1608"/>
      <c r="AB1" s="1608"/>
      <c r="AC1" s="1609"/>
      <c r="AD1" s="1610"/>
      <c r="AE1" s="1610"/>
      <c r="AF1" s="1610"/>
      <c r="AG1" s="1610"/>
      <c r="AH1" s="1610"/>
      <c r="AI1" s="1610"/>
      <c r="AJ1" s="1611"/>
    </row>
    <row r="2" spans="1:36" ht="15.75">
      <c r="A2" s="245" t="s">
        <v>2806</v>
      </c>
      <c r="B2" s="248" t="e">
        <f>C26</f>
        <v>#DIV/0!</v>
      </c>
      <c r="C2" s="2721" t="s">
        <v>2807</v>
      </c>
      <c r="D2" s="2722" t="s">
        <v>2808</v>
      </c>
      <c r="E2" s="2723"/>
      <c r="F2" s="2722" t="s">
        <v>2809</v>
      </c>
      <c r="G2" s="2724">
        <f>IF(E2="商业",项目基本情况!B37,IF(E2="办公",项目基本情况!C37,IF(E2="住宅",项目基本情况!D37,项目基本情况!E37)))</f>
        <v>0</v>
      </c>
      <c r="H2" s="2722" t="s">
        <v>2810</v>
      </c>
      <c r="I2" s="2724">
        <f>IF(E2="商业",项目基本情况!B38,IF(E2="办公",项目基本情况!C38,IF(E2="住宅",项目基本情况!D38,项目基本情况!E38)))</f>
        <v>0</v>
      </c>
      <c r="J2" s="2725"/>
      <c r="K2" s="1372"/>
      <c r="L2" s="2726" t="s">
        <v>2811</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2812</v>
      </c>
      <c r="B3" s="248" t="e">
        <f>ROUND(B2*10000/D1,0)</f>
        <v>#DIV/0!</v>
      </c>
      <c r="C3" s="2721" t="s">
        <v>2813</v>
      </c>
      <c r="D3" s="2722" t="s">
        <v>2814</v>
      </c>
      <c r="E3" s="2727"/>
      <c r="F3" s="2728" t="s">
        <v>2815</v>
      </c>
      <c r="G3" s="915">
        <f>IF(F3="宗地容积率",'数据-汇总表'!I4,IF(F3="估价对象容积率",'数据-汇总表'!I6,'数据-汇总表'!I7))</f>
        <v>4.2300000000000004</v>
      </c>
      <c r="H3" s="198" t="s">
        <v>2816</v>
      </c>
      <c r="I3" s="946"/>
      <c r="J3" s="2725" t="s">
        <v>2817</v>
      </c>
      <c r="K3" s="1372"/>
      <c r="L3" s="2726" t="s">
        <v>2818</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424"/>
      <c r="B4" s="3425"/>
      <c r="C4" s="3425"/>
      <c r="D4" s="3426"/>
      <c r="E4" s="3426"/>
      <c r="F4" s="3426"/>
      <c r="G4" s="3426"/>
      <c r="H4" s="3426"/>
      <c r="I4" s="3426"/>
      <c r="J4" s="3427"/>
      <c r="K4" s="1372"/>
      <c r="L4" s="2726" t="s">
        <v>2819</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2820</v>
      </c>
      <c r="C5" s="916" t="e">
        <f>ROUND(IF(E2="商业",IF(F16="增加",C6*C7+C16,C6*C7-C16),IF(E2="住宅",IF(F16="增加",C6*C12+C16,C6*C12-C16),IF(F16="增加",C6+C16,C6-C16))),0)</f>
        <v>#DIV/0!</v>
      </c>
      <c r="D5" s="1789" t="e">
        <f>ROUND(IF(F16="增加",C6+C16,C6-C16),0)</f>
        <v>#DIV/0!</v>
      </c>
      <c r="E5" s="1789"/>
      <c r="F5" s="2731"/>
      <c r="G5" s="2732"/>
      <c r="H5" s="2732"/>
      <c r="I5" s="2732"/>
      <c r="J5" s="2733"/>
      <c r="K5" s="2734"/>
      <c r="L5" s="2726" t="s">
        <v>2821</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2822</v>
      </c>
      <c r="B6" s="2740" t="s">
        <v>2823</v>
      </c>
      <c r="C6" s="917">
        <f>SUMIF(L1:L12,G2,M1:M12)</f>
        <v>0</v>
      </c>
      <c r="D6" s="2741" t="s">
        <v>2824</v>
      </c>
      <c r="E6" s="2742"/>
      <c r="F6" s="2742"/>
      <c r="G6" s="2743"/>
      <c r="H6" s="2743"/>
      <c r="I6" s="2743"/>
      <c r="J6" s="2744"/>
      <c r="K6" s="1844"/>
      <c r="L6" s="2726" t="s">
        <v>2825</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410" t="str">
        <f>IF(E2="商业",IF(C8="不临58条商业街","",2),"")</f>
        <v/>
      </c>
      <c r="B7" s="2745" t="s">
        <v>2826</v>
      </c>
      <c r="C7" s="918" t="e">
        <f>IF(C8="不临58条商业街",1,ROUND(1+(1.6*E8+1.2*E9+0.8*E10+0.4*E11)*C9,4))</f>
        <v>#DIV/0!</v>
      </c>
      <c r="D7" s="2746" t="s">
        <v>2827</v>
      </c>
      <c r="E7" s="947"/>
      <c r="F7" s="2747"/>
      <c r="G7" s="2748"/>
      <c r="H7" s="2748"/>
      <c r="I7" s="2748"/>
      <c r="J7" s="2749"/>
      <c r="K7" s="1844"/>
      <c r="L7" s="2726" t="s">
        <v>2828</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2829</v>
      </c>
      <c r="X7" s="1606">
        <f>G2</f>
        <v>0</v>
      </c>
      <c r="Y7" s="1606" t="s">
        <v>2830</v>
      </c>
      <c r="Z7" s="1607">
        <f>G3</f>
        <v>4.2300000000000004</v>
      </c>
      <c r="AA7" s="1608"/>
      <c r="AB7" s="1608"/>
      <c r="AC7" s="1609"/>
      <c r="AD7" s="1610"/>
      <c r="AE7" s="1610"/>
      <c r="AF7" s="1610"/>
      <c r="AG7" s="1610"/>
      <c r="AH7" s="1610"/>
      <c r="AI7" s="1610"/>
      <c r="AJ7" s="1611"/>
    </row>
    <row r="8" spans="1:36" ht="15">
      <c r="A8" s="3411"/>
      <c r="B8" s="198" t="s">
        <v>2831</v>
      </c>
      <c r="C8" s="2750"/>
      <c r="D8" s="919" t="s">
        <v>139</v>
      </c>
      <c r="E8" s="920" t="e">
        <f>ROUND(C11/E7,4)</f>
        <v>#DIV/0!</v>
      </c>
      <c r="F8" s="2751" t="s">
        <v>2832</v>
      </c>
      <c r="G8" s="2752"/>
      <c r="H8" s="2752"/>
      <c r="I8" s="2752"/>
      <c r="J8" s="2753"/>
      <c r="K8" s="1372"/>
      <c r="L8" s="2726" t="s">
        <v>2833</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421" t="s">
        <v>2834</v>
      </c>
      <c r="X8" s="3422"/>
      <c r="Y8" s="1612" t="s">
        <v>2835</v>
      </c>
      <c r="Z8" s="1612" t="s">
        <v>2836</v>
      </c>
      <c r="AA8" s="1612" t="s">
        <v>2837</v>
      </c>
      <c r="AB8" s="1612" t="s">
        <v>2838</v>
      </c>
      <c r="AC8" s="1612" t="s">
        <v>2839</v>
      </c>
      <c r="AD8" s="1612" t="s">
        <v>2840</v>
      </c>
      <c r="AE8" s="1612" t="s">
        <v>2841</v>
      </c>
      <c r="AF8" s="1612" t="s">
        <v>2842</v>
      </c>
      <c r="AG8" s="1612" t="s">
        <v>2843</v>
      </c>
      <c r="AH8" s="1612" t="s">
        <v>2844</v>
      </c>
      <c r="AI8" s="1612" t="s">
        <v>2845</v>
      </c>
      <c r="AJ8" s="1612" t="s">
        <v>2846</v>
      </c>
    </row>
    <row r="9" spans="1:36" ht="15">
      <c r="A9" s="3411"/>
      <c r="B9" s="198" t="s">
        <v>2847</v>
      </c>
      <c r="C9" s="921">
        <f>SUMIF(修正!C59:C119,C8,修正!E59:E119)</f>
        <v>0</v>
      </c>
      <c r="D9" s="200" t="s">
        <v>140</v>
      </c>
      <c r="E9" s="200" t="e">
        <f>ROUND(C11/E7,4)</f>
        <v>#DIV/0!</v>
      </c>
      <c r="F9" s="2751" t="s">
        <v>2848</v>
      </c>
      <c r="G9" s="2752"/>
      <c r="H9" s="2752"/>
      <c r="I9" s="2752"/>
      <c r="J9" s="2753"/>
      <c r="K9" s="1372"/>
      <c r="L9" s="2726" t="s">
        <v>2849</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423" t="s">
        <v>2850</v>
      </c>
      <c r="X9" s="1613" t="s">
        <v>2851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411"/>
      <c r="B10" s="198" t="s">
        <v>2852</v>
      </c>
      <c r="C10" s="200">
        <f>SUMIF(修正!C59:C119,C8,修正!F59:F119)</f>
        <v>0</v>
      </c>
      <c r="D10" s="200" t="s">
        <v>141</v>
      </c>
      <c r="E10" s="200" t="e">
        <f>ROUND(C11/E7,4)</f>
        <v>#DIV/0!</v>
      </c>
      <c r="F10" s="2751" t="s">
        <v>2853</v>
      </c>
      <c r="G10" s="2752"/>
      <c r="H10" s="2752"/>
      <c r="I10" s="2752"/>
      <c r="J10" s="2753"/>
      <c r="K10" s="1372"/>
      <c r="L10" s="2726" t="s">
        <v>2854</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42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411"/>
      <c r="B11" s="2754" t="s">
        <v>2855</v>
      </c>
      <c r="C11" s="922">
        <f>C10/4</f>
        <v>0</v>
      </c>
      <c r="D11" s="922" t="s">
        <v>142</v>
      </c>
      <c r="E11" s="922" t="e">
        <f>ROUND(C11/E7,4)</f>
        <v>#DIV/0!</v>
      </c>
      <c r="F11" s="2755" t="s">
        <v>2856</v>
      </c>
      <c r="G11" s="2756"/>
      <c r="H11" s="2756"/>
      <c r="I11" s="2756"/>
      <c r="J11" s="2757"/>
      <c r="K11" s="1372"/>
      <c r="L11" s="2726" t="s">
        <v>2857</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423" t="s">
        <v>2858</v>
      </c>
      <c r="X11" s="1616" t="s">
        <v>2859</v>
      </c>
      <c r="Y11" s="1617">
        <f>$G$3</f>
        <v>4.2300000000000004</v>
      </c>
      <c r="Z11" s="1617">
        <f t="shared" ref="Z11:AJ11" si="3">$G$3</f>
        <v>4.2300000000000004</v>
      </c>
      <c r="AA11" s="1617">
        <f t="shared" si="3"/>
        <v>4.2300000000000004</v>
      </c>
      <c r="AB11" s="1617">
        <f t="shared" si="3"/>
        <v>4.2300000000000004</v>
      </c>
      <c r="AC11" s="1617">
        <f t="shared" si="3"/>
        <v>4.2300000000000004</v>
      </c>
      <c r="AD11" s="1617">
        <f t="shared" si="3"/>
        <v>4.2300000000000004</v>
      </c>
      <c r="AE11" s="1617">
        <f t="shared" si="3"/>
        <v>4.2300000000000004</v>
      </c>
      <c r="AF11" s="1617">
        <f t="shared" si="3"/>
        <v>4.2300000000000004</v>
      </c>
      <c r="AG11" s="1617">
        <f t="shared" si="3"/>
        <v>4.2300000000000004</v>
      </c>
      <c r="AH11" s="1617">
        <f t="shared" si="3"/>
        <v>4.2300000000000004</v>
      </c>
      <c r="AI11" s="1617">
        <f t="shared" si="3"/>
        <v>4.2300000000000004</v>
      </c>
      <c r="AJ11" s="1617">
        <f t="shared" si="3"/>
        <v>4.2300000000000004</v>
      </c>
    </row>
    <row r="12" spans="1:36" ht="25.5" thickBot="1">
      <c r="A12" s="3410" t="s">
        <v>2860</v>
      </c>
      <c r="B12" s="2758" t="s">
        <v>2861</v>
      </c>
      <c r="C12" s="918">
        <f>ROUND(C15*D15*E15*F15*G15*H15*I15*J15,4)</f>
        <v>1</v>
      </c>
      <c r="D12" s="2759" t="s">
        <v>2862</v>
      </c>
      <c r="E12" s="2760"/>
      <c r="F12" s="2760"/>
      <c r="G12" s="2761"/>
      <c r="H12" s="2761"/>
      <c r="I12" s="2761"/>
      <c r="J12" s="2762"/>
      <c r="K12" s="1372"/>
      <c r="L12" s="2763" t="s">
        <v>2863</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423"/>
      <c r="X12" s="1618" t="s">
        <v>2864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428"/>
      <c r="B13" s="2764" t="s">
        <v>2865</v>
      </c>
      <c r="C13" s="2765" t="s">
        <v>2866</v>
      </c>
      <c r="D13" s="1810" t="s">
        <v>2867</v>
      </c>
      <c r="E13" s="1810" t="s">
        <v>2868</v>
      </c>
      <c r="F13" s="30" t="s">
        <v>2869</v>
      </c>
      <c r="G13" s="2766" t="s">
        <v>2870</v>
      </c>
      <c r="H13" s="2766" t="s">
        <v>2870</v>
      </c>
      <c r="I13" s="2766" t="s">
        <v>2870</v>
      </c>
      <c r="J13" s="2767" t="s">
        <v>2870</v>
      </c>
      <c r="K13" s="1372"/>
      <c r="L13" s="1372"/>
      <c r="M13" s="1372"/>
      <c r="N13" s="1372"/>
      <c r="O13" s="1372"/>
      <c r="P13" s="1372"/>
      <c r="Q13" s="1372"/>
      <c r="R13" s="1604">
        <v>12</v>
      </c>
      <c r="S13" s="1605"/>
      <c r="T13" s="1604" t="e">
        <f t="shared" si="0"/>
        <v>#DIV/0!</v>
      </c>
      <c r="U13" s="1605"/>
      <c r="V13" s="1604" t="e">
        <f t="shared" si="1"/>
        <v>#DIV/0!</v>
      </c>
      <c r="W13" s="3423"/>
      <c r="X13" s="1618"/>
      <c r="Y13" s="1615">
        <f>(-0.163*(Y12^2)-0.59*Y12+7617)*(10^(-4))/Y11</f>
        <v>0.18007092198581559</v>
      </c>
      <c r="Z13" s="1615">
        <f t="shared" ref="Z13:AJ13" si="5">(-0.163*(Z12^2)-0.59*Z12+7617)*(10^(-4))/Z11</f>
        <v>0.18007092198581559</v>
      </c>
      <c r="AA13" s="1615">
        <f t="shared" si="5"/>
        <v>0.18007092198581559</v>
      </c>
      <c r="AB13" s="1615">
        <f t="shared" si="5"/>
        <v>0.18007092198581559</v>
      </c>
      <c r="AC13" s="1615">
        <f t="shared" si="5"/>
        <v>0.18007092198581559</v>
      </c>
      <c r="AD13" s="1615">
        <f t="shared" si="5"/>
        <v>0.18007092198581559</v>
      </c>
      <c r="AE13" s="1615">
        <f t="shared" si="5"/>
        <v>0.18007092198581559</v>
      </c>
      <c r="AF13" s="1615">
        <f t="shared" si="5"/>
        <v>0.18007092198581559</v>
      </c>
      <c r="AG13" s="1615">
        <f t="shared" si="5"/>
        <v>0.18007092198581559</v>
      </c>
      <c r="AH13" s="1615">
        <f t="shared" si="5"/>
        <v>0.18007092198581559</v>
      </c>
      <c r="AI13" s="1615">
        <f t="shared" si="5"/>
        <v>0.18007092198581559</v>
      </c>
      <c r="AJ13" s="1615">
        <f t="shared" si="5"/>
        <v>0.18007092198581559</v>
      </c>
    </row>
    <row r="14" spans="1:36" ht="15">
      <c r="A14" s="3428"/>
      <c r="B14" s="2768"/>
      <c r="C14" s="2769"/>
      <c r="D14" s="2770"/>
      <c r="E14" s="2770"/>
      <c r="F14" s="2771"/>
      <c r="G14" s="2772" t="s">
        <v>2871</v>
      </c>
      <c r="H14" s="2773"/>
      <c r="I14" s="2774"/>
      <c r="J14" s="2775"/>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429"/>
      <c r="B15" s="2776" t="s">
        <v>2872</v>
      </c>
      <c r="C15" s="229">
        <f>IF(C14="有",1.1,1)</f>
        <v>1</v>
      </c>
      <c r="D15" s="229">
        <f>IF(D14="有",1.1,1)</f>
        <v>1</v>
      </c>
      <c r="E15" s="229">
        <f>IF(E14="有",1.1,1)</f>
        <v>1</v>
      </c>
      <c r="F15" s="229">
        <f>IF(F14="500米范围内",1.2,IF(F14="500-1000米",1.1,1))</f>
        <v>1</v>
      </c>
      <c r="G15" s="948">
        <v>1</v>
      </c>
      <c r="H15" s="948">
        <v>1</v>
      </c>
      <c r="I15" s="948">
        <v>1</v>
      </c>
      <c r="J15" s="949">
        <v>1</v>
      </c>
      <c r="K15" s="1372"/>
      <c r="L15" s="2777" t="s">
        <v>2808</v>
      </c>
      <c r="M15" s="919" t="s">
        <v>2873</v>
      </c>
      <c r="N15" s="919" t="s">
        <v>2874</v>
      </c>
      <c r="O15" s="919" t="s">
        <v>2875</v>
      </c>
      <c r="P15" s="2778" t="s">
        <v>2876</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410" t="s">
        <v>2877</v>
      </c>
      <c r="B16" s="2745" t="s">
        <v>2878</v>
      </c>
      <c r="C16" s="1803" t="e">
        <f>ROUND(SUM(G17:J17)/C17,0)</f>
        <v>#DIV/0!</v>
      </c>
      <c r="D16" s="2779" t="s">
        <v>2879</v>
      </c>
      <c r="E16" s="2780"/>
      <c r="F16" s="2781"/>
      <c r="G16" s="2782"/>
      <c r="H16" s="2782"/>
      <c r="I16" s="2782"/>
      <c r="J16" s="2783"/>
      <c r="K16" s="1372"/>
      <c r="L16" s="2784" t="s">
        <v>2880</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411"/>
      <c r="B17" s="2785" t="s">
        <v>2881</v>
      </c>
      <c r="C17" s="923">
        <f>SUMPRODUCT((修正!A2:A5=E2)*(修正!B1:M1=G2)*(修正!B2:M5))</f>
        <v>0</v>
      </c>
      <c r="D17" s="2786" t="s">
        <v>2882</v>
      </c>
      <c r="E17" s="922" t="str">
        <f>IF(OR(G2="八级",G2="九级",G2="十级",G2="十一级",G2="十二级"),"五通一平","七通一平")</f>
        <v>七通一平</v>
      </c>
      <c r="F17" s="923" t="s">
        <v>2883</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7" t="s">
        <v>2884</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2885</v>
      </c>
      <c r="C18" s="925">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2886</v>
      </c>
      <c r="C19" s="926" t="e">
        <f>ROUND(IF(H19="按公示增长率计算",SUMPRODUCT((地价!A3:A25=YEAR(G19)&amp;"-"&amp;ROUNDUP(MONTH(G19)/3,0))*(地价!X2:AB2=E2)*(地价!X3:AB25)),IF(H19="地价指数",M20/M19,(1+I19)^O19)),4)</f>
        <v>#DIV/0!</v>
      </c>
      <c r="D19" s="2797" t="s">
        <v>2887</v>
      </c>
      <c r="E19" s="927">
        <v>41640</v>
      </c>
      <c r="F19" s="2797" t="s">
        <v>2888</v>
      </c>
      <c r="G19" s="928">
        <f>'数据-取费表'!B2</f>
        <v>43482</v>
      </c>
      <c r="H19" s="2798" t="s">
        <v>2889</v>
      </c>
      <c r="I19" s="929" t="str">
        <f>IF(H19="季度增幅（自定义）",SUMIF(N21:N24,E2,O21:O24),"")</f>
        <v/>
      </c>
      <c r="J19" s="2795"/>
      <c r="K19" s="1379"/>
      <c r="L19" s="2799" t="s">
        <v>2890</v>
      </c>
      <c r="M19" s="1736">
        <f>ROUND(SUMIF(地价!B2:F2,E2,地价!B25:F25),0)</f>
        <v>0</v>
      </c>
      <c r="N19" s="2800" t="s">
        <v>2891</v>
      </c>
      <c r="O19" s="930">
        <f>ROUNDDOWN(DATEDIF(E19,G19,"M")/3,0)</f>
        <v>20</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2892</v>
      </c>
      <c r="C20" s="931" t="e">
        <f>ROUND(POWER(1+G20,J20-I20)*(POWER(1+G20,I20)-1)/(POWER(1+G20,J20)-1),4)</f>
        <v>#DIV/0!</v>
      </c>
      <c r="D20" s="2806" t="s">
        <v>2893</v>
      </c>
      <c r="E20" s="1770">
        <f ca="1">存贷款利率!D4/100</f>
        <v>4.3499999999999997E-2</v>
      </c>
      <c r="F20" s="2806" t="s">
        <v>2884</v>
      </c>
      <c r="G20" s="936">
        <f>SUMIF(M15:P15,E2,M17:P17)</f>
        <v>0</v>
      </c>
      <c r="H20" s="2806" t="s">
        <v>2894</v>
      </c>
      <c r="I20" s="937" t="e">
        <f>SUMIF('数据-取费表'!C6:C15,E2,'数据-取费表'!F6:F15)/COUNTIF('数据-取费表'!C6:C15,E2)</f>
        <v>#DIV/0!</v>
      </c>
      <c r="J20" s="938">
        <f>IF(E2="住宅",70,IF(E2="商业",40,50))</f>
        <v>50</v>
      </c>
      <c r="K20" s="1379"/>
      <c r="L20" s="2807" t="s">
        <v>2895</v>
      </c>
      <c r="M20" s="1737">
        <f>ROUND(SUMPRODUCT((地价!A4:A25=YEAR(G19)&amp;"-"&amp;ROUNDUP(MONTH(G19)/3,0))*(地价!B2:F2=E2)*(地价!B4:F25)),0)</f>
        <v>0</v>
      </c>
      <c r="N20" s="2808" t="s">
        <v>2896</v>
      </c>
      <c r="O20" s="2809" t="s">
        <v>2897</v>
      </c>
      <c r="P20" s="2810" t="s">
        <v>2898</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2899</v>
      </c>
      <c r="C21" s="939">
        <f>IF(B21="容积率修正",IF(G3&lt;=10,D22,J22),C23)</f>
        <v>0</v>
      </c>
      <c r="D21" s="2813"/>
      <c r="E21" s="2813"/>
      <c r="F21" s="2813"/>
      <c r="G21" s="2813"/>
      <c r="H21" s="2813"/>
      <c r="I21" s="2813"/>
      <c r="J21" s="2814"/>
      <c r="K21" s="1379"/>
      <c r="N21" s="2815" t="s">
        <v>2900</v>
      </c>
      <c r="O21" s="1563"/>
      <c r="P21" s="1564">
        <f>SUMPRODUCT((地价!A3:A25=YEAR(G19)&amp;"-"&amp;ROUNDUP(MONTH(G19)/3,0))*(地价!AD2:AH2=N21)*(地价!AD3:AH25))</f>
        <v>1.46E-2</v>
      </c>
      <c r="R21" s="1378"/>
      <c r="S21" s="1378"/>
      <c r="T21" s="1373"/>
      <c r="U21" s="1373"/>
      <c r="V21" s="1373"/>
      <c r="W21" s="1372"/>
      <c r="X21" s="1372"/>
      <c r="Y21" s="1372"/>
      <c r="Z21" s="1379"/>
      <c r="AA21" s="1380"/>
      <c r="AB21" s="1380"/>
      <c r="AC21" s="1380"/>
      <c r="AD21" s="1380"/>
      <c r="AE21" s="1380"/>
      <c r="AF21" s="1380"/>
    </row>
    <row r="22" spans="1:37" s="2738" customFormat="1" ht="14.25">
      <c r="A22" s="2664" t="s">
        <v>2901</v>
      </c>
      <c r="B22" s="2816" t="s">
        <v>2902</v>
      </c>
      <c r="C22" s="1812" t="s">
        <v>2903</v>
      </c>
      <c r="D22" s="1812">
        <f>IF(E22=G22,F22,IF(G3&lt;=10,ROUND(F22+(H22-F22)*(G3-E22)/(G22-E22),4),"——"))</f>
        <v>0</v>
      </c>
      <c r="E22" s="915">
        <f>ROUNDDOWN(G3,1)</f>
        <v>4.2</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4.3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5" t="s">
        <v>2904</v>
      </c>
      <c r="O22" s="1563"/>
      <c r="P22" s="1564">
        <f>SUMPRODUCT((地价!A3:A25=YEAR(G19)&amp;"-"&amp;ROUNDUP(MONTH(G19)/3,0))*(地价!AD2:AH2=N22)*(地价!AD3:AH25))</f>
        <v>1.46E-2</v>
      </c>
      <c r="R22" s="1378"/>
      <c r="S22" s="1378"/>
      <c r="T22" s="1373"/>
      <c r="U22" s="1373"/>
      <c r="V22" s="1373"/>
      <c r="W22" s="1372"/>
      <c r="X22" s="1372"/>
      <c r="Y22" s="1372"/>
      <c r="Z22" s="1379"/>
      <c r="AA22" s="1380"/>
      <c r="AB22" s="1380"/>
      <c r="AC22" s="1380"/>
      <c r="AD22" s="1380"/>
      <c r="AE22" s="1380"/>
      <c r="AF22" s="1380"/>
    </row>
    <row r="23" spans="1:37" ht="27.75" thickBot="1">
      <c r="A23" s="2664" t="s">
        <v>2905</v>
      </c>
      <c r="B23" s="2817" t="s">
        <v>2906</v>
      </c>
      <c r="C23" s="1015">
        <f>ROUND(IF(G3&gt;1,IF(I3&lt;7,SUMPRODUCT((B93:B98=I3)*(C92:N92=G2)*(C93:N98)),SUMIF(C92:N92,G2,C100:N100)),IF(I3&lt;7,SUMPRODUCT((B102:B107=I3)*(C92:N92=G2)*(C102:N107)),SUMIF(C92:N92,G2,C109:N109))),4)</f>
        <v>0</v>
      </c>
      <c r="D23" s="2773"/>
      <c r="E23" s="2773"/>
      <c r="F23" s="2818"/>
      <c r="G23" s="2819"/>
      <c r="H23" s="2820"/>
      <c r="I23" s="2821"/>
      <c r="J23" s="2822"/>
      <c r="K23" s="1372"/>
      <c r="N23" s="2815" t="s">
        <v>2907</v>
      </c>
      <c r="O23" s="1563"/>
      <c r="P23" s="1564">
        <f>SUMPRODUCT((地价!A3:A25=YEAR(G19)&amp;"-"&amp;ROUNDUP(MONTH(G19)/3,0))*(地价!AD2:AH2=N23)*(地价!AD3:AH25))</f>
        <v>2.29E-2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2908</v>
      </c>
      <c r="C24" s="926">
        <f>SUMIF(A45:A88,E2,B45:B88)</f>
        <v>0</v>
      </c>
      <c r="D24" s="2793"/>
      <c r="E24" s="2823"/>
      <c r="F24" s="2823"/>
      <c r="G24" s="2823"/>
      <c r="H24" s="2823"/>
      <c r="I24" s="2823"/>
      <c r="J24" s="2824"/>
      <c r="K24" s="1379"/>
      <c r="N24" s="2825" t="s">
        <v>2909</v>
      </c>
      <c r="O24" s="1565"/>
      <c r="P24" s="1566">
        <f>SUMPRODUCT((地价!A3:A25=YEAR(G19)&amp;"-"&amp;ROUNDUP(MONTH(G19)/3,0))*(地价!AD2:AH2=N24)*(地价!AD3:AH25))</f>
        <v>1.3599999999999999E-2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2910</v>
      </c>
      <c r="C25" s="932"/>
      <c r="D25" s="2748"/>
      <c r="E25" s="2748"/>
      <c r="F25" s="2827"/>
      <c r="G25" s="2748"/>
      <c r="H25" s="2748"/>
      <c r="I25" s="2748"/>
      <c r="J25" s="2749"/>
      <c r="K25" s="1372"/>
      <c r="N25" s="2828" t="s">
        <v>2911</v>
      </c>
      <c r="O25" s="1567"/>
      <c r="P25" s="1566">
        <f>SUMPRODUCT((地价!A3:A25=YEAR(G19)&amp;"-"&amp;ROUNDUP(MONTH(G19)/3,0))*(地价!AD2:AH2=N25)*(地价!AD3:AH25))</f>
        <v>2.0899999999999998E-2</v>
      </c>
      <c r="R25" s="1378"/>
      <c r="S25" s="1378"/>
      <c r="T25" s="1373"/>
      <c r="U25" s="1373"/>
      <c r="V25" s="1373"/>
      <c r="W25" s="1372"/>
      <c r="X25" s="1372"/>
      <c r="Y25" s="1372"/>
      <c r="Z25" s="1379"/>
      <c r="AA25" s="1380"/>
      <c r="AB25" s="1380"/>
      <c r="AC25" s="1380"/>
      <c r="AD25" s="1380"/>
    </row>
    <row r="26" spans="1:37" ht="15">
      <c r="A26" s="2829"/>
      <c r="B26" s="2816" t="s">
        <v>2912</v>
      </c>
      <c r="C26" s="206"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2913</v>
      </c>
      <c r="C27" s="933"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2914</v>
      </c>
      <c r="C28" s="2840" t="s">
        <v>2915</v>
      </c>
      <c r="D28" s="2840" t="s">
        <v>2916</v>
      </c>
      <c r="E28" s="2841" t="s">
        <v>2917</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2918</v>
      </c>
      <c r="C29" s="206" t="e">
        <f>ROUND(C5*C18*C19*C20*C21*C24,0)</f>
        <v>#DIV/0!</v>
      </c>
      <c r="D29" s="2845"/>
      <c r="E29" s="944" t="e">
        <f>ROUND(C29*D29/10000,0)</f>
        <v>#DIV/0!</v>
      </c>
      <c r="F29" s="2846" t="s">
        <v>2919</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2920</v>
      </c>
      <c r="C30" s="229" t="e">
        <f>ROUND(IF(E2="工业",C29*M39,C29*M38),0)</f>
        <v>#DIV/0!</v>
      </c>
      <c r="D30" s="2851"/>
      <c r="E30" s="944" t="e">
        <f>ROUND(C30*D30/10000,0)</f>
        <v>#DIV/0!</v>
      </c>
      <c r="F30" s="2852" t="s">
        <v>2921</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2922</v>
      </c>
      <c r="C31" s="2857" t="s">
        <v>2923</v>
      </c>
      <c r="D31" s="2761"/>
      <c r="E31" s="2857"/>
      <c r="F31" s="2857"/>
      <c r="G31" s="2759" t="s">
        <v>2924</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2915</v>
      </c>
      <c r="D32" s="498" t="s">
        <v>2916</v>
      </c>
      <c r="E32" s="498" t="s">
        <v>2917</v>
      </c>
      <c r="F32" s="388" t="s">
        <v>2925</v>
      </c>
      <c r="G32" s="2860" t="s">
        <v>2915</v>
      </c>
      <c r="H32" s="2860" t="s">
        <v>2916</v>
      </c>
      <c r="I32" s="2860" t="s">
        <v>2917</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418" t="s">
        <v>2926</v>
      </c>
      <c r="B33" s="2861" t="s">
        <v>2927</v>
      </c>
      <c r="C33" s="206" t="e">
        <f>ROUND(D5*C19*C20*C24*F33,0)</f>
        <v>#DIV/0!</v>
      </c>
      <c r="D33" s="2845"/>
      <c r="E33" s="200" t="e">
        <f>ROUND(C33*D33/10000,0)</f>
        <v>#DIV/0!</v>
      </c>
      <c r="F33" s="200">
        <f>SUMIF(修正!A45:A56,G2,修正!B45:B56)</f>
        <v>0</v>
      </c>
      <c r="G33" s="200" t="e">
        <f t="shared" ref="G33" si="6">ROUND(IF(E2="工业",C33*$M$39,C33*$M$38),0)</f>
        <v>#DIV/0!</v>
      </c>
      <c r="H33" s="200">
        <f>D33</f>
        <v>0</v>
      </c>
      <c r="I33" s="200"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419"/>
      <c r="B34" s="2765" t="s">
        <v>2928</v>
      </c>
      <c r="C34" s="206" t="e">
        <f>ROUND(D5*C19*C20*C24*F34,0)</f>
        <v>#DIV/0!</v>
      </c>
      <c r="D34" s="284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419"/>
      <c r="B35" s="2765" t="s">
        <v>2929</v>
      </c>
      <c r="C35" s="206" t="e">
        <f>ROUND(D5*C19*C20*C24*F35,0)</f>
        <v>#DIV/0!</v>
      </c>
      <c r="D35" s="2845"/>
      <c r="E35" s="200" t="e">
        <f t="shared" si="7"/>
        <v>#DIV/0!</v>
      </c>
      <c r="F35" s="200">
        <f>SUMIF(修正!A45:A56,G2,修正!D45:D56)</f>
        <v>0</v>
      </c>
      <c r="G35" s="200" t="e">
        <f>ROUND(IF(E2="工业",C35*$M$39,C35*$M$38),0)</f>
        <v>#DIV/0!</v>
      </c>
      <c r="H35" s="200">
        <f t="shared" si="8"/>
        <v>0</v>
      </c>
      <c r="I35" s="200"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420"/>
      <c r="B36" s="2765" t="s">
        <v>2930</v>
      </c>
      <c r="C36" s="206" t="e">
        <f>ROUND(D5*C19*C20*C24*F36,0)</f>
        <v>#DIV/0!</v>
      </c>
      <c r="D36" s="2845"/>
      <c r="E36" s="200" t="e">
        <f t="shared" si="7"/>
        <v>#DIV/0!</v>
      </c>
      <c r="F36" s="200">
        <f>SUMIF(修正!A45:A56,G2,修正!E45:E56)</f>
        <v>0</v>
      </c>
      <c r="G36" s="200" t="e">
        <f>ROUND(IF(E2="工业",C36*$M$39,C36*$M$38),0)</f>
        <v>#DIV/0!</v>
      </c>
      <c r="H36" s="200">
        <f t="shared" si="8"/>
        <v>0</v>
      </c>
      <c r="I36" s="200"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2931</v>
      </c>
      <c r="C37" s="200" t="e">
        <f>ROUND(D5*C19*C20*C24*F37,0)</f>
        <v>#DIV/0!</v>
      </c>
      <c r="D37" s="2845"/>
      <c r="E37" s="200" t="e">
        <f t="shared" si="7"/>
        <v>#DIV/0!</v>
      </c>
      <c r="F37" s="206">
        <f>SUMIF(修正!A45:A56,G2,修正!F45:F56)</f>
        <v>0</v>
      </c>
      <c r="G37" s="200" t="e">
        <f>ROUND(IF(E2="工业",C37*$M$39,C37*$M$38),0)</f>
        <v>#DIV/0!</v>
      </c>
      <c r="H37" s="200">
        <f t="shared" si="8"/>
        <v>0</v>
      </c>
      <c r="I37" s="200" t="e">
        <f t="shared" si="9"/>
        <v>#DIV/0!</v>
      </c>
      <c r="J37" s="2862"/>
      <c r="K37" s="1372"/>
      <c r="L37" s="2864" t="s">
        <v>2932</v>
      </c>
      <c r="M37" s="2865"/>
      <c r="N37" s="1372"/>
      <c r="O37" s="1372"/>
      <c r="P37" s="1372"/>
      <c r="Q37" s="1372"/>
      <c r="R37" s="1372"/>
      <c r="S37" s="1372"/>
      <c r="T37" s="1372"/>
      <c r="U37" s="1372"/>
      <c r="V37" s="1372"/>
      <c r="W37" s="1372"/>
      <c r="X37" s="1372"/>
      <c r="Y37" s="1372"/>
      <c r="Z37" s="1373"/>
    </row>
    <row r="38" spans="1:37">
      <c r="A38" s="2863"/>
      <c r="B38" s="2765" t="s">
        <v>2933</v>
      </c>
      <c r="C38" s="200" t="e">
        <f>ROUND(D5*C19*C41*C24*F38,0)</f>
        <v>#DIV/0!</v>
      </c>
      <c r="D38" s="2845"/>
      <c r="E38" s="200" t="e">
        <f t="shared" si="7"/>
        <v>#DIV/0!</v>
      </c>
      <c r="F38" s="206">
        <f>SUMIF(修正!A45:A56,G2,修正!G45:G56)</f>
        <v>0</v>
      </c>
      <c r="G38" s="200" t="e">
        <f>ROUND(IF(E2="工业",C38*$M$39,C38*$M$38),0)</f>
        <v>#DIV/0!</v>
      </c>
      <c r="H38" s="200">
        <f t="shared" si="8"/>
        <v>0</v>
      </c>
      <c r="I38" s="200" t="e">
        <f t="shared" si="9"/>
        <v>#DIV/0!</v>
      </c>
      <c r="J38" s="2862"/>
      <c r="K38" s="1372"/>
      <c r="L38" s="1889" t="s">
        <v>2934</v>
      </c>
      <c r="M38" s="2866">
        <v>0.25</v>
      </c>
      <c r="N38" s="1372"/>
      <c r="O38" s="1372"/>
      <c r="P38" s="1372"/>
      <c r="Q38" s="1372"/>
      <c r="R38" s="1372"/>
      <c r="S38" s="1372"/>
      <c r="T38" s="1372"/>
      <c r="U38" s="1372"/>
      <c r="V38" s="1372"/>
      <c r="W38" s="1372"/>
      <c r="X38" s="1372"/>
      <c r="Y38" s="1372"/>
      <c r="Z38" s="1373"/>
    </row>
    <row r="39" spans="1:37" ht="13.5" thickBot="1">
      <c r="A39" s="2849"/>
      <c r="B39" s="2867" t="s">
        <v>2935</v>
      </c>
      <c r="C39" s="229" t="e">
        <f>ROUND(D5*C19*C41*C24*F39,0)</f>
        <v>#DIV/0!</v>
      </c>
      <c r="D39" s="2851"/>
      <c r="E39" s="229" t="e">
        <f t="shared" si="7"/>
        <v>#DIV/0!</v>
      </c>
      <c r="F39" s="934">
        <f>SUMIF(修正!A45:A56,G2,修正!H45:H56)</f>
        <v>0</v>
      </c>
      <c r="G39" s="229" t="e">
        <f>ROUND(IF(E2="工业",C39*$M$39,C39*$M$38),0)</f>
        <v>#DIV/0!</v>
      </c>
      <c r="H39" s="229">
        <f t="shared" si="8"/>
        <v>0</v>
      </c>
      <c r="I39" s="229" t="e">
        <f t="shared" si="9"/>
        <v>#DIV/0!</v>
      </c>
      <c r="J39" s="2868"/>
      <c r="K39" s="1372"/>
      <c r="L39" s="2869" t="s">
        <v>2876</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38" t="s">
        <v>3046</v>
      </c>
      <c r="C41" s="388" t="e">
        <f>ROUND(POWER(1+E41,H41-G41)*(POWER(1+E41,G41)-1)/(POWER(1+E41,H41)-1),4)</f>
        <v>#DIV/0!</v>
      </c>
      <c r="D41" s="200" t="s">
        <v>2884</v>
      </c>
      <c r="E41" s="2937">
        <f>G20</f>
        <v>0</v>
      </c>
      <c r="F41" s="200" t="s">
        <v>2894</v>
      </c>
      <c r="G41" s="218"/>
      <c r="H41" s="200">
        <v>50</v>
      </c>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2936</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2937</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2938</v>
      </c>
      <c r="B47" s="1811" t="s">
        <v>2939</v>
      </c>
      <c r="C47" s="1811" t="s">
        <v>2940</v>
      </c>
      <c r="D47" s="1811" t="s">
        <v>2941</v>
      </c>
      <c r="E47" s="818" t="s">
        <v>2942</v>
      </c>
      <c r="F47" s="2879" t="s">
        <v>2943</v>
      </c>
      <c r="G47" s="1811" t="s">
        <v>754</v>
      </c>
      <c r="H47" s="2880" t="s">
        <v>2944</v>
      </c>
      <c r="I47" s="1811" t="s">
        <v>2945</v>
      </c>
      <c r="J47" s="603" t="s">
        <v>2591</v>
      </c>
      <c r="K47" s="603" t="s">
        <v>2592</v>
      </c>
      <c r="L47" s="603" t="s">
        <v>2593</v>
      </c>
      <c r="M47" s="603" t="s">
        <v>2594</v>
      </c>
      <c r="N47" s="603" t="s">
        <v>2595</v>
      </c>
      <c r="AA47" s="1373"/>
      <c r="AB47" s="1373"/>
      <c r="AC47" s="1373"/>
      <c r="AD47" s="1373"/>
      <c r="AE47" s="1373"/>
      <c r="AF47" s="1373"/>
      <c r="AG47" s="1373"/>
      <c r="AH47" s="1373"/>
      <c r="AI47" s="1373"/>
      <c r="AJ47" s="1373"/>
      <c r="AK47" s="1373"/>
    </row>
    <row r="48" spans="1:37" s="1372" customFormat="1" ht="38.25">
      <c r="A48" s="2878" t="s">
        <v>2946</v>
      </c>
      <c r="B48" s="2881" t="str">
        <f>估价对象房地状况!C4</f>
        <v>估价对象位于XX商圈，周边商业氛围成熟，人流量大，商业繁华度好</v>
      </c>
      <c r="C48" s="2770"/>
      <c r="D48" s="1288">
        <f t="shared" ref="D48:D56" si="10">SUMIF($J$47:$N$47,C48,J48:N48)</f>
        <v>0</v>
      </c>
      <c r="E48" s="820">
        <f>ROUND(SUM(D48:D56),4)</f>
        <v>0</v>
      </c>
      <c r="F48" s="2502"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2947</v>
      </c>
      <c r="B49" s="2882" t="str">
        <f>估价对象房地状况!C18</f>
        <v>估价对象周边道路状况、公共交通通达情况、停车便捷程度，综合评价交通便捷度较好</v>
      </c>
      <c r="C49" s="2770"/>
      <c r="D49" s="1288">
        <f t="shared" si="10"/>
        <v>0</v>
      </c>
      <c r="E49" s="821"/>
      <c r="F49" s="2502"/>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2948</v>
      </c>
      <c r="B50" s="2882">
        <f>估价对象房地状况!C19</f>
        <v>0</v>
      </c>
      <c r="C50" s="2770"/>
      <c r="D50" s="1288">
        <f t="shared" si="10"/>
        <v>0</v>
      </c>
      <c r="E50" s="821"/>
      <c r="F50" s="2502"/>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2949</v>
      </c>
      <c r="B51" s="2883" t="s">
        <v>2950</v>
      </c>
      <c r="C51" s="2770"/>
      <c r="D51" s="1288">
        <f t="shared" si="10"/>
        <v>0</v>
      </c>
      <c r="E51" s="821"/>
      <c r="F51" s="2502"/>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2951</v>
      </c>
      <c r="B52" s="2882">
        <f>估价对象房地状况!C24</f>
        <v>0</v>
      </c>
      <c r="C52" s="2770"/>
      <c r="D52" s="1288">
        <f t="shared" si="10"/>
        <v>0</v>
      </c>
      <c r="E52" s="821"/>
      <c r="F52" s="2502"/>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2952</v>
      </c>
      <c r="B53" s="2884" t="s">
        <v>2953</v>
      </c>
      <c r="C53" s="2770"/>
      <c r="D53" s="1288">
        <f t="shared" si="10"/>
        <v>0</v>
      </c>
      <c r="E53" s="821"/>
      <c r="F53" s="2502"/>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2954</v>
      </c>
      <c r="B54" s="1727" t="str">
        <f>估价对象房地状况!C21</f>
        <v>估价对象所在区域公共配套设施齐备情况</v>
      </c>
      <c r="C54" s="2770"/>
      <c r="D54" s="1288">
        <f t="shared" si="10"/>
        <v>0</v>
      </c>
      <c r="E54" s="821"/>
      <c r="F54" s="2502"/>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2955</v>
      </c>
      <c r="B55" s="2882" t="str">
        <f>估价对象房地状况!C22</f>
        <v>估价对象所在区域基础设施水平</v>
      </c>
      <c r="C55" s="2770"/>
      <c r="D55" s="1288">
        <f t="shared" si="10"/>
        <v>0</v>
      </c>
      <c r="E55" s="821"/>
      <c r="F55" s="2502"/>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2956</v>
      </c>
      <c r="B56" s="2887" t="str">
        <f>估价对象房地状况!C20</f>
        <v>区域自然环境：；人文环境；综合评价环境状况一般</v>
      </c>
      <c r="C56" s="2770"/>
      <c r="D56" s="1288">
        <f t="shared" si="10"/>
        <v>0</v>
      </c>
      <c r="E56" s="824"/>
      <c r="F56" s="2502"/>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2957</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2938</v>
      </c>
      <c r="B58" s="1811"/>
      <c r="C58" s="1811" t="s">
        <v>2940</v>
      </c>
      <c r="D58" s="1811" t="s">
        <v>2941</v>
      </c>
      <c r="E58" s="818" t="s">
        <v>2942</v>
      </c>
      <c r="F58" s="2879" t="s">
        <v>2958</v>
      </c>
      <c r="G58" s="1811" t="s">
        <v>754</v>
      </c>
      <c r="H58" s="2880" t="s">
        <v>2944</v>
      </c>
      <c r="I58" s="1811" t="s">
        <v>2945</v>
      </c>
      <c r="J58" s="603" t="s">
        <v>2591</v>
      </c>
      <c r="K58" s="603" t="s">
        <v>2592</v>
      </c>
      <c r="L58" s="603" t="s">
        <v>2593</v>
      </c>
      <c r="M58" s="603" t="s">
        <v>2594</v>
      </c>
      <c r="N58" s="603" t="s">
        <v>2595</v>
      </c>
      <c r="AA58" s="1373"/>
      <c r="AB58" s="1373"/>
      <c r="AC58" s="1373"/>
      <c r="AD58" s="1373"/>
      <c r="AE58" s="1373"/>
      <c r="AF58" s="1373"/>
      <c r="AG58" s="1373"/>
      <c r="AH58" s="1373"/>
      <c r="AI58" s="1373"/>
      <c r="AJ58" s="1373"/>
      <c r="AK58" s="1373"/>
    </row>
    <row r="59" spans="1:37" s="1372" customFormat="1" ht="38.25">
      <c r="A59" s="2878" t="s">
        <v>2959</v>
      </c>
      <c r="B59" s="2881" t="str">
        <f>估价对象房地状况!C17</f>
        <v>估价对象位于XX商圈，周边办公楼项目较多，入驻率高，办公集聚程度较好</v>
      </c>
      <c r="C59" s="2770"/>
      <c r="D59" s="1288">
        <f t="shared" ref="D59:D67" si="15">SUMIF($J$58:$N$58,C59,J59:N59)</f>
        <v>0</v>
      </c>
      <c r="E59" s="820">
        <f>ROUND(SUM(D59:D67),4)</f>
        <v>0</v>
      </c>
      <c r="F59" s="2502"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8" t="s">
        <v>2947</v>
      </c>
      <c r="B60" s="2882" t="str">
        <f>估价对象房地状况!C18</f>
        <v>估价对象周边道路状况、公共交通通达情况、停车便捷程度，综合评价交通便捷度较好</v>
      </c>
      <c r="C60" s="2770"/>
      <c r="D60" s="1288">
        <f t="shared" si="15"/>
        <v>0</v>
      </c>
      <c r="E60" s="821"/>
      <c r="F60" s="2502"/>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2948</v>
      </c>
      <c r="B61" s="2882">
        <f>估价对象房地状况!C19</f>
        <v>0</v>
      </c>
      <c r="C61" s="2770"/>
      <c r="D61" s="1288">
        <f t="shared" si="15"/>
        <v>0</v>
      </c>
      <c r="E61" s="821"/>
      <c r="F61" s="2502"/>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2949</v>
      </c>
      <c r="B62" s="2883" t="s">
        <v>2950</v>
      </c>
      <c r="C62" s="2770"/>
      <c r="D62" s="1288">
        <f t="shared" si="15"/>
        <v>0</v>
      </c>
      <c r="E62" s="821"/>
      <c r="F62" s="2502"/>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2951</v>
      </c>
      <c r="B63" s="2882">
        <f>估价对象房地状况!C24</f>
        <v>0</v>
      </c>
      <c r="C63" s="2770"/>
      <c r="D63" s="1288">
        <f t="shared" si="15"/>
        <v>0</v>
      </c>
      <c r="E63" s="821"/>
      <c r="F63" s="2502"/>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2952</v>
      </c>
      <c r="B64" s="2884" t="s">
        <v>2953</v>
      </c>
      <c r="C64" s="2770"/>
      <c r="D64" s="1288">
        <f t="shared" si="15"/>
        <v>0</v>
      </c>
      <c r="E64" s="821"/>
      <c r="F64" s="2502"/>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8" t="s">
        <v>2954</v>
      </c>
      <c r="B65" s="1727" t="str">
        <f>估价对象房地状况!C21</f>
        <v>估价对象所在区域公共配套设施齐备情况</v>
      </c>
      <c r="C65" s="2770"/>
      <c r="D65" s="1288">
        <f t="shared" si="15"/>
        <v>0</v>
      </c>
      <c r="E65" s="821"/>
      <c r="F65" s="2502"/>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8" t="s">
        <v>2955</v>
      </c>
      <c r="B66" s="1727" t="str">
        <f>估价对象房地状况!C22</f>
        <v>估价对象所在区域基础设施水平</v>
      </c>
      <c r="C66" s="2770"/>
      <c r="D66" s="1288">
        <f t="shared" si="15"/>
        <v>0</v>
      </c>
      <c r="E66" s="821"/>
      <c r="F66" s="2502"/>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6" t="s">
        <v>2956</v>
      </c>
      <c r="B67" s="2888" t="str">
        <f>估价对象房地状况!C20</f>
        <v>区域自然环境：；人文环境；综合评价环境状况一般</v>
      </c>
      <c r="C67" s="2770"/>
      <c r="D67" s="1288">
        <f t="shared" si="15"/>
        <v>0</v>
      </c>
      <c r="E67" s="824"/>
      <c r="F67" s="2502"/>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2960</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2938</v>
      </c>
      <c r="B69" s="1811"/>
      <c r="C69" s="1811" t="s">
        <v>2940</v>
      </c>
      <c r="D69" s="1811" t="s">
        <v>2941</v>
      </c>
      <c r="E69" s="818" t="s">
        <v>2942</v>
      </c>
      <c r="F69" s="2879" t="s">
        <v>2958</v>
      </c>
      <c r="G69" s="1811" t="s">
        <v>754</v>
      </c>
      <c r="H69" s="2880" t="s">
        <v>2944</v>
      </c>
      <c r="I69" s="1811" t="s">
        <v>2945</v>
      </c>
      <c r="J69" s="603" t="s">
        <v>2591</v>
      </c>
      <c r="K69" s="603" t="s">
        <v>2592</v>
      </c>
      <c r="L69" s="603" t="s">
        <v>2593</v>
      </c>
      <c r="M69" s="603" t="s">
        <v>2594</v>
      </c>
      <c r="N69" s="603" t="s">
        <v>2595</v>
      </c>
      <c r="AA69" s="1373"/>
      <c r="AB69" s="1373"/>
      <c r="AC69" s="1373"/>
      <c r="AD69" s="1373"/>
      <c r="AE69" s="1373"/>
      <c r="AF69" s="1373"/>
      <c r="AG69" s="1373"/>
      <c r="AH69" s="1373"/>
      <c r="AI69" s="1373"/>
      <c r="AJ69" s="1373"/>
      <c r="AK69" s="1373"/>
    </row>
    <row r="70" spans="1:37" s="1372" customFormat="1" ht="51">
      <c r="A70" s="2878" t="s">
        <v>2961</v>
      </c>
      <c r="B70" s="2881" t="str">
        <f>估价对象房地状况!C15</f>
        <v>估价对象周边居住用地比例、居住小区规模和社区发展完善程度，综合评价居住社区成熟度一般</v>
      </c>
      <c r="C70" s="2770"/>
      <c r="D70" s="1288">
        <f t="shared" ref="D70:D78" si="20">SUMIF($J$69:$N$69,C70,J70:N70)</f>
        <v>0</v>
      </c>
      <c r="E70" s="820">
        <f>ROUND(SUM(D70:D78),4)</f>
        <v>0</v>
      </c>
      <c r="F70" s="2502"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2947</v>
      </c>
      <c r="B71" s="2882" t="str">
        <f>估价对象房地状况!C18</f>
        <v>估价对象周边道路状况、公共交通通达情况、停车便捷程度，综合评价交通便捷度较好</v>
      </c>
      <c r="C71" s="2770"/>
      <c r="D71" s="1288">
        <f t="shared" si="20"/>
        <v>0</v>
      </c>
      <c r="E71" s="825"/>
      <c r="F71" s="2502"/>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2948</v>
      </c>
      <c r="B72" s="2882">
        <f>估价对象房地状况!C19</f>
        <v>0</v>
      </c>
      <c r="C72" s="2770"/>
      <c r="D72" s="1288">
        <f t="shared" si="20"/>
        <v>0</v>
      </c>
      <c r="E72" s="825"/>
      <c r="F72" s="2502"/>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2962</v>
      </c>
      <c r="B73" s="2882">
        <f>估价对象房地状况!C24</f>
        <v>0</v>
      </c>
      <c r="C73" s="2770"/>
      <c r="D73" s="1288">
        <f t="shared" si="20"/>
        <v>0</v>
      </c>
      <c r="E73" s="825"/>
      <c r="F73" s="2502"/>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2954</v>
      </c>
      <c r="B74" s="1727" t="str">
        <f>估价对象房地状况!C21</f>
        <v>估价对象所在区域公共配套设施齐备情况</v>
      </c>
      <c r="C74" s="2770"/>
      <c r="D74" s="1288">
        <f t="shared" si="20"/>
        <v>0</v>
      </c>
      <c r="E74" s="825"/>
      <c r="F74" s="2502"/>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2955</v>
      </c>
      <c r="B75" s="1727" t="str">
        <f>估价对象房地状况!C22</f>
        <v>估价对象所在区域基础设施水平</v>
      </c>
      <c r="C75" s="2770"/>
      <c r="D75" s="1288">
        <f t="shared" si="20"/>
        <v>0</v>
      </c>
      <c r="E75" s="825"/>
      <c r="F75" s="2502"/>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2952</v>
      </c>
      <c r="B76" s="2884" t="s">
        <v>2953</v>
      </c>
      <c r="C76" s="2770"/>
      <c r="D76" s="1288">
        <f t="shared" si="20"/>
        <v>0</v>
      </c>
      <c r="E76" s="825"/>
      <c r="F76" s="2502"/>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2956</v>
      </c>
      <c r="B77" s="2881" t="str">
        <f>估价对象房地状况!C20</f>
        <v>区域自然环境：；人文环境；综合评价环境状况一般</v>
      </c>
      <c r="C77" s="2770"/>
      <c r="D77" s="1288">
        <f t="shared" si="20"/>
        <v>0</v>
      </c>
      <c r="E77" s="825"/>
      <c r="F77" s="2502"/>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thickBot="1">
      <c r="A78" s="2886" t="s">
        <v>2963</v>
      </c>
      <c r="B78" s="2890"/>
      <c r="C78" s="2770"/>
      <c r="D78" s="1288">
        <f t="shared" si="20"/>
        <v>0</v>
      </c>
      <c r="E78" s="826"/>
      <c r="F78" s="2502"/>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2964</v>
      </c>
      <c r="B79" s="2875">
        <f>1+E81</f>
        <v>1</v>
      </c>
      <c r="C79" s="813"/>
      <c r="D79" s="813"/>
      <c r="E79" s="814"/>
      <c r="F79" s="2877"/>
      <c r="G79" s="6"/>
      <c r="H79" s="6"/>
      <c r="I79" s="6"/>
      <c r="J79" s="7"/>
      <c r="K79" s="7"/>
      <c r="L79" s="7"/>
      <c r="M79" s="7"/>
      <c r="N79" s="7"/>
      <c r="Z79" s="2720"/>
      <c r="AA79" s="2796"/>
      <c r="AG79" s="1374"/>
      <c r="AK79" s="2796"/>
    </row>
    <row r="80" spans="1:37" ht="24.75">
      <c r="A80" s="2878" t="s">
        <v>2938</v>
      </c>
      <c r="B80" s="1811"/>
      <c r="C80" s="1811" t="s">
        <v>2940</v>
      </c>
      <c r="D80" s="1811" t="s">
        <v>2941</v>
      </c>
      <c r="E80" s="818" t="s">
        <v>2942</v>
      </c>
      <c r="F80" s="2879" t="s">
        <v>2958</v>
      </c>
      <c r="G80" s="1811" t="s">
        <v>754</v>
      </c>
      <c r="H80" s="2880" t="s">
        <v>2944</v>
      </c>
      <c r="I80" s="1811" t="s">
        <v>2945</v>
      </c>
      <c r="J80" s="603" t="s">
        <v>2591</v>
      </c>
      <c r="K80" s="603" t="s">
        <v>2592</v>
      </c>
      <c r="L80" s="603" t="s">
        <v>2593</v>
      </c>
      <c r="M80" s="603" t="s">
        <v>2594</v>
      </c>
      <c r="N80" s="603" t="s">
        <v>2595</v>
      </c>
      <c r="Z80" s="2720"/>
      <c r="AA80" s="2796"/>
      <c r="AG80" s="1374"/>
      <c r="AK80" s="2796"/>
    </row>
    <row r="81" spans="1:37" ht="38.25">
      <c r="A81" s="2878" t="s">
        <v>2965</v>
      </c>
      <c r="B81" s="2882" t="str">
        <f>估价对象房地状况!G15</f>
        <v>估价对象位于XX开发区，园区建设成熟度XX，产业集聚程度XX</v>
      </c>
      <c r="C81" s="2770"/>
      <c r="D81" s="1288">
        <f t="shared" ref="D81:D88" si="25">SUMIF($J$80:$N$80,C81,J81:N81)</f>
        <v>0</v>
      </c>
      <c r="E81" s="820">
        <f>ROUND(SUM(D81:D88),4)</f>
        <v>0</v>
      </c>
      <c r="F81" s="2502"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51">
      <c r="A82" s="2878" t="s">
        <v>2947</v>
      </c>
      <c r="B82" s="2882" t="str">
        <f>估价对象房地状况!G16</f>
        <v>估价对象周边道路状况、公共交通通达情况、停车便捷程度，综合评价交通便捷度较好</v>
      </c>
      <c r="C82" s="2770"/>
      <c r="D82" s="1288">
        <f t="shared" si="25"/>
        <v>0</v>
      </c>
      <c r="E82" s="825"/>
      <c r="F82" s="2502"/>
      <c r="G82" s="1286"/>
      <c r="H82" s="1290" t="str">
        <f t="shared" si="26"/>
        <v>——</v>
      </c>
      <c r="I82" s="819">
        <v>0.33</v>
      </c>
      <c r="J82" s="1287">
        <f t="shared" si="27"/>
        <v>0</v>
      </c>
      <c r="K82" s="1287">
        <f t="shared" si="28"/>
        <v>0</v>
      </c>
      <c r="L82" s="1287">
        <v>0</v>
      </c>
      <c r="M82" s="1287">
        <f t="shared" si="29"/>
        <v>0</v>
      </c>
      <c r="N82" s="1287">
        <f t="shared" si="29"/>
        <v>0</v>
      </c>
      <c r="Z82" s="2720"/>
      <c r="AA82" s="2796"/>
      <c r="AG82" s="1374"/>
      <c r="AK82" s="2796"/>
    </row>
    <row r="83" spans="1:37" ht="24">
      <c r="A83" s="2878" t="s">
        <v>2948</v>
      </c>
      <c r="B83" s="2882">
        <f>估价对象房地状况!G17</f>
        <v>0</v>
      </c>
      <c r="C83" s="2770"/>
      <c r="D83" s="1288">
        <f t="shared" si="25"/>
        <v>0</v>
      </c>
      <c r="E83" s="825"/>
      <c r="F83" s="2502"/>
      <c r="G83" s="1286"/>
      <c r="H83" s="1290" t="str">
        <f t="shared" si="26"/>
        <v>——</v>
      </c>
      <c r="I83" s="819">
        <v>0.05</v>
      </c>
      <c r="J83" s="1287">
        <f t="shared" si="27"/>
        <v>0</v>
      </c>
      <c r="K83" s="1287">
        <f t="shared" si="28"/>
        <v>0</v>
      </c>
      <c r="L83" s="1287">
        <v>0</v>
      </c>
      <c r="M83" s="1287">
        <f t="shared" si="29"/>
        <v>0</v>
      </c>
      <c r="N83" s="1287">
        <f t="shared" si="29"/>
        <v>0</v>
      </c>
      <c r="Z83" s="2720"/>
      <c r="AA83" s="2796"/>
      <c r="AG83" s="1374"/>
      <c r="AK83" s="2796"/>
    </row>
    <row r="84" spans="1:37" ht="14.25">
      <c r="A84" s="2878" t="s">
        <v>2962</v>
      </c>
      <c r="B84" s="2882">
        <f>估价对象房地状况!G22</f>
        <v>0</v>
      </c>
      <c r="C84" s="2770"/>
      <c r="D84" s="1288">
        <f t="shared" si="25"/>
        <v>0</v>
      </c>
      <c r="E84" s="825"/>
      <c r="F84" s="2502"/>
      <c r="G84" s="1286"/>
      <c r="H84" s="1290" t="str">
        <f t="shared" si="26"/>
        <v>——</v>
      </c>
      <c r="I84" s="819">
        <v>0.04</v>
      </c>
      <c r="J84" s="1287">
        <f t="shared" si="27"/>
        <v>0</v>
      </c>
      <c r="K84" s="1287">
        <f t="shared" si="28"/>
        <v>0</v>
      </c>
      <c r="L84" s="1287">
        <v>0</v>
      </c>
      <c r="M84" s="1287">
        <f t="shared" si="29"/>
        <v>0</v>
      </c>
      <c r="N84" s="1287">
        <f t="shared" si="29"/>
        <v>0</v>
      </c>
      <c r="Z84" s="2720"/>
      <c r="AA84" s="2796"/>
      <c r="AG84" s="1374"/>
      <c r="AK84" s="2796"/>
    </row>
    <row r="85" spans="1:37" ht="25.5">
      <c r="A85" s="2878" t="s">
        <v>2954</v>
      </c>
      <c r="B85" s="1727" t="str">
        <f>估价对象房地状况!G19</f>
        <v>估价对象所在区域公共配套设施齐备情况</v>
      </c>
      <c r="C85" s="2770"/>
      <c r="D85" s="1288">
        <f t="shared" si="25"/>
        <v>0</v>
      </c>
      <c r="E85" s="825"/>
      <c r="F85" s="2502"/>
      <c r="G85" s="1286"/>
      <c r="H85" s="1290" t="str">
        <f t="shared" si="26"/>
        <v>——</v>
      </c>
      <c r="I85" s="819">
        <v>0.06</v>
      </c>
      <c r="J85" s="1287">
        <f t="shared" si="27"/>
        <v>0</v>
      </c>
      <c r="K85" s="1287">
        <f t="shared" si="28"/>
        <v>0</v>
      </c>
      <c r="L85" s="1287">
        <v>0</v>
      </c>
      <c r="M85" s="1287">
        <f t="shared" si="29"/>
        <v>0</v>
      </c>
      <c r="N85" s="1287">
        <f t="shared" si="29"/>
        <v>0</v>
      </c>
      <c r="Z85" s="2720"/>
      <c r="AA85" s="2796"/>
      <c r="AG85" s="1374"/>
      <c r="AK85" s="2796"/>
    </row>
    <row r="86" spans="1:37" ht="25.5">
      <c r="A86" s="2878" t="s">
        <v>2955</v>
      </c>
      <c r="B86" s="1727" t="str">
        <f>估价对象房地状况!G20</f>
        <v>估价对象所在区域基础设施水平</v>
      </c>
      <c r="C86" s="2770"/>
      <c r="D86" s="1288">
        <f t="shared" si="25"/>
        <v>0</v>
      </c>
      <c r="E86" s="825"/>
      <c r="F86" s="2502"/>
      <c r="G86" s="1286"/>
      <c r="H86" s="1290" t="str">
        <f t="shared" si="26"/>
        <v>——</v>
      </c>
      <c r="I86" s="819">
        <v>0.15</v>
      </c>
      <c r="J86" s="1287">
        <f t="shared" si="27"/>
        <v>0</v>
      </c>
      <c r="K86" s="1287">
        <f t="shared" si="28"/>
        <v>0</v>
      </c>
      <c r="L86" s="1287">
        <v>0</v>
      </c>
      <c r="M86" s="1287">
        <f t="shared" si="29"/>
        <v>0</v>
      </c>
      <c r="N86" s="1287">
        <f t="shared" si="29"/>
        <v>0</v>
      </c>
      <c r="Z86" s="2720"/>
      <c r="AA86" s="2796"/>
      <c r="AG86" s="1374"/>
      <c r="AK86" s="2796"/>
    </row>
    <row r="87" spans="1:37" ht="24">
      <c r="A87" s="2878" t="s">
        <v>2952</v>
      </c>
      <c r="B87" s="2884" t="s">
        <v>2966</v>
      </c>
      <c r="C87" s="2770"/>
      <c r="D87" s="1288">
        <f t="shared" si="25"/>
        <v>0</v>
      </c>
      <c r="E87" s="825"/>
      <c r="F87" s="2502"/>
      <c r="G87" s="1286"/>
      <c r="H87" s="1290" t="str">
        <f t="shared" si="26"/>
        <v>——</v>
      </c>
      <c r="I87" s="819">
        <v>0.05</v>
      </c>
      <c r="J87" s="1287">
        <f t="shared" si="27"/>
        <v>0</v>
      </c>
      <c r="K87" s="1287">
        <f t="shared" si="28"/>
        <v>0</v>
      </c>
      <c r="L87" s="1287">
        <v>0</v>
      </c>
      <c r="M87" s="1287">
        <f t="shared" si="29"/>
        <v>0</v>
      </c>
      <c r="N87" s="1287">
        <f t="shared" si="29"/>
        <v>0</v>
      </c>
      <c r="Z87" s="2720"/>
      <c r="AA87" s="2796"/>
      <c r="AG87" s="1374"/>
      <c r="AK87" s="2796"/>
    </row>
    <row r="88" spans="1:37" ht="39" thickBot="1">
      <c r="A88" s="2886" t="s">
        <v>2967</v>
      </c>
      <c r="B88" s="2891" t="str">
        <f>估价对象房地状况!G18</f>
        <v>该园区内是否有污染型企业，绿化情况，卫生条件，整体环境状况判断</v>
      </c>
      <c r="C88" s="2770"/>
      <c r="D88" s="1288">
        <f t="shared" si="25"/>
        <v>0</v>
      </c>
      <c r="E88" s="826"/>
      <c r="F88" s="2502"/>
      <c r="G88" s="1286"/>
      <c r="H88" s="1290" t="str">
        <f t="shared" si="26"/>
        <v>——</v>
      </c>
      <c r="I88" s="823">
        <v>0.06</v>
      </c>
      <c r="J88" s="1287">
        <f t="shared" si="27"/>
        <v>0</v>
      </c>
      <c r="K88" s="1287">
        <f t="shared" si="28"/>
        <v>0</v>
      </c>
      <c r="L88" s="1287">
        <v>0</v>
      </c>
      <c r="M88" s="1287">
        <f t="shared" si="29"/>
        <v>0</v>
      </c>
      <c r="N88" s="1287">
        <f t="shared" si="29"/>
        <v>0</v>
      </c>
      <c r="Z88" s="2720"/>
      <c r="AA88" s="2796"/>
      <c r="AG88" s="1374"/>
      <c r="AK88" s="2796"/>
    </row>
    <row r="90" spans="1:37">
      <c r="A90" s="3412" t="s">
        <v>2968</v>
      </c>
      <c r="B90" s="3412"/>
      <c r="C90" s="3412"/>
      <c r="D90" s="3412"/>
      <c r="E90" s="3412"/>
      <c r="F90" s="3412"/>
      <c r="G90" s="3412"/>
      <c r="H90" s="3412"/>
      <c r="I90" s="3412"/>
      <c r="J90" s="3412"/>
      <c r="K90" s="2892"/>
      <c r="L90" s="2892"/>
      <c r="M90" s="2892"/>
      <c r="N90" s="2892"/>
    </row>
    <row r="91" spans="1:37">
      <c r="A91" s="3414" t="s">
        <v>2969</v>
      </c>
      <c r="B91" s="3414" t="s">
        <v>2970</v>
      </c>
      <c r="C91" s="2846" t="s">
        <v>2971</v>
      </c>
      <c r="D91" s="2847"/>
      <c r="E91" s="2847"/>
      <c r="F91" s="2847"/>
      <c r="G91" s="2847"/>
      <c r="H91" s="2847"/>
      <c r="I91" s="2847"/>
      <c r="J91" s="2893"/>
      <c r="K91" s="2894"/>
      <c r="L91" s="2894"/>
      <c r="M91" s="2894"/>
      <c r="N91" s="2894"/>
    </row>
    <row r="92" spans="1:37">
      <c r="A92" s="3414"/>
      <c r="B92" s="3414"/>
      <c r="C92" s="944" t="s">
        <v>2835</v>
      </c>
      <c r="D92" s="944" t="s">
        <v>2836</v>
      </c>
      <c r="E92" s="944" t="s">
        <v>2837</v>
      </c>
      <c r="F92" s="944" t="s">
        <v>2838</v>
      </c>
      <c r="G92" s="944" t="s">
        <v>2839</v>
      </c>
      <c r="H92" s="944" t="s">
        <v>2840</v>
      </c>
      <c r="I92" s="944" t="s">
        <v>2841</v>
      </c>
      <c r="J92" s="944" t="s">
        <v>2842</v>
      </c>
      <c r="K92" s="944" t="s">
        <v>2843</v>
      </c>
      <c r="L92" s="944" t="s">
        <v>2844</v>
      </c>
      <c r="M92" s="944" t="s">
        <v>2845</v>
      </c>
      <c r="N92" s="944" t="s">
        <v>2846</v>
      </c>
    </row>
    <row r="93" spans="1:37">
      <c r="A93" s="3415" t="s">
        <v>2972</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416"/>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416"/>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416"/>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416"/>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416"/>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416"/>
      <c r="B99" s="2895" t="s">
        <v>2851</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417"/>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415" t="s">
        <v>2973</v>
      </c>
      <c r="B101" s="2899" t="s">
        <v>2974</v>
      </c>
      <c r="C101" s="2900">
        <f>$G$3</f>
        <v>4.2300000000000004</v>
      </c>
      <c r="D101" s="2900">
        <f t="shared" ref="D101:N101" si="31">$G$3</f>
        <v>4.2300000000000004</v>
      </c>
      <c r="E101" s="2900">
        <f t="shared" si="31"/>
        <v>4.2300000000000004</v>
      </c>
      <c r="F101" s="2900">
        <f t="shared" si="31"/>
        <v>4.2300000000000004</v>
      </c>
      <c r="G101" s="2900">
        <f t="shared" si="31"/>
        <v>4.2300000000000004</v>
      </c>
      <c r="H101" s="2900">
        <f t="shared" si="31"/>
        <v>4.2300000000000004</v>
      </c>
      <c r="I101" s="2900">
        <f t="shared" si="31"/>
        <v>4.2300000000000004</v>
      </c>
      <c r="J101" s="2900">
        <f t="shared" si="31"/>
        <v>4.2300000000000004</v>
      </c>
      <c r="K101" s="2900">
        <f t="shared" si="31"/>
        <v>4.2300000000000004</v>
      </c>
      <c r="L101" s="2900">
        <f t="shared" si="31"/>
        <v>4.2300000000000004</v>
      </c>
      <c r="M101" s="2900">
        <f t="shared" si="31"/>
        <v>4.2300000000000004</v>
      </c>
      <c r="N101" s="2900">
        <f t="shared" si="31"/>
        <v>4.2300000000000004</v>
      </c>
    </row>
    <row r="102" spans="1:14">
      <c r="A102" s="3416"/>
      <c r="B102" s="2895">
        <v>1</v>
      </c>
      <c r="C102" s="2896">
        <f>1.9362/C101</f>
        <v>0.45773049645390063</v>
      </c>
      <c r="D102" s="2896">
        <f>1.9362/D101</f>
        <v>0.45773049645390063</v>
      </c>
      <c r="E102" s="2896">
        <f>1.8629/E101</f>
        <v>0.44040189125295504</v>
      </c>
      <c r="F102" s="2896">
        <f>1.8629/F101</f>
        <v>0.44040189125295504</v>
      </c>
      <c r="G102" s="2896">
        <f>1.8629/G101</f>
        <v>0.44040189125295504</v>
      </c>
      <c r="H102" s="2896">
        <f>1.8629/H101</f>
        <v>0.44040189125295504</v>
      </c>
      <c r="I102" s="2896">
        <f>1.8629/I101</f>
        <v>0.44040189125295504</v>
      </c>
      <c r="J102" s="2896">
        <f>1.942/J101</f>
        <v>0.45910165484633564</v>
      </c>
      <c r="K102" s="2896">
        <f>1.942/K101</f>
        <v>0.45910165484633564</v>
      </c>
      <c r="L102" s="2896">
        <f>1.942/L101</f>
        <v>0.45910165484633564</v>
      </c>
      <c r="M102" s="2896">
        <f>1.942/M101</f>
        <v>0.45910165484633564</v>
      </c>
      <c r="N102" s="2896">
        <f>1.942/N101</f>
        <v>0.45910165484633564</v>
      </c>
    </row>
    <row r="103" spans="1:14">
      <c r="A103" s="3416"/>
      <c r="B103" s="2895">
        <v>2</v>
      </c>
      <c r="C103" s="2896">
        <f>1.4198/C101</f>
        <v>0.33565011820330964</v>
      </c>
      <c r="D103" s="2896">
        <f>1.4198/D101</f>
        <v>0.33565011820330964</v>
      </c>
      <c r="E103" s="2896">
        <f>1.3372/E101</f>
        <v>0.31612293144208031</v>
      </c>
      <c r="F103" s="2896">
        <f>1.3372/F101</f>
        <v>0.31612293144208031</v>
      </c>
      <c r="G103" s="2896">
        <f>1.3372/G101</f>
        <v>0.31612293144208031</v>
      </c>
      <c r="H103" s="2896">
        <f>1.3372/H101</f>
        <v>0.31612293144208031</v>
      </c>
      <c r="I103" s="2896">
        <f>1.3372/I101</f>
        <v>0.31612293144208031</v>
      </c>
      <c r="J103" s="2896">
        <f>1.2799/J101</f>
        <v>0.30257683215130021</v>
      </c>
      <c r="K103" s="2896">
        <f>1.2799/K101</f>
        <v>0.30257683215130021</v>
      </c>
      <c r="L103" s="2896">
        <f>1.2799/L101</f>
        <v>0.30257683215130021</v>
      </c>
      <c r="M103" s="2896">
        <f>1.2799/M101</f>
        <v>0.30257683215130021</v>
      </c>
      <c r="N103" s="2896">
        <f>1.2799/N101</f>
        <v>0.30257683215130021</v>
      </c>
    </row>
    <row r="104" spans="1:14">
      <c r="A104" s="3416"/>
      <c r="B104" s="2895">
        <v>3</v>
      </c>
      <c r="C104" s="2896">
        <f>1.1594/C101</f>
        <v>0.27408983451536639</v>
      </c>
      <c r="D104" s="2896">
        <f>1.1594/D101</f>
        <v>0.27408983451536639</v>
      </c>
      <c r="E104" s="2896">
        <f>1.0788/E101</f>
        <v>0.25503546099290775</v>
      </c>
      <c r="F104" s="2896">
        <f>1.0788/F101</f>
        <v>0.25503546099290775</v>
      </c>
      <c r="G104" s="2896">
        <f>1.0788/G101</f>
        <v>0.25503546099290775</v>
      </c>
      <c r="H104" s="2896">
        <f>1.0788/H101</f>
        <v>0.25503546099290775</v>
      </c>
      <c r="I104" s="2896">
        <f>1.0788/I101</f>
        <v>0.25503546099290775</v>
      </c>
      <c r="J104" s="2896">
        <f>1.0072/J101</f>
        <v>0.23810874704491725</v>
      </c>
      <c r="K104" s="2896">
        <f>1.0072/K101</f>
        <v>0.23810874704491725</v>
      </c>
      <c r="L104" s="2896">
        <f>1.0072/L101</f>
        <v>0.23810874704491725</v>
      </c>
      <c r="M104" s="2896">
        <f>1.0072/M101</f>
        <v>0.23810874704491725</v>
      </c>
      <c r="N104" s="2896">
        <f>1.0072/N101</f>
        <v>0.23810874704491725</v>
      </c>
    </row>
    <row r="105" spans="1:14">
      <c r="A105" s="3416"/>
      <c r="B105" s="2895">
        <v>4</v>
      </c>
      <c r="C105" s="2896">
        <f>0.9622/C101</f>
        <v>0.22747044917257683</v>
      </c>
      <c r="D105" s="2896">
        <f>0.9622/D101</f>
        <v>0.22747044917257683</v>
      </c>
      <c r="E105" s="2896">
        <f>0.8656/E101</f>
        <v>0.2046335697399527</v>
      </c>
      <c r="F105" s="2896">
        <f>0.8656/F101</f>
        <v>0.2046335697399527</v>
      </c>
      <c r="G105" s="2896">
        <f>0.8656/G101</f>
        <v>0.2046335697399527</v>
      </c>
      <c r="H105" s="2896">
        <f>0.8656/H101</f>
        <v>0.2046335697399527</v>
      </c>
      <c r="I105" s="2896">
        <f>0.8656/I101</f>
        <v>0.2046335697399527</v>
      </c>
      <c r="J105" s="2896">
        <f>0.7525/J101</f>
        <v>0.17789598108747043</v>
      </c>
      <c r="K105" s="2896">
        <f>0.7525/K101</f>
        <v>0.17789598108747043</v>
      </c>
      <c r="L105" s="2896">
        <f>0.7525/L101</f>
        <v>0.17789598108747043</v>
      </c>
      <c r="M105" s="2896">
        <f>0.7525/M101</f>
        <v>0.17789598108747043</v>
      </c>
      <c r="N105" s="2896">
        <f>0.7525/N101</f>
        <v>0.17789598108747043</v>
      </c>
    </row>
    <row r="106" spans="1:14">
      <c r="A106" s="3416"/>
      <c r="B106" s="2895">
        <v>5</v>
      </c>
      <c r="C106" s="2896">
        <f>0.8417/C101</f>
        <v>0.19898345153664301</v>
      </c>
      <c r="D106" s="2896">
        <f>0.8417/D101</f>
        <v>0.19898345153664301</v>
      </c>
      <c r="E106" s="2896">
        <f>0.7371/E101</f>
        <v>0.17425531914893616</v>
      </c>
      <c r="F106" s="2896">
        <f>0.7371/F101</f>
        <v>0.17425531914893616</v>
      </c>
      <c r="G106" s="2896">
        <f>0.7371/G101</f>
        <v>0.17425531914893616</v>
      </c>
      <c r="H106" s="2896">
        <f>0.7371/H101</f>
        <v>0.17425531914893616</v>
      </c>
      <c r="I106" s="2896">
        <f>0.7371/I101</f>
        <v>0.17425531914893616</v>
      </c>
      <c r="J106" s="2896">
        <f>0.5659/J101</f>
        <v>0.13378250591016547</v>
      </c>
      <c r="K106" s="2896">
        <f>0.5659/K101</f>
        <v>0.13378250591016547</v>
      </c>
      <c r="L106" s="2896">
        <f>0.5659/L101</f>
        <v>0.13378250591016547</v>
      </c>
      <c r="M106" s="2896">
        <f>0.5659/M101</f>
        <v>0.13378250591016547</v>
      </c>
      <c r="N106" s="2896">
        <f>0.5659/N101</f>
        <v>0.13378250591016547</v>
      </c>
    </row>
    <row r="107" spans="1:14">
      <c r="A107" s="3416"/>
      <c r="B107" s="2895">
        <v>6</v>
      </c>
      <c r="C107" s="2896">
        <f>0.7608/C101</f>
        <v>0.17985815602836877</v>
      </c>
      <c r="D107" s="2896">
        <f>0.7608/D101</f>
        <v>0.17985815602836877</v>
      </c>
      <c r="E107" s="2896">
        <f>0.6482/E101</f>
        <v>0.15323877068557917</v>
      </c>
      <c r="F107" s="2896">
        <f>0.6482/F101</f>
        <v>0.15323877068557917</v>
      </c>
      <c r="G107" s="2896">
        <f>0.6482/G101</f>
        <v>0.15323877068557917</v>
      </c>
      <c r="H107" s="2896">
        <f>0.6482/H101</f>
        <v>0.15323877068557917</v>
      </c>
      <c r="I107" s="2896">
        <f>0.6482/I101</f>
        <v>0.15323877068557917</v>
      </c>
      <c r="J107" s="2896">
        <f>0.4525/J101</f>
        <v>0.1069739952718676</v>
      </c>
      <c r="K107" s="2896">
        <f>0.4525/K101</f>
        <v>0.1069739952718676</v>
      </c>
      <c r="L107" s="2896">
        <f>0.4525/L101</f>
        <v>0.1069739952718676</v>
      </c>
      <c r="M107" s="2896">
        <f>0.4525/M101</f>
        <v>0.1069739952718676</v>
      </c>
      <c r="N107" s="2896">
        <f>0.4525/N101</f>
        <v>0.1069739952718676</v>
      </c>
    </row>
    <row r="108" spans="1:14">
      <c r="A108" s="3416"/>
      <c r="B108" s="3236" t="s">
        <v>2975</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417"/>
      <c r="B109" s="3237"/>
      <c r="C109" s="2898">
        <f>(-0.163*(C108^2)-0.59*C108+7617)*(10^(-4))/C101</f>
        <v>0.18007092198581559</v>
      </c>
      <c r="D109" s="2898">
        <f>(-0.163*(D108^2)-0.59*D108+7617)*(10^(-4))/D101</f>
        <v>0.18007092198581559</v>
      </c>
      <c r="E109" s="2898">
        <f>(-0.161*(E108^2)-7.509*E108+6533)*(10^(-4))/E101</f>
        <v>0.15444444444444444</v>
      </c>
      <c r="F109" s="2898">
        <f>(-0.161*(F108^2)-7.509*F108+6533)*(10^(-4))/F101</f>
        <v>0.15444444444444444</v>
      </c>
      <c r="G109" s="2898">
        <f>(-0.161*(G108^2)-7.509*G108+6533)*(10^(-4))/G101</f>
        <v>0.15444444444444444</v>
      </c>
      <c r="H109" s="2898">
        <f>(-0.161*(H108^2)-7.509*H108+6533)*(10^(-4))/H101</f>
        <v>0.15444444444444444</v>
      </c>
      <c r="I109" s="2898">
        <f>(-0.161*(I108^2)-7.509*I108+6533)*(10^(-4))/I101</f>
        <v>0.15444444444444444</v>
      </c>
      <c r="J109" s="2898">
        <f>(-0.214*(J108^2)-21.991*J108+4665)*(10^(-4))/J101</f>
        <v>0.1102836879432624</v>
      </c>
      <c r="K109" s="2898">
        <f>(-0.214*(K108^2)-21.991*K108+4665)*(10^(-4))/K101</f>
        <v>0.1102836879432624</v>
      </c>
      <c r="L109" s="2898">
        <f>(-0.214*(L108^2)-21.991*L108+4665)*(10^(-4))/L101</f>
        <v>0.1102836879432624</v>
      </c>
      <c r="M109" s="2898">
        <f>(-0.214*(M108^2)-21.991*M108+4665)*(10^(-4))/M101</f>
        <v>0.1102836879432624</v>
      </c>
      <c r="N109" s="2898">
        <f>(-0.214*(N108^2)-21.991*N108+4665)*(10^(-4))/N101</f>
        <v>0.1102836879432624</v>
      </c>
    </row>
    <row r="110" spans="1:14">
      <c r="A110" s="3413" t="s">
        <v>2976</v>
      </c>
      <c r="B110" s="3413"/>
      <c r="C110" s="3413"/>
      <c r="D110" s="3413"/>
      <c r="E110" s="3413"/>
      <c r="F110" s="3413"/>
      <c r="G110" s="3413"/>
      <c r="H110" s="3413"/>
      <c r="I110" s="3413"/>
      <c r="J110" s="3413"/>
      <c r="K110" s="2901"/>
      <c r="L110" s="2901"/>
      <c r="M110" s="2901"/>
      <c r="N110" s="2901"/>
    </row>
    <row r="112" spans="1:14" ht="13.5" thickBot="1"/>
    <row r="113" spans="1:13" ht="15.75" thickBot="1">
      <c r="A113" s="902" t="s">
        <v>2977</v>
      </c>
      <c r="B113" s="1289">
        <f>G3</f>
        <v>4.2300000000000004</v>
      </c>
      <c r="C113" s="903" t="s">
        <v>2978</v>
      </c>
      <c r="D113" s="904">
        <f>SUMPRODUCT((A115:A118=F113)*(B114:M114=H113)*B115:M118)</f>
        <v>0</v>
      </c>
      <c r="E113" s="2724" t="s">
        <v>2808</v>
      </c>
      <c r="F113" s="2903">
        <f>E2</f>
        <v>0</v>
      </c>
      <c r="G113" s="2724" t="s">
        <v>2809</v>
      </c>
      <c r="H113" s="2903">
        <f>G2</f>
        <v>0</v>
      </c>
      <c r="I113" s="2724"/>
      <c r="J113" s="2904"/>
      <c r="K113" s="2904"/>
      <c r="L113" s="2904"/>
      <c r="M113" s="2904"/>
    </row>
    <row r="114" spans="1:13">
      <c r="A114" s="907"/>
      <c r="B114" s="2905" t="s">
        <v>2979</v>
      </c>
      <c r="C114" s="2905" t="s">
        <v>2980</v>
      </c>
      <c r="D114" s="2905" t="s">
        <v>2981</v>
      </c>
      <c r="E114" s="2906" t="s">
        <v>2982</v>
      </c>
      <c r="F114" s="2906" t="s">
        <v>2983</v>
      </c>
      <c r="G114" s="2906" t="s">
        <v>2984</v>
      </c>
      <c r="H114" s="2907" t="s">
        <v>2985</v>
      </c>
      <c r="I114" s="2907" t="s">
        <v>2986</v>
      </c>
      <c r="J114" s="2908" t="s">
        <v>2987</v>
      </c>
      <c r="K114" s="2908" t="s">
        <v>2988</v>
      </c>
      <c r="L114" s="2908" t="s">
        <v>2989</v>
      </c>
      <c r="M114" s="2909" t="s">
        <v>2990</v>
      </c>
    </row>
    <row r="115" spans="1:13">
      <c r="A115" s="908" t="s">
        <v>2873</v>
      </c>
      <c r="B115" s="909">
        <f>ROUND(0.9335-0.0094*B113,4)</f>
        <v>0.89370000000000005</v>
      </c>
      <c r="C115" s="909">
        <f>B115</f>
        <v>0.89370000000000005</v>
      </c>
      <c r="D115" s="909">
        <f>ROUND(0.8331-0.0109*B113,4)</f>
        <v>0.78700000000000003</v>
      </c>
      <c r="E115" s="909">
        <f>D115</f>
        <v>0.78700000000000003</v>
      </c>
      <c r="F115" s="909">
        <f>E115</f>
        <v>0.78700000000000003</v>
      </c>
      <c r="G115" s="909">
        <f>F115</f>
        <v>0.78700000000000003</v>
      </c>
      <c r="H115" s="909">
        <f>G115</f>
        <v>0.78700000000000003</v>
      </c>
      <c r="I115" s="909">
        <f>ROUND(0.689-0.0155*B113,4)</f>
        <v>0.62339999999999995</v>
      </c>
      <c r="J115" s="909">
        <f t="shared" ref="J115:M118" si="33">I115</f>
        <v>0.62339999999999995</v>
      </c>
      <c r="K115" s="909">
        <f t="shared" si="33"/>
        <v>0.62339999999999995</v>
      </c>
      <c r="L115" s="909">
        <f t="shared" si="33"/>
        <v>0.62339999999999995</v>
      </c>
      <c r="M115" s="910">
        <f t="shared" si="33"/>
        <v>0.62339999999999995</v>
      </c>
    </row>
    <row r="116" spans="1:13">
      <c r="A116" s="908" t="s">
        <v>2874</v>
      </c>
      <c r="B116" s="909">
        <f>ROUND(0.949-0.012*B113,4)</f>
        <v>0.8982</v>
      </c>
      <c r="C116" s="909">
        <f>B116</f>
        <v>0.8982</v>
      </c>
      <c r="D116" s="909">
        <f>ROUND(0.8567-0.013*B113,4)</f>
        <v>0.80169999999999997</v>
      </c>
      <c r="E116" s="909">
        <f t="shared" ref="E116:H117" si="34">D116</f>
        <v>0.80169999999999997</v>
      </c>
      <c r="F116" s="909">
        <f t="shared" si="34"/>
        <v>0.80169999999999997</v>
      </c>
      <c r="G116" s="909">
        <f t="shared" si="34"/>
        <v>0.80169999999999997</v>
      </c>
      <c r="H116" s="909">
        <f t="shared" si="34"/>
        <v>0.80169999999999997</v>
      </c>
      <c r="I116" s="909">
        <f>ROUND(0.7694-0.014*B113,4)</f>
        <v>0.71020000000000005</v>
      </c>
      <c r="J116" s="909">
        <f t="shared" si="33"/>
        <v>0.71020000000000005</v>
      </c>
      <c r="K116" s="909">
        <f t="shared" si="33"/>
        <v>0.71020000000000005</v>
      </c>
      <c r="L116" s="909">
        <f t="shared" si="33"/>
        <v>0.71020000000000005</v>
      </c>
      <c r="M116" s="910">
        <f t="shared" si="33"/>
        <v>0.71020000000000005</v>
      </c>
    </row>
    <row r="117" spans="1:13">
      <c r="A117" s="908" t="s">
        <v>2875</v>
      </c>
      <c r="B117" s="909">
        <f>ROUND(0.8808-0.006*B113,4)</f>
        <v>0.85540000000000005</v>
      </c>
      <c r="C117" s="909">
        <f>B117</f>
        <v>0.85540000000000005</v>
      </c>
      <c r="D117" s="909">
        <f>ROUND(0.8748-0.008*B113,4)</f>
        <v>0.84099999999999997</v>
      </c>
      <c r="E117" s="909">
        <f t="shared" si="34"/>
        <v>0.84099999999999997</v>
      </c>
      <c r="F117" s="909">
        <f t="shared" si="34"/>
        <v>0.84099999999999997</v>
      </c>
      <c r="G117" s="909">
        <f t="shared" si="34"/>
        <v>0.84099999999999997</v>
      </c>
      <c r="H117" s="909">
        <f t="shared" si="34"/>
        <v>0.84099999999999997</v>
      </c>
      <c r="I117" s="909">
        <f>ROUND(0.7412-0.0095*B113,4)</f>
        <v>0.70099999999999996</v>
      </c>
      <c r="J117" s="909">
        <f t="shared" si="33"/>
        <v>0.70099999999999996</v>
      </c>
      <c r="K117" s="909">
        <f t="shared" si="33"/>
        <v>0.70099999999999996</v>
      </c>
      <c r="L117" s="909">
        <f t="shared" si="33"/>
        <v>0.70099999999999996</v>
      </c>
      <c r="M117" s="910">
        <f t="shared" si="33"/>
        <v>0.70099999999999996</v>
      </c>
    </row>
    <row r="118" spans="1:13" ht="13.5" thickBot="1">
      <c r="A118" s="714" t="s">
        <v>2876</v>
      </c>
      <c r="B118" s="911">
        <f>ROUND(0.7275-0.01*B113,4)</f>
        <v>0.68520000000000003</v>
      </c>
      <c r="C118" s="911">
        <f>B118</f>
        <v>0.68520000000000003</v>
      </c>
      <c r="D118" s="911">
        <f>ROUND(0.7043-0.012*B113,4)</f>
        <v>0.65349999999999997</v>
      </c>
      <c r="E118" s="911">
        <f>D118</f>
        <v>0.65349999999999997</v>
      </c>
      <c r="F118" s="911">
        <f>E118</f>
        <v>0.65349999999999997</v>
      </c>
      <c r="G118" s="911">
        <f>ROUND(0.6299-0.0122*B113,4)</f>
        <v>0.57830000000000004</v>
      </c>
      <c r="H118" s="911">
        <f>G118</f>
        <v>0.57830000000000004</v>
      </c>
      <c r="I118" s="911">
        <f>ROUND(0.5667-0.0136*B113,4)</f>
        <v>0.50919999999999999</v>
      </c>
      <c r="J118" s="911">
        <f t="shared" si="33"/>
        <v>0.50919999999999999</v>
      </c>
      <c r="K118" s="911">
        <f t="shared" si="33"/>
        <v>0.50919999999999999</v>
      </c>
      <c r="L118" s="911">
        <f t="shared" si="33"/>
        <v>0.50919999999999999</v>
      </c>
      <c r="M118" s="912">
        <f t="shared" si="33"/>
        <v>0.50919999999999999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54" priority="5" stopIfTrue="1" operator="notEqual">
      <formula>"——"</formula>
    </cfRule>
  </conditionalFormatting>
  <conditionalFormatting sqref="F59">
    <cfRule type="cellIs" dxfId="53" priority="4" stopIfTrue="1" operator="notEqual">
      <formula>"——"</formula>
    </cfRule>
  </conditionalFormatting>
  <conditionalFormatting sqref="F70">
    <cfRule type="cellIs" dxfId="52" priority="3" stopIfTrue="1" operator="notEqual">
      <formula>"——"</formula>
    </cfRule>
  </conditionalFormatting>
  <conditionalFormatting sqref="F81">
    <cfRule type="cellIs" dxfId="51" priority="2" stopIfTrue="1" operator="notEqual">
      <formula>"——"</formula>
    </cfRule>
  </conditionalFormatting>
  <conditionalFormatting sqref="H48:H56 H59:H67 H70:H78 H81:H88">
    <cfRule type="cellIs" dxfId="5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815" customWidth="1"/>
    <col min="2" max="9" width="8.125" style="877" customWidth="1"/>
    <col min="10" max="13" width="8.125" style="815"/>
    <col min="14" max="14" width="10" style="815" customWidth="1"/>
    <col min="15" max="16" width="8.125" style="815"/>
    <col min="17" max="17" width="34.125" style="815" customWidth="1"/>
    <col min="18" max="18" width="8.125" style="815" customWidth="1"/>
    <col min="19" max="19" width="8.125" style="815"/>
    <col min="20" max="20" width="11.625" style="815" customWidth="1"/>
    <col min="21" max="16384" width="8.1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430" t="s">
        <v>183</v>
      </c>
      <c r="B18" s="881" t="s">
        <v>560</v>
      </c>
      <c r="C18" s="882" t="s">
        <v>561</v>
      </c>
      <c r="D18" s="883"/>
      <c r="E18" s="881">
        <v>1</v>
      </c>
      <c r="F18" s="884" t="s">
        <v>562</v>
      </c>
      <c r="G18" s="885"/>
      <c r="H18" s="877"/>
      <c r="I18" s="877"/>
    </row>
    <row r="19" spans="1:9" s="886" customFormat="1" ht="19.5" customHeight="1">
      <c r="A19" s="3430"/>
      <c r="B19" s="3430" t="s">
        <v>563</v>
      </c>
      <c r="C19" s="882" t="s">
        <v>564</v>
      </c>
      <c r="D19" s="883"/>
      <c r="E19" s="881">
        <v>0.9</v>
      </c>
      <c r="F19" s="884" t="s">
        <v>565</v>
      </c>
      <c r="G19" s="885"/>
      <c r="H19" s="877"/>
      <c r="I19" s="877"/>
    </row>
    <row r="20" spans="1:9" s="886" customFormat="1" ht="19.5" customHeight="1">
      <c r="A20" s="3430"/>
      <c r="B20" s="3430"/>
      <c r="C20" s="882" t="s">
        <v>566</v>
      </c>
      <c r="D20" s="883"/>
      <c r="E20" s="881">
        <v>1.1000000000000001</v>
      </c>
      <c r="F20" s="884" t="s">
        <v>567</v>
      </c>
      <c r="G20" s="885"/>
      <c r="H20" s="877"/>
      <c r="I20" s="877"/>
    </row>
    <row r="21" spans="1:9" s="886" customFormat="1" ht="19.5" customHeight="1">
      <c r="A21" s="3430"/>
      <c r="B21" s="3430"/>
      <c r="C21" s="882" t="s">
        <v>568</v>
      </c>
      <c r="D21" s="883"/>
      <c r="E21" s="881">
        <v>0.8</v>
      </c>
      <c r="F21" s="884" t="s">
        <v>569</v>
      </c>
      <c r="G21" s="885"/>
      <c r="H21" s="877"/>
      <c r="I21" s="877"/>
    </row>
    <row r="22" spans="1:9" s="886" customFormat="1" ht="19.5" customHeight="1">
      <c r="A22" s="3430"/>
      <c r="B22" s="3430"/>
      <c r="C22" s="882" t="s">
        <v>570</v>
      </c>
      <c r="D22" s="883"/>
      <c r="E22" s="881">
        <v>0.5</v>
      </c>
      <c r="F22" s="884"/>
      <c r="G22" s="885"/>
      <c r="H22" s="877"/>
      <c r="I22" s="877"/>
    </row>
    <row r="23" spans="1:9" s="886" customFormat="1" ht="19.5" customHeight="1">
      <c r="A23" s="3430" t="s">
        <v>184</v>
      </c>
      <c r="B23" s="881" t="s">
        <v>560</v>
      </c>
      <c r="C23" s="882" t="s">
        <v>571</v>
      </c>
      <c r="D23" s="883"/>
      <c r="E23" s="881">
        <v>1</v>
      </c>
      <c r="F23" s="884" t="s">
        <v>572</v>
      </c>
      <c r="G23" s="885"/>
      <c r="H23" s="877"/>
      <c r="I23" s="877"/>
    </row>
    <row r="24" spans="1:9" s="886" customFormat="1" ht="19.5" customHeight="1">
      <c r="A24" s="3430"/>
      <c r="B24" s="3430" t="s">
        <v>563</v>
      </c>
      <c r="C24" s="882" t="s">
        <v>573</v>
      </c>
      <c r="D24" s="883"/>
      <c r="E24" s="881">
        <v>0.5</v>
      </c>
      <c r="F24" s="884"/>
      <c r="G24" s="885"/>
      <c r="H24" s="877"/>
      <c r="I24" s="877"/>
    </row>
    <row r="25" spans="1:9" s="886" customFormat="1" ht="19.5" customHeight="1">
      <c r="A25" s="3430"/>
      <c r="B25" s="3430"/>
      <c r="C25" s="882" t="s">
        <v>574</v>
      </c>
      <c r="D25" s="883"/>
      <c r="E25" s="881">
        <v>1.1000000000000001</v>
      </c>
      <c r="F25" s="884"/>
      <c r="G25" s="885"/>
      <c r="H25" s="877"/>
      <c r="I25" s="877"/>
    </row>
    <row r="26" spans="1:9" s="886" customFormat="1" ht="19.5" customHeight="1">
      <c r="A26" s="3430"/>
      <c r="B26" s="3430"/>
      <c r="C26" s="882" t="s">
        <v>575</v>
      </c>
      <c r="D26" s="883"/>
      <c r="E26" s="881">
        <v>1.1000000000000001</v>
      </c>
      <c r="F26" s="884"/>
      <c r="G26" s="885"/>
      <c r="H26" s="877"/>
      <c r="I26" s="877"/>
    </row>
    <row r="27" spans="1:9" s="886" customFormat="1" ht="19.5" customHeight="1">
      <c r="A27" s="3430"/>
      <c r="B27" s="3430"/>
      <c r="C27" s="882" t="s">
        <v>576</v>
      </c>
      <c r="D27" s="883"/>
      <c r="E27" s="881">
        <v>0.9</v>
      </c>
      <c r="F27" s="884" t="s">
        <v>577</v>
      </c>
      <c r="G27" s="885"/>
      <c r="H27" s="877"/>
      <c r="I27" s="877"/>
    </row>
    <row r="28" spans="1:9" s="886" customFormat="1" ht="19.5" customHeight="1">
      <c r="A28" s="3430"/>
      <c r="B28" s="3430"/>
      <c r="C28" s="882" t="s">
        <v>578</v>
      </c>
      <c r="D28" s="883"/>
      <c r="E28" s="881">
        <v>0.9</v>
      </c>
      <c r="F28" s="884" t="s">
        <v>579</v>
      </c>
      <c r="G28" s="885"/>
      <c r="H28" s="877"/>
      <c r="I28" s="877"/>
    </row>
    <row r="29" spans="1:9" s="886" customFormat="1" ht="19.5" customHeight="1">
      <c r="A29" s="3430"/>
      <c r="B29" s="3430"/>
      <c r="C29" s="882" t="s">
        <v>580</v>
      </c>
      <c r="D29" s="883"/>
      <c r="E29" s="881">
        <v>0.9</v>
      </c>
      <c r="F29" s="884" t="s">
        <v>581</v>
      </c>
      <c r="G29" s="885"/>
      <c r="H29" s="877"/>
      <c r="I29" s="877"/>
    </row>
    <row r="30" spans="1:9" s="886" customFormat="1" ht="19.5" customHeight="1">
      <c r="A30" s="3430"/>
      <c r="B30" s="3430"/>
      <c r="C30" s="882" t="s">
        <v>582</v>
      </c>
      <c r="D30" s="883"/>
      <c r="E30" s="881">
        <v>0.9</v>
      </c>
      <c r="F30" s="884" t="s">
        <v>583</v>
      </c>
      <c r="G30" s="885"/>
      <c r="H30" s="877"/>
      <c r="I30" s="877"/>
    </row>
    <row r="31" spans="1:9" s="886" customFormat="1" ht="19.5" customHeight="1">
      <c r="A31" s="3430"/>
      <c r="B31" s="3430"/>
      <c r="C31" s="882" t="s">
        <v>584</v>
      </c>
      <c r="D31" s="883"/>
      <c r="E31" s="881">
        <v>0.8</v>
      </c>
      <c r="F31" s="884" t="s">
        <v>585</v>
      </c>
      <c r="G31" s="885"/>
      <c r="H31" s="877"/>
      <c r="I31" s="877"/>
    </row>
    <row r="32" spans="1:9" s="886" customFormat="1" ht="19.5" customHeight="1">
      <c r="A32" s="3430"/>
      <c r="B32" s="3430"/>
      <c r="C32" s="882" t="s">
        <v>586</v>
      </c>
      <c r="D32" s="883"/>
      <c r="E32" s="881">
        <v>0.8</v>
      </c>
      <c r="F32" s="884" t="s">
        <v>587</v>
      </c>
      <c r="G32" s="885"/>
      <c r="H32" s="877"/>
      <c r="I32" s="877"/>
    </row>
    <row r="33" spans="1:9" s="886" customFormat="1" ht="19.5" customHeight="1">
      <c r="A33" s="3430" t="s">
        <v>185</v>
      </c>
      <c r="B33" s="881" t="s">
        <v>560</v>
      </c>
      <c r="C33" s="882" t="s">
        <v>588</v>
      </c>
      <c r="D33" s="883"/>
      <c r="E33" s="881">
        <v>1</v>
      </c>
      <c r="F33" s="884" t="s">
        <v>589</v>
      </c>
      <c r="G33" s="885"/>
      <c r="H33" s="877"/>
      <c r="I33" s="877"/>
    </row>
    <row r="34" spans="1:9" s="886" customFormat="1" ht="19.5" customHeight="1">
      <c r="A34" s="3430"/>
      <c r="B34" s="881" t="s">
        <v>563</v>
      </c>
      <c r="C34" s="882" t="s">
        <v>590</v>
      </c>
      <c r="D34" s="883"/>
      <c r="E34" s="881">
        <v>1.5</v>
      </c>
      <c r="F34" s="884" t="s">
        <v>591</v>
      </c>
      <c r="G34" s="885"/>
      <c r="H34" s="877"/>
      <c r="I34" s="877"/>
    </row>
    <row r="35" spans="1:9" s="886" customFormat="1" ht="19.5" customHeight="1">
      <c r="A35" s="3430" t="s">
        <v>186</v>
      </c>
      <c r="B35" s="881" t="s">
        <v>560</v>
      </c>
      <c r="C35" s="882" t="s">
        <v>592</v>
      </c>
      <c r="D35" s="883"/>
      <c r="E35" s="881">
        <v>1</v>
      </c>
      <c r="F35" s="884" t="s">
        <v>593</v>
      </c>
      <c r="G35" s="885"/>
      <c r="H35" s="877"/>
      <c r="I35" s="877"/>
    </row>
    <row r="36" spans="1:9" s="886" customFormat="1" ht="19.5" customHeight="1">
      <c r="A36" s="3430"/>
      <c r="B36" s="3430" t="s">
        <v>563</v>
      </c>
      <c r="C36" s="882" t="s">
        <v>594</v>
      </c>
      <c r="D36" s="883"/>
      <c r="E36" s="881">
        <v>1</v>
      </c>
      <c r="F36" s="884" t="s">
        <v>595</v>
      </c>
      <c r="G36" s="885"/>
      <c r="H36" s="877"/>
      <c r="I36" s="877"/>
    </row>
    <row r="37" spans="1:9" s="886" customFormat="1" ht="19.5" customHeight="1">
      <c r="A37" s="3430"/>
      <c r="B37" s="3430"/>
      <c r="C37" s="882" t="s">
        <v>596</v>
      </c>
      <c r="D37" s="883"/>
      <c r="E37" s="881">
        <v>1.5</v>
      </c>
      <c r="F37" s="884" t="s">
        <v>597</v>
      </c>
      <c r="G37" s="885"/>
      <c r="H37" s="877"/>
      <c r="I37" s="877"/>
    </row>
    <row r="38" spans="1:9" s="886" customFormat="1" ht="19.5" customHeight="1">
      <c r="A38" s="3430"/>
      <c r="B38" s="3430"/>
      <c r="C38" s="882" t="s">
        <v>598</v>
      </c>
      <c r="D38" s="883"/>
      <c r="E38" s="881">
        <v>1</v>
      </c>
      <c r="F38" s="884" t="s">
        <v>599</v>
      </c>
      <c r="G38" s="885"/>
      <c r="H38" s="877"/>
      <c r="I38" s="877"/>
    </row>
    <row r="39" spans="1:9" s="886" customFormat="1" ht="19.5" customHeight="1">
      <c r="A39" s="3430"/>
      <c r="B39" s="343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430" t="s">
        <v>614</v>
      </c>
      <c r="C61" s="817" t="s">
        <v>615</v>
      </c>
      <c r="D61" s="817" t="s">
        <v>616</v>
      </c>
      <c r="E61" s="894">
        <v>0.5</v>
      </c>
      <c r="F61" s="881">
        <v>80</v>
      </c>
    </row>
    <row r="62" spans="1:8" s="877" customFormat="1" ht="24">
      <c r="A62" s="881">
        <v>2</v>
      </c>
      <c r="B62" s="3430"/>
      <c r="C62" s="817" t="s">
        <v>617</v>
      </c>
      <c r="D62" s="817" t="s">
        <v>618</v>
      </c>
      <c r="E62" s="894">
        <v>0.5</v>
      </c>
      <c r="F62" s="881">
        <v>80</v>
      </c>
    </row>
    <row r="63" spans="1:8" s="877" customFormat="1" ht="36">
      <c r="A63" s="881">
        <v>3</v>
      </c>
      <c r="B63" s="3430"/>
      <c r="C63" s="817" t="s">
        <v>619</v>
      </c>
      <c r="D63" s="817" t="s">
        <v>620</v>
      </c>
      <c r="E63" s="894">
        <v>0.5</v>
      </c>
      <c r="F63" s="881">
        <v>80</v>
      </c>
    </row>
    <row r="64" spans="1:8" s="877" customFormat="1" ht="36">
      <c r="A64" s="881">
        <v>4</v>
      </c>
      <c r="B64" s="3430"/>
      <c r="C64" s="817" t="s">
        <v>621</v>
      </c>
      <c r="D64" s="817" t="s">
        <v>622</v>
      </c>
      <c r="E64" s="894">
        <v>0.4</v>
      </c>
      <c r="F64" s="881">
        <v>60</v>
      </c>
    </row>
    <row r="65" spans="1:6" s="877" customFormat="1" ht="36">
      <c r="A65" s="881">
        <v>5</v>
      </c>
      <c r="B65" s="3430"/>
      <c r="C65" s="817" t="s">
        <v>623</v>
      </c>
      <c r="D65" s="817" t="s">
        <v>624</v>
      </c>
      <c r="E65" s="894">
        <v>0.2</v>
      </c>
      <c r="F65" s="881">
        <v>30</v>
      </c>
    </row>
    <row r="66" spans="1:6" s="877" customFormat="1" ht="36">
      <c r="A66" s="881">
        <v>6</v>
      </c>
      <c r="B66" s="3430"/>
      <c r="C66" s="817" t="s">
        <v>625</v>
      </c>
      <c r="D66" s="817" t="s">
        <v>626</v>
      </c>
      <c r="E66" s="894">
        <v>0.3</v>
      </c>
      <c r="F66" s="881">
        <v>50</v>
      </c>
    </row>
    <row r="67" spans="1:6" s="877" customFormat="1" ht="36">
      <c r="A67" s="881">
        <v>7</v>
      </c>
      <c r="B67" s="3430"/>
      <c r="C67" s="817" t="s">
        <v>627</v>
      </c>
      <c r="D67" s="817" t="s">
        <v>628</v>
      </c>
      <c r="E67" s="894">
        <v>0.2</v>
      </c>
      <c r="F67" s="881">
        <v>30</v>
      </c>
    </row>
    <row r="68" spans="1:6" s="877" customFormat="1" ht="36">
      <c r="A68" s="881">
        <v>8</v>
      </c>
      <c r="B68" s="3430"/>
      <c r="C68" s="817" t="s">
        <v>629</v>
      </c>
      <c r="D68" s="817" t="s">
        <v>630</v>
      </c>
      <c r="E68" s="894">
        <v>0.2</v>
      </c>
      <c r="F68" s="881">
        <v>30</v>
      </c>
    </row>
    <row r="69" spans="1:6" s="877" customFormat="1" ht="36">
      <c r="A69" s="881">
        <v>9</v>
      </c>
      <c r="B69" s="3430"/>
      <c r="C69" s="817" t="s">
        <v>631</v>
      </c>
      <c r="D69" s="817" t="s">
        <v>632</v>
      </c>
      <c r="E69" s="894">
        <v>0.2</v>
      </c>
      <c r="F69" s="881">
        <v>30</v>
      </c>
    </row>
    <row r="70" spans="1:6" s="877" customFormat="1" ht="48">
      <c r="A70" s="881">
        <v>10</v>
      </c>
      <c r="B70" s="3430"/>
      <c r="C70" s="817" t="s">
        <v>633</v>
      </c>
      <c r="D70" s="817" t="s">
        <v>634</v>
      </c>
      <c r="E70" s="894">
        <v>0.2</v>
      </c>
      <c r="F70" s="881">
        <v>30</v>
      </c>
    </row>
    <row r="71" spans="1:6" s="877" customFormat="1" ht="48">
      <c r="A71" s="881">
        <v>11</v>
      </c>
      <c r="B71" s="3430"/>
      <c r="C71" s="817" t="s">
        <v>635</v>
      </c>
      <c r="D71" s="817" t="s">
        <v>636</v>
      </c>
      <c r="E71" s="894">
        <v>0.2</v>
      </c>
      <c r="F71" s="881">
        <v>30</v>
      </c>
    </row>
    <row r="72" spans="1:6" s="877" customFormat="1" ht="36">
      <c r="A72" s="881">
        <v>12</v>
      </c>
      <c r="B72" s="3430"/>
      <c r="C72" s="817" t="s">
        <v>637</v>
      </c>
      <c r="D72" s="817" t="s">
        <v>638</v>
      </c>
      <c r="E72" s="894">
        <v>0.5</v>
      </c>
      <c r="F72" s="881">
        <v>80</v>
      </c>
    </row>
    <row r="73" spans="1:6" s="877" customFormat="1" ht="24">
      <c r="A73" s="881">
        <v>13</v>
      </c>
      <c r="B73" s="3430"/>
      <c r="C73" s="817" t="s">
        <v>639</v>
      </c>
      <c r="D73" s="817" t="s">
        <v>640</v>
      </c>
      <c r="E73" s="894">
        <v>0.4</v>
      </c>
      <c r="F73" s="881">
        <v>60</v>
      </c>
    </row>
    <row r="74" spans="1:6" s="877" customFormat="1" ht="24">
      <c r="A74" s="881">
        <v>14</v>
      </c>
      <c r="B74" s="3430"/>
      <c r="C74" s="817" t="s">
        <v>641</v>
      </c>
      <c r="D74" s="817" t="s">
        <v>642</v>
      </c>
      <c r="E74" s="894">
        <v>0.2</v>
      </c>
      <c r="F74" s="881">
        <v>30</v>
      </c>
    </row>
    <row r="75" spans="1:6" s="877" customFormat="1" ht="24">
      <c r="A75" s="881">
        <v>15</v>
      </c>
      <c r="B75" s="3430"/>
      <c r="C75" s="817" t="s">
        <v>643</v>
      </c>
      <c r="D75" s="817" t="s">
        <v>644</v>
      </c>
      <c r="E75" s="894">
        <v>0.2</v>
      </c>
      <c r="F75" s="881">
        <v>30</v>
      </c>
    </row>
    <row r="76" spans="1:6" s="877" customFormat="1" ht="24">
      <c r="A76" s="881">
        <v>16</v>
      </c>
      <c r="B76" s="3430" t="s">
        <v>645</v>
      </c>
      <c r="C76" s="817" t="s">
        <v>646</v>
      </c>
      <c r="D76" s="817" t="s">
        <v>647</v>
      </c>
      <c r="E76" s="894">
        <v>0.5</v>
      </c>
      <c r="F76" s="881">
        <v>80</v>
      </c>
    </row>
    <row r="77" spans="1:6" s="877" customFormat="1" ht="24">
      <c r="A77" s="881">
        <v>17</v>
      </c>
      <c r="B77" s="3430"/>
      <c r="C77" s="817" t="s">
        <v>648</v>
      </c>
      <c r="D77" s="817" t="s">
        <v>649</v>
      </c>
      <c r="E77" s="894">
        <v>0.5</v>
      </c>
      <c r="F77" s="881">
        <v>80</v>
      </c>
    </row>
    <row r="78" spans="1:6" s="877" customFormat="1" ht="24">
      <c r="A78" s="881">
        <v>18</v>
      </c>
      <c r="B78" s="3430"/>
      <c r="C78" s="817" t="s">
        <v>650</v>
      </c>
      <c r="D78" s="817" t="s">
        <v>651</v>
      </c>
      <c r="E78" s="894">
        <v>0.2</v>
      </c>
      <c r="F78" s="881">
        <v>30</v>
      </c>
    </row>
    <row r="79" spans="1:6" s="877" customFormat="1" ht="24">
      <c r="A79" s="881">
        <v>19</v>
      </c>
      <c r="B79" s="3430"/>
      <c r="C79" s="817" t="s">
        <v>652</v>
      </c>
      <c r="D79" s="817" t="s">
        <v>653</v>
      </c>
      <c r="E79" s="894">
        <v>0.5</v>
      </c>
      <c r="F79" s="881">
        <v>80</v>
      </c>
    </row>
    <row r="80" spans="1:6" s="877" customFormat="1" ht="36">
      <c r="A80" s="881">
        <v>20</v>
      </c>
      <c r="B80" s="3430"/>
      <c r="C80" s="817" t="s">
        <v>654</v>
      </c>
      <c r="D80" s="817" t="s">
        <v>655</v>
      </c>
      <c r="E80" s="894">
        <v>0.2</v>
      </c>
      <c r="F80" s="881">
        <v>30</v>
      </c>
    </row>
    <row r="81" spans="1:6" s="877" customFormat="1" ht="36">
      <c r="A81" s="881">
        <v>21</v>
      </c>
      <c r="B81" s="3430"/>
      <c r="C81" s="817" t="s">
        <v>656</v>
      </c>
      <c r="D81" s="817" t="s">
        <v>657</v>
      </c>
      <c r="E81" s="894">
        <v>0.2</v>
      </c>
      <c r="F81" s="881">
        <v>30</v>
      </c>
    </row>
    <row r="82" spans="1:6" s="877" customFormat="1" ht="48">
      <c r="A82" s="881">
        <v>22</v>
      </c>
      <c r="B82" s="3430"/>
      <c r="C82" s="817" t="s">
        <v>658</v>
      </c>
      <c r="D82" s="817" t="s">
        <v>659</v>
      </c>
      <c r="E82" s="894">
        <v>0.2</v>
      </c>
      <c r="F82" s="881">
        <v>30</v>
      </c>
    </row>
    <row r="83" spans="1:6" s="877" customFormat="1" ht="48">
      <c r="A83" s="881">
        <v>23</v>
      </c>
      <c r="B83" s="3430"/>
      <c r="C83" s="817" t="s">
        <v>660</v>
      </c>
      <c r="D83" s="817" t="s">
        <v>661</v>
      </c>
      <c r="E83" s="894">
        <v>0.2</v>
      </c>
      <c r="F83" s="881">
        <v>30</v>
      </c>
    </row>
    <row r="84" spans="1:6" s="877" customFormat="1" ht="36">
      <c r="A84" s="881">
        <v>24</v>
      </c>
      <c r="B84" s="3430"/>
      <c r="C84" s="817" t="s">
        <v>662</v>
      </c>
      <c r="D84" s="817" t="s">
        <v>663</v>
      </c>
      <c r="E84" s="894">
        <v>0.2</v>
      </c>
      <c r="F84" s="881">
        <v>30</v>
      </c>
    </row>
    <row r="85" spans="1:6" s="877" customFormat="1" ht="36">
      <c r="A85" s="881">
        <v>25</v>
      </c>
      <c r="B85" s="3430"/>
      <c r="C85" s="817" t="s">
        <v>664</v>
      </c>
      <c r="D85" s="817" t="s">
        <v>665</v>
      </c>
      <c r="E85" s="894">
        <v>0.5</v>
      </c>
      <c r="F85" s="881">
        <v>80</v>
      </c>
    </row>
    <row r="86" spans="1:6" s="877" customFormat="1" ht="36">
      <c r="A86" s="881">
        <v>26</v>
      </c>
      <c r="B86" s="3430"/>
      <c r="C86" s="817" t="s">
        <v>666</v>
      </c>
      <c r="D86" s="817" t="s">
        <v>667</v>
      </c>
      <c r="E86" s="894">
        <v>0.2</v>
      </c>
      <c r="F86" s="881">
        <v>30</v>
      </c>
    </row>
    <row r="87" spans="1:6" s="877" customFormat="1" ht="36">
      <c r="A87" s="881">
        <v>27</v>
      </c>
      <c r="B87" s="3430"/>
      <c r="C87" s="817" t="s">
        <v>668</v>
      </c>
      <c r="D87" s="817" t="s">
        <v>669</v>
      </c>
      <c r="E87" s="894">
        <v>0.2</v>
      </c>
      <c r="F87" s="881">
        <v>30</v>
      </c>
    </row>
    <row r="88" spans="1:6" s="877" customFormat="1" ht="36">
      <c r="A88" s="881">
        <v>28</v>
      </c>
      <c r="B88" s="3430"/>
      <c r="C88" s="817" t="s">
        <v>670</v>
      </c>
      <c r="D88" s="817" t="s">
        <v>671</v>
      </c>
      <c r="E88" s="894">
        <v>0.2</v>
      </c>
      <c r="F88" s="881">
        <v>30</v>
      </c>
    </row>
    <row r="89" spans="1:6" s="877" customFormat="1" ht="24">
      <c r="A89" s="881">
        <v>29</v>
      </c>
      <c r="B89" s="3430"/>
      <c r="C89" s="817" t="s">
        <v>672</v>
      </c>
      <c r="D89" s="817" t="s">
        <v>673</v>
      </c>
      <c r="E89" s="894">
        <v>0.2</v>
      </c>
      <c r="F89" s="881">
        <v>30</v>
      </c>
    </row>
    <row r="90" spans="1:6" s="877" customFormat="1" ht="24">
      <c r="A90" s="881">
        <v>30</v>
      </c>
      <c r="B90" s="3430"/>
      <c r="C90" s="817" t="s">
        <v>674</v>
      </c>
      <c r="D90" s="817" t="s">
        <v>675</v>
      </c>
      <c r="E90" s="894">
        <v>0.2</v>
      </c>
      <c r="F90" s="881">
        <v>30</v>
      </c>
    </row>
    <row r="91" spans="1:6" s="877" customFormat="1" ht="36">
      <c r="A91" s="881">
        <v>31</v>
      </c>
      <c r="B91" s="3430"/>
      <c r="C91" s="817" t="s">
        <v>676</v>
      </c>
      <c r="D91" s="817" t="s">
        <v>677</v>
      </c>
      <c r="E91" s="894">
        <v>0.2</v>
      </c>
      <c r="F91" s="881">
        <v>30</v>
      </c>
    </row>
    <row r="92" spans="1:6" s="877" customFormat="1" ht="24">
      <c r="A92" s="881">
        <v>32</v>
      </c>
      <c r="B92" s="3430" t="s">
        <v>678</v>
      </c>
      <c r="C92" s="881" t="s">
        <v>679</v>
      </c>
      <c r="D92" s="817" t="s">
        <v>680</v>
      </c>
      <c r="E92" s="894">
        <v>0.2</v>
      </c>
      <c r="F92" s="881">
        <v>30</v>
      </c>
    </row>
    <row r="93" spans="1:6" s="877" customFormat="1" ht="36">
      <c r="A93" s="881">
        <v>33</v>
      </c>
      <c r="B93" s="3430"/>
      <c r="C93" s="881" t="s">
        <v>681</v>
      </c>
      <c r="D93" s="817" t="s">
        <v>682</v>
      </c>
      <c r="E93" s="894">
        <v>0.2</v>
      </c>
      <c r="F93" s="881">
        <v>30</v>
      </c>
    </row>
    <row r="94" spans="1:6" s="877" customFormat="1" ht="48">
      <c r="A94" s="881">
        <v>34</v>
      </c>
      <c r="B94" s="3430"/>
      <c r="C94" s="881" t="s">
        <v>683</v>
      </c>
      <c r="D94" s="817" t="s">
        <v>684</v>
      </c>
      <c r="E94" s="894">
        <v>0.2</v>
      </c>
      <c r="F94" s="881">
        <v>30</v>
      </c>
    </row>
    <row r="95" spans="1:6" s="877" customFormat="1" ht="36">
      <c r="A95" s="881">
        <v>35</v>
      </c>
      <c r="B95" s="3430"/>
      <c r="C95" s="881" t="s">
        <v>685</v>
      </c>
      <c r="D95" s="817" t="s">
        <v>686</v>
      </c>
      <c r="E95" s="894">
        <v>0.2</v>
      </c>
      <c r="F95" s="881">
        <v>30</v>
      </c>
    </row>
    <row r="96" spans="1:6" s="877" customFormat="1" ht="48">
      <c r="A96" s="881">
        <v>36</v>
      </c>
      <c r="B96" s="3430"/>
      <c r="C96" s="817" t="s">
        <v>687</v>
      </c>
      <c r="D96" s="817" t="s">
        <v>688</v>
      </c>
      <c r="E96" s="894">
        <v>0.2</v>
      </c>
      <c r="F96" s="881">
        <v>30</v>
      </c>
    </row>
    <row r="97" spans="1:6" s="877" customFormat="1" ht="36">
      <c r="A97" s="881">
        <v>37</v>
      </c>
      <c r="B97" s="3430"/>
      <c r="C97" s="881" t="s">
        <v>689</v>
      </c>
      <c r="D97" s="817" t="s">
        <v>690</v>
      </c>
      <c r="E97" s="894">
        <v>0.2</v>
      </c>
      <c r="F97" s="881">
        <v>30</v>
      </c>
    </row>
    <row r="98" spans="1:6" s="877" customFormat="1" ht="36">
      <c r="A98" s="881">
        <v>38</v>
      </c>
      <c r="B98" s="3430"/>
      <c r="C98" s="881" t="s">
        <v>691</v>
      </c>
      <c r="D98" s="817" t="s">
        <v>692</v>
      </c>
      <c r="E98" s="894">
        <v>0.2</v>
      </c>
      <c r="F98" s="881">
        <v>30</v>
      </c>
    </row>
    <row r="99" spans="1:6" s="877" customFormat="1" ht="36">
      <c r="A99" s="881">
        <v>39</v>
      </c>
      <c r="B99" s="3430" t="s">
        <v>693</v>
      </c>
      <c r="C99" s="881" t="s">
        <v>694</v>
      </c>
      <c r="D99" s="817" t="s">
        <v>695</v>
      </c>
      <c r="E99" s="894">
        <v>0.3</v>
      </c>
      <c r="F99" s="881">
        <v>50</v>
      </c>
    </row>
    <row r="100" spans="1:6" s="877" customFormat="1" ht="24">
      <c r="A100" s="881">
        <v>40</v>
      </c>
      <c r="B100" s="3430"/>
      <c r="C100" s="881" t="s">
        <v>696</v>
      </c>
      <c r="D100" s="817" t="s">
        <v>697</v>
      </c>
      <c r="E100" s="894">
        <v>0.2</v>
      </c>
      <c r="F100" s="881">
        <v>30</v>
      </c>
    </row>
    <row r="101" spans="1:6" s="877" customFormat="1" ht="36">
      <c r="A101" s="881">
        <v>41</v>
      </c>
      <c r="B101" s="343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430" t="s">
        <v>708</v>
      </c>
      <c r="C105" s="881" t="s">
        <v>709</v>
      </c>
      <c r="D105" s="817" t="s">
        <v>710</v>
      </c>
      <c r="E105" s="894">
        <v>0.2</v>
      </c>
      <c r="F105" s="881">
        <v>30</v>
      </c>
    </row>
    <row r="106" spans="1:6" s="877" customFormat="1" ht="36">
      <c r="A106" s="881">
        <v>46</v>
      </c>
      <c r="B106" s="3430"/>
      <c r="C106" s="881" t="s">
        <v>711</v>
      </c>
      <c r="D106" s="817" t="s">
        <v>712</v>
      </c>
      <c r="E106" s="894">
        <v>0.2</v>
      </c>
      <c r="F106" s="881">
        <v>30</v>
      </c>
    </row>
    <row r="107" spans="1:6" s="877" customFormat="1" ht="36">
      <c r="A107" s="881">
        <v>47</v>
      </c>
      <c r="B107" s="3430" t="s">
        <v>713</v>
      </c>
      <c r="C107" s="881" t="s">
        <v>714</v>
      </c>
      <c r="D107" s="817" t="s">
        <v>715</v>
      </c>
      <c r="E107" s="894">
        <v>0.3</v>
      </c>
      <c r="F107" s="881">
        <v>50</v>
      </c>
    </row>
    <row r="108" spans="1:6" s="877" customFormat="1" ht="36">
      <c r="A108" s="881">
        <v>48</v>
      </c>
      <c r="B108" s="343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430" t="s">
        <v>724</v>
      </c>
      <c r="C111" s="881" t="s">
        <v>725</v>
      </c>
      <c r="D111" s="817" t="s">
        <v>726</v>
      </c>
      <c r="E111" s="894">
        <v>0.2</v>
      </c>
      <c r="F111" s="881">
        <v>30</v>
      </c>
    </row>
    <row r="112" spans="1:6" s="877" customFormat="1" ht="24">
      <c r="A112" s="881">
        <v>52</v>
      </c>
      <c r="B112" s="3430"/>
      <c r="C112" s="881" t="s">
        <v>727</v>
      </c>
      <c r="D112" s="817" t="s">
        <v>728</v>
      </c>
      <c r="E112" s="894">
        <v>0.2</v>
      </c>
      <c r="F112" s="881">
        <v>30</v>
      </c>
    </row>
    <row r="113" spans="1:6" s="877" customFormat="1" ht="24">
      <c r="A113" s="881">
        <v>53</v>
      </c>
      <c r="B113" s="343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430" t="s">
        <v>737</v>
      </c>
      <c r="C116" s="881" t="s">
        <v>738</v>
      </c>
      <c r="D116" s="817" t="s">
        <v>739</v>
      </c>
      <c r="E116" s="894">
        <v>0.2</v>
      </c>
      <c r="F116" s="881">
        <v>30</v>
      </c>
    </row>
    <row r="117" spans="1:6" ht="36">
      <c r="A117" s="881">
        <v>57</v>
      </c>
      <c r="B117" s="343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activeCell="G13" sqref="G1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2999</v>
      </c>
    </row>
    <row r="2" spans="1:5" ht="15.75">
      <c r="A2" s="2910" t="s">
        <v>2991</v>
      </c>
      <c r="B2" s="2911" t="e">
        <f ca="1">SUMIF(B6:B13,"&lt;&gt;#ref!",B6:B13)</f>
        <v>#DIV/0!</v>
      </c>
      <c r="C2" s="2910" t="s">
        <v>2992</v>
      </c>
      <c r="D2" s="2910" t="s">
        <v>2993</v>
      </c>
      <c r="E2" s="2911">
        <f ca="1">SUMIF(E6:E13,"&lt;&gt;#ref!",E6:E13)</f>
        <v>0</v>
      </c>
    </row>
    <row r="3" spans="1:5" ht="15.75">
      <c r="A3" s="2910" t="s">
        <v>2994</v>
      </c>
      <c r="B3" s="2911" t="e">
        <f ca="1">ROUND(B2*10000/E2,0)</f>
        <v>#DIV/0!</v>
      </c>
      <c r="C3" s="2910" t="s">
        <v>3000</v>
      </c>
      <c r="D3" s="2912"/>
      <c r="E3" s="2912"/>
    </row>
    <row r="4" spans="1:5" ht="15.75">
      <c r="A4" s="2913"/>
      <c r="B4" s="2912"/>
      <c r="C4" s="2912"/>
      <c r="D4" s="2912"/>
      <c r="E4" s="2912"/>
    </row>
    <row r="5" spans="1:5" ht="28.5">
      <c r="A5" s="2914" t="s">
        <v>2995</v>
      </c>
      <c r="B5" s="2910" t="s">
        <v>2996</v>
      </c>
      <c r="C5" s="2911"/>
      <c r="D5" s="2912"/>
      <c r="E5" s="2910" t="s">
        <v>2997</v>
      </c>
    </row>
    <row r="6" spans="1:5" ht="15.75">
      <c r="A6" s="2915" t="s">
        <v>2998</v>
      </c>
      <c r="B6" s="2911" t="e">
        <f ca="1">SUMIF(INDIRECT("'"&amp;A6&amp;"'"&amp;"!A:A"),"总价",INDIRECT("'"&amp;A6&amp;"'"&amp;"!B:B"))</f>
        <v>#DIV/0!</v>
      </c>
      <c r="C6" s="2910" t="s">
        <v>2992</v>
      </c>
      <c r="D6" s="2912"/>
      <c r="E6" s="2576">
        <f ca="1">SUMIF(INDIRECT("'"&amp;A6&amp;"'"&amp;"!C:C"),"建筑面积",INDIRECT("'"&amp;A6&amp;"'"&amp;"!D:D"))</f>
        <v>0</v>
      </c>
    </row>
    <row r="7" spans="1:5" ht="15.75">
      <c r="A7" s="2915"/>
      <c r="B7" s="2911" t="e">
        <f ca="1">SUMIF(INDIRECT("'"&amp;A7&amp;"'"&amp;"!A:A"),"总价",INDIRECT("'"&amp;A7&amp;"'"&amp;"!B:B"))</f>
        <v>#REF!</v>
      </c>
      <c r="C7" s="2910" t="s">
        <v>2992</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2992</v>
      </c>
      <c r="D8" s="2912"/>
      <c r="E8" s="2576" t="e">
        <f t="shared" ca="1" si="0"/>
        <v>#REF!</v>
      </c>
    </row>
    <row r="9" spans="1:5" ht="15.75">
      <c r="A9" s="2915"/>
      <c r="B9" s="2911" t="e">
        <f t="shared" ca="1" si="1"/>
        <v>#REF!</v>
      </c>
      <c r="C9" s="2910" t="s">
        <v>2992</v>
      </c>
      <c r="D9" s="2912"/>
      <c r="E9" s="2576" t="e">
        <f t="shared" ca="1" si="0"/>
        <v>#REF!</v>
      </c>
    </row>
    <row r="10" spans="1:5" ht="15.75">
      <c r="A10" s="2915"/>
      <c r="B10" s="2911" t="e">
        <f t="shared" ca="1" si="1"/>
        <v>#REF!</v>
      </c>
      <c r="C10" s="2910" t="s">
        <v>2992</v>
      </c>
      <c r="D10" s="2912"/>
      <c r="E10" s="2576" t="e">
        <f t="shared" ca="1" si="0"/>
        <v>#REF!</v>
      </c>
    </row>
    <row r="11" spans="1:5" ht="15.75">
      <c r="A11" s="2915"/>
      <c r="B11" s="2911" t="e">
        <f t="shared" ca="1" si="1"/>
        <v>#REF!</v>
      </c>
      <c r="C11" s="2910" t="s">
        <v>2992</v>
      </c>
      <c r="D11" s="2912"/>
      <c r="E11" s="2576" t="e">
        <f t="shared" ca="1" si="0"/>
        <v>#REF!</v>
      </c>
    </row>
    <row r="12" spans="1:5" ht="15.75">
      <c r="A12" s="2915"/>
      <c r="B12" s="2911" t="e">
        <f t="shared" ca="1" si="1"/>
        <v>#REF!</v>
      </c>
      <c r="C12" s="2910" t="s">
        <v>2992</v>
      </c>
      <c r="D12" s="2912"/>
      <c r="E12" s="2576" t="e">
        <f t="shared" ca="1" si="0"/>
        <v>#REF!</v>
      </c>
    </row>
    <row r="13" spans="1:5" ht="15.75">
      <c r="A13" s="2915"/>
      <c r="B13" s="2911" t="e">
        <f t="shared" ca="1" si="1"/>
        <v>#REF!</v>
      </c>
      <c r="C13" s="2910" t="s">
        <v>2992</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8"/>
  <sheetViews>
    <sheetView zoomScale="80" zoomScaleNormal="80" zoomScalePageLayoutView="80" workbookViewId="0">
      <selection activeCell="AB5" sqref="AB5"/>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1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1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436" t="s">
        <v>1146</v>
      </c>
      <c r="C1" s="3436"/>
      <c r="D1" s="3436"/>
      <c r="E1" s="3436"/>
      <c r="F1" s="3436"/>
      <c r="G1" s="3432" t="s">
        <v>1147</v>
      </c>
      <c r="H1" s="3432"/>
      <c r="I1" s="3432"/>
      <c r="J1" s="3432"/>
      <c r="K1" s="3432"/>
      <c r="L1" s="3432"/>
      <c r="N1" s="3432" t="s">
        <v>1148</v>
      </c>
      <c r="O1" s="3432"/>
      <c r="P1" s="3432"/>
      <c r="Q1" s="3432"/>
      <c r="R1" s="1448"/>
      <c r="S1" s="3432" t="s">
        <v>1149</v>
      </c>
      <c r="T1" s="3432"/>
      <c r="U1" s="3432"/>
      <c r="V1" s="3432"/>
      <c r="X1" s="3431" t="s">
        <v>1150</v>
      </c>
      <c r="Y1" s="3432"/>
      <c r="Z1" s="3432"/>
      <c r="AA1" s="3432"/>
      <c r="AB1" s="3432"/>
      <c r="AD1" s="3431" t="s">
        <v>1151</v>
      </c>
      <c r="AE1" s="3432"/>
      <c r="AF1" s="3432"/>
      <c r="AG1" s="3432"/>
      <c r="AH1" s="3432"/>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26" customFormat="1" ht="14.25">
      <c r="A3" s="2935" t="s">
        <v>3034</v>
      </c>
      <c r="B3" s="2927"/>
      <c r="C3" s="2927"/>
      <c r="D3" s="2928"/>
      <c r="E3" s="2928"/>
      <c r="F3" s="2927"/>
      <c r="G3" s="2929"/>
      <c r="H3" s="2930"/>
      <c r="I3" s="2931">
        <f>ROUND(AVERAGE($I4:$I25),2)</f>
        <v>2.09</v>
      </c>
      <c r="J3" s="2931">
        <f>ROUND(AVERAGE($J4:$J25),2)</f>
        <v>1.46</v>
      </c>
      <c r="K3" s="2931">
        <f>ROUND(AVERAGE($K4:$K25),2)</f>
        <v>2.29</v>
      </c>
      <c r="L3" s="2931">
        <f>ROUND(AVERAGE($L4:$L25),2)</f>
        <v>1.36</v>
      </c>
      <c r="N3" s="2929"/>
      <c r="O3" s="2932"/>
      <c r="P3" s="2932"/>
      <c r="Q3" s="2932"/>
      <c r="R3" s="2932"/>
      <c r="S3" s="2929"/>
      <c r="T3" s="2932"/>
      <c r="U3" s="2932"/>
      <c r="V3" s="2932"/>
      <c r="W3" s="2924"/>
      <c r="X3" s="2933">
        <f>ROUND(SUMPRODUCT(PRODUCT(1+N3:N$24)),4)</f>
        <v>1.4956</v>
      </c>
      <c r="Y3" s="2933">
        <f>ROUND(SUMPRODUCT(PRODUCT(1+O3:O$24)),4)</f>
        <v>1.3237000000000001</v>
      </c>
      <c r="Z3" s="2933">
        <f t="shared" ref="Z3:Z22" si="0">Y3</f>
        <v>1.3237000000000001</v>
      </c>
      <c r="AA3" s="2933">
        <f>ROUND(SUMPRODUCT(PRODUCT(1+P3:P$24)),4)</f>
        <v>1.554</v>
      </c>
      <c r="AB3" s="2933">
        <f>ROUND(SUMPRODUCT(PRODUCT(1+Q3:Q$24)),4)</f>
        <v>1.3087</v>
      </c>
      <c r="AD3" s="2934">
        <f>ROUND(AVERAGE(I3:I$25)/100,4)</f>
        <v>2.0899999999999998E-2</v>
      </c>
      <c r="AE3" s="2934">
        <f>ROUND(AVERAGE(J3:J$25)/100,4)</f>
        <v>1.46E-2</v>
      </c>
      <c r="AF3" s="2934">
        <f t="shared" ref="AF3:AF23" si="1">AE3</f>
        <v>1.46E-2</v>
      </c>
      <c r="AG3" s="2934">
        <f>ROUND(AVERAGE(K3:K$25)/100,4)</f>
        <v>2.29E-2</v>
      </c>
      <c r="AH3" s="2934">
        <f>ROUND(AVERAGE(L3:L$25)/100,4)</f>
        <v>1.3599999999999999E-2</v>
      </c>
    </row>
    <row r="4" spans="1:34" s="1455" customFormat="1" ht="14.25">
      <c r="B4" s="1456"/>
      <c r="C4" s="1456"/>
      <c r="D4" s="1457"/>
      <c r="E4" s="1457"/>
      <c r="F4" s="1456"/>
      <c r="G4" s="1458"/>
      <c r="H4" s="1459"/>
      <c r="I4" s="2921"/>
      <c r="J4" s="2921"/>
      <c r="K4" s="2921"/>
      <c r="L4" s="2921"/>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3047</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39">
        <v>2019</v>
      </c>
      <c r="H5" s="1732">
        <v>1</v>
      </c>
      <c r="I5" s="2922">
        <v>0</v>
      </c>
      <c r="J5" s="2922">
        <v>0</v>
      </c>
      <c r="K5" s="2922">
        <v>0</v>
      </c>
      <c r="L5" s="2922">
        <v>0</v>
      </c>
      <c r="N5" s="1469">
        <f>I5/100</f>
        <v>0</v>
      </c>
      <c r="O5" s="1469">
        <f t="shared" ref="O5" si="7">J5/100</f>
        <v>0</v>
      </c>
      <c r="P5" s="1469">
        <f t="shared" ref="P5" si="8">K5/100</f>
        <v>0</v>
      </c>
      <c r="Q5" s="1469">
        <f t="shared" ref="Q5" si="9">L5/100</f>
        <v>0</v>
      </c>
      <c r="R5" s="1734"/>
      <c r="S5" s="1735"/>
      <c r="T5" s="1734"/>
      <c r="U5" s="1734"/>
      <c r="V5" s="1734"/>
      <c r="W5" s="2925" t="s">
        <v>3035</v>
      </c>
      <c r="X5" s="1728">
        <f>ROUND(IF(项目基本情况!B8="出让",SUMPRODUCT(PRODUCT(1+N5:N$25)),SUMPRODUCT(PRODUCT(1+N5:N$24))),4)</f>
        <v>1.4956</v>
      </c>
      <c r="Y5" s="1728">
        <f>ROUND(IF(项目基本情况!B8="出让",SUMPRODUCT(PRODUCT(1+O5:O$25)),SUMPRODUCT(PRODUCT(1+O5:O$24))),4)</f>
        <v>1.3237000000000001</v>
      </c>
      <c r="Z5" s="1728">
        <f t="shared" ref="Z5" si="10">Y5</f>
        <v>1.3237000000000001</v>
      </c>
      <c r="AA5" s="1728">
        <f>ROUND(IF(项目基本情况!B8="出让",SUMPRODUCT(PRODUCT(1+P5:P$25)),SUMPRODUCT(PRODUCT(1+P5:P$24))),4)</f>
        <v>1.554</v>
      </c>
      <c r="AB5" s="1728">
        <f>ROUND(IF(项目基本情况!B8="出让",SUMPRODUCT(PRODUCT(1+Q5:Q$25)),SUMPRODUCT(PRODUCT(1+Q5:Q$24))),4)</f>
        <v>1.3087</v>
      </c>
      <c r="AD5" s="1470">
        <f>ROUND(AVERAGE(I5:I$25)/100,4)</f>
        <v>2.0899999999999998E-2</v>
      </c>
      <c r="AE5" s="1470">
        <f>ROUND(AVERAGE(J5:J$25)/100,4)</f>
        <v>1.46E-2</v>
      </c>
      <c r="AF5" s="1470">
        <f t="shared" ref="AF5" si="11">AE5</f>
        <v>1.46E-2</v>
      </c>
      <c r="AG5" s="1470">
        <f>ROUND(AVERAGE(K5:K$25)/100,4)</f>
        <v>2.29E-2</v>
      </c>
      <c r="AH5" s="1470">
        <f>ROUND(AVERAGE(L5:L$25)/100,4)</f>
        <v>1.3599999999999999E-2</v>
      </c>
    </row>
    <row r="6" spans="1:34" s="1468" customFormat="1">
      <c r="A6" s="1463" t="s">
        <v>3048</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3434">
        <v>2018</v>
      </c>
      <c r="H6" s="1466">
        <v>4</v>
      </c>
      <c r="I6" s="1466">
        <v>0</v>
      </c>
      <c r="J6" s="1466">
        <v>0</v>
      </c>
      <c r="K6" s="1466">
        <v>0</v>
      </c>
      <c r="L6" s="1480">
        <v>0</v>
      </c>
      <c r="M6" s="1473"/>
      <c r="N6" s="1474">
        <f>I6/100</f>
        <v>0</v>
      </c>
      <c r="O6" s="1475">
        <f t="shared" ref="O6" si="17">J6/100</f>
        <v>0</v>
      </c>
      <c r="P6" s="1475">
        <f t="shared" ref="P6" si="18">K6/100</f>
        <v>0</v>
      </c>
      <c r="Q6" s="1475">
        <f t="shared" ref="Q6" si="19">L6/100</f>
        <v>0</v>
      </c>
      <c r="R6" s="1476"/>
      <c r="S6" s="1474"/>
      <c r="T6" s="1475"/>
      <c r="U6" s="1475"/>
      <c r="V6" s="1475"/>
      <c r="W6" s="1792"/>
      <c r="X6" s="1790">
        <f>ROUND(SUMPRODUCT(PRODUCT(1+N6:N$24)),4)</f>
        <v>1.4956</v>
      </c>
      <c r="Y6" s="1790">
        <f>ROUND(SUMPRODUCT(PRODUCT(1+O6:O$24)),4)</f>
        <v>1.3237000000000001</v>
      </c>
      <c r="Z6" s="1790">
        <f t="shared" ref="Z6" si="20">Y6</f>
        <v>1.3237000000000001</v>
      </c>
      <c r="AA6" s="1790">
        <f>ROUND(SUMPRODUCT(PRODUCT(1+P6:P$24)),4)</f>
        <v>1.554</v>
      </c>
      <c r="AB6" s="1790">
        <f>ROUND(SUMPRODUCT(PRODUCT(1+Q6:Q$24)),4)</f>
        <v>1.3087</v>
      </c>
      <c r="AC6" s="1792"/>
      <c r="AD6" s="1791">
        <f>ROUND(AVERAGE(I6:I$25)/100,4)</f>
        <v>2.1899999999999999E-2</v>
      </c>
      <c r="AE6" s="1791">
        <f>ROUND(AVERAGE(J6:J$25)/100,4)</f>
        <v>1.5299999999999999E-2</v>
      </c>
      <c r="AF6" s="1791">
        <f t="shared" ref="AF6" si="21">AE6</f>
        <v>1.5299999999999999E-2</v>
      </c>
      <c r="AG6" s="1791">
        <f>ROUND(AVERAGE(K6:K$25)/100,4)</f>
        <v>2.41E-2</v>
      </c>
      <c r="AH6" s="1791">
        <f>ROUND(AVERAGE(L6:L$25)/100,4)</f>
        <v>1.4200000000000001E-2</v>
      </c>
    </row>
    <row r="7" spans="1:34" s="1468" customFormat="1" ht="14.45" customHeight="1">
      <c r="A7" s="1463" t="s">
        <v>3041</v>
      </c>
      <c r="B7" s="1479">
        <f t="shared" ref="B7" si="22">B8*(1+N7)</f>
        <v>459.95733971036987</v>
      </c>
      <c r="C7" s="1479">
        <f t="shared" ref="C7" si="23">C8*(1+O7)</f>
        <v>341.22221064422405</v>
      </c>
      <c r="D7" s="1479">
        <f t="shared" ref="D7" si="24">C7</f>
        <v>341.22221064422405</v>
      </c>
      <c r="E7" s="1479">
        <f t="shared" ref="E7" si="25">E8*(1+P7)</f>
        <v>657.19161663724799</v>
      </c>
      <c r="F7" s="1479">
        <f t="shared" ref="F7" si="26">F8*(1+Q7)</f>
        <v>300.87803644464805</v>
      </c>
      <c r="G7" s="3434"/>
      <c r="H7" s="1466">
        <v>3</v>
      </c>
      <c r="I7" s="1466">
        <v>1.51</v>
      </c>
      <c r="J7" s="1466">
        <v>1.41</v>
      </c>
      <c r="K7" s="1466">
        <v>1.52</v>
      </c>
      <c r="L7" s="1480">
        <v>1.74</v>
      </c>
      <c r="M7" s="1473"/>
      <c r="N7" s="1474">
        <f>I7/100</f>
        <v>1.5100000000000001E-2</v>
      </c>
      <c r="O7" s="1475">
        <f t="shared" ref="O7" si="27">J7/100</f>
        <v>1.41E-2</v>
      </c>
      <c r="P7" s="1475">
        <f t="shared" ref="P7" si="28">K7/100</f>
        <v>1.52E-2</v>
      </c>
      <c r="Q7" s="1475">
        <f t="shared" ref="Q7" si="29">L7/100</f>
        <v>1.7399999999999999E-2</v>
      </c>
      <c r="R7" s="1476"/>
      <c r="S7" s="1474"/>
      <c r="T7" s="1475"/>
      <c r="U7" s="1475"/>
      <c r="V7" s="1475"/>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8" customFormat="1" ht="14.45" customHeight="1">
      <c r="A8" s="1463" t="s">
        <v>3040</v>
      </c>
      <c r="B8" s="1479">
        <f t="shared" ref="B8" si="32">B9*(1+N8)</f>
        <v>453.11529869999993</v>
      </c>
      <c r="C8" s="1479">
        <f t="shared" ref="C8" si="33">C9*(1+O8)</f>
        <v>336.47787264000004</v>
      </c>
      <c r="D8" s="1479">
        <f t="shared" ref="D8" si="34">C8</f>
        <v>336.47787264000004</v>
      </c>
      <c r="E8" s="1479">
        <f t="shared" ref="E8" si="35">E9*(1+P8)</f>
        <v>647.35186823999993</v>
      </c>
      <c r="F8" s="1479">
        <f t="shared" ref="F8" si="36">F9*(1+Q8)</f>
        <v>295.73229452000004</v>
      </c>
      <c r="G8" s="3434"/>
      <c r="H8" s="1466">
        <v>2</v>
      </c>
      <c r="I8" s="1466">
        <v>1.49</v>
      </c>
      <c r="J8" s="1466">
        <v>0.96</v>
      </c>
      <c r="K8" s="1466">
        <v>1.58</v>
      </c>
      <c r="L8" s="1480">
        <v>2.44</v>
      </c>
      <c r="M8" s="1473"/>
      <c r="N8" s="1474">
        <f t="shared" ref="N8" si="37">I8/100</f>
        <v>1.49E-2</v>
      </c>
      <c r="O8" s="1475">
        <f t="shared" ref="O8" si="38">J8/100</f>
        <v>9.5999999999999992E-3</v>
      </c>
      <c r="P8" s="1475">
        <f t="shared" ref="P8" si="39">K8/100</f>
        <v>1.5800000000000002E-2</v>
      </c>
      <c r="Q8" s="1475">
        <f t="shared" ref="Q8" si="40">L8/100</f>
        <v>2.4399999999999998E-2</v>
      </c>
      <c r="R8" s="1476"/>
      <c r="S8" s="1474"/>
      <c r="T8" s="1475"/>
      <c r="U8" s="1475"/>
      <c r="V8" s="1475"/>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8" customFormat="1" ht="15" customHeight="1" thickBot="1">
      <c r="A9" s="1463" t="s">
        <v>3033</v>
      </c>
      <c r="B9" s="1479">
        <f t="shared" ref="B9" si="43">B10*(1+N9)</f>
        <v>446.46299999999997</v>
      </c>
      <c r="C9" s="1479">
        <f t="shared" ref="C9" si="44">C10*(1+O9)</f>
        <v>333.27840000000003</v>
      </c>
      <c r="D9" s="1479">
        <f t="shared" ref="D9" si="45">C9</f>
        <v>333.27840000000003</v>
      </c>
      <c r="E9" s="1479">
        <f t="shared" ref="E9" si="46">E10*(1+P9)</f>
        <v>637.28279999999995</v>
      </c>
      <c r="F9" s="1479">
        <f t="shared" ref="F9" si="47">F10*(1+Q9)</f>
        <v>288.68830000000003</v>
      </c>
      <c r="G9" s="3441"/>
      <c r="H9" s="1466">
        <v>1</v>
      </c>
      <c r="I9" s="1466">
        <v>1.7</v>
      </c>
      <c r="J9" s="1466">
        <v>1.92</v>
      </c>
      <c r="K9" s="1466">
        <v>1.64</v>
      </c>
      <c r="L9" s="1480">
        <v>2.0099999999999998</v>
      </c>
      <c r="M9" s="1473"/>
      <c r="N9" s="1474">
        <f t="shared" ref="N9:N14" si="48">I9/100</f>
        <v>1.7000000000000001E-2</v>
      </c>
      <c r="O9" s="1475">
        <f t="shared" ref="O9" si="49">J9/100</f>
        <v>1.9199999999999998E-2</v>
      </c>
      <c r="P9" s="1475">
        <f t="shared" ref="P9" si="50">K9/100</f>
        <v>1.6399999999999998E-2</v>
      </c>
      <c r="Q9" s="1475">
        <f t="shared" ref="Q9" si="51">L9/100</f>
        <v>2.0099999999999996E-2</v>
      </c>
      <c r="R9" s="1476"/>
      <c r="S9" s="1474">
        <f>B9/B10-1</f>
        <v>1.6999999999999904E-2</v>
      </c>
      <c r="T9" s="1475">
        <f t="shared" ref="T9" si="52">C9/C10-1</f>
        <v>1.9200000000000106E-2</v>
      </c>
      <c r="U9" s="1475">
        <f t="shared" ref="U9" si="53">D9/D10-1</f>
        <v>1.9200000000000106E-2</v>
      </c>
      <c r="V9" s="1475">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3" t="s">
        <v>3030</v>
      </c>
      <c r="B10" s="1471">
        <v>439</v>
      </c>
      <c r="C10" s="1471">
        <v>327</v>
      </c>
      <c r="D10" s="1471">
        <f>C10</f>
        <v>327</v>
      </c>
      <c r="E10" s="1471">
        <v>627</v>
      </c>
      <c r="F10" s="1472">
        <v>283</v>
      </c>
      <c r="G10" s="3437">
        <v>2017</v>
      </c>
      <c r="H10" s="1464">
        <v>4</v>
      </c>
      <c r="I10" s="1464">
        <v>1.71</v>
      </c>
      <c r="J10" s="1464">
        <v>1.78</v>
      </c>
      <c r="K10" s="1464">
        <v>1.71</v>
      </c>
      <c r="L10" s="1465">
        <v>1.43</v>
      </c>
      <c r="N10" s="1474">
        <f t="shared" si="48"/>
        <v>1.7100000000000001E-2</v>
      </c>
      <c r="O10" s="1475">
        <f t="shared" ref="O10" si="57">J10/100</f>
        <v>1.78E-2</v>
      </c>
      <c r="P10" s="1475">
        <f t="shared" ref="P10" si="58">K10/100</f>
        <v>1.7100000000000001E-2</v>
      </c>
      <c r="Q10" s="1475">
        <f t="shared" ref="Q10" si="59">L10/100</f>
        <v>1.43E-2</v>
      </c>
      <c r="R10" s="1476"/>
      <c r="S10" s="1477"/>
      <c r="T10" s="1478"/>
      <c r="U10" s="1478"/>
      <c r="V10" s="1478"/>
      <c r="X10" s="1461">
        <f>ROUND(SUMPRODUCT(PRODUCT(1+N10:N$24)),4)</f>
        <v>1.4274</v>
      </c>
      <c r="Y10" s="1461">
        <f>ROUND(SUMPRODUCT(PRODUCT(1+O10:O$24)),4)</f>
        <v>1.2685</v>
      </c>
      <c r="Z10" s="1461">
        <f t="shared" si="0"/>
        <v>1.2685</v>
      </c>
      <c r="AA10" s="1461">
        <f>ROUND(SUMPRODUCT(PRODUCT(1+P10:P$24)),4)</f>
        <v>1.4825999999999999</v>
      </c>
      <c r="AB10" s="1461">
        <f>ROUND(SUMPRODUCT(PRODUCT(1+Q10:Q$24)),4)</f>
        <v>1.2309000000000001</v>
      </c>
      <c r="AD10" s="1462">
        <f>ROUND(AVERAGE(I10:I$25)/100,4)</f>
        <v>2.4500000000000001E-2</v>
      </c>
      <c r="AE10" s="1462">
        <f>ROUND(AVERAGE(J10:J$25)/100,4)</f>
        <v>1.6500000000000001E-2</v>
      </c>
      <c r="AF10" s="1462">
        <f t="shared" si="1"/>
        <v>1.6500000000000001E-2</v>
      </c>
      <c r="AG10" s="1462">
        <f>ROUND(AVERAGE(K10:K$25)/100,4)</f>
        <v>2.7099999999999999E-2</v>
      </c>
      <c r="AH10" s="1462">
        <f>ROUND(AVERAGE(L10:L$25)/100,4)</f>
        <v>1.3899999999999999E-2</v>
      </c>
    </row>
    <row r="11" spans="1:34" s="1468" customFormat="1" ht="14.45" customHeight="1">
      <c r="A11" s="1463" t="s">
        <v>3031</v>
      </c>
      <c r="B11" s="1479">
        <f t="shared" ref="B11:B12" si="60">B12*(1+N11)</f>
        <v>431.80730811680002</v>
      </c>
      <c r="C11" s="1479">
        <f t="shared" ref="C11:C12" si="61">C12*(1+O11)</f>
        <v>320.57880516480003</v>
      </c>
      <c r="D11" s="1479">
        <f t="shared" ref="D11:D12" si="62">C11</f>
        <v>320.57880516480003</v>
      </c>
      <c r="E11" s="1479">
        <f t="shared" ref="E11:E12" si="63">E12*(1+P11)</f>
        <v>615.96110553196797</v>
      </c>
      <c r="F11" s="1479">
        <f t="shared" ref="F11:F12" si="64">F12*(1+Q11)</f>
        <v>279.46777300108801</v>
      </c>
      <c r="G11" s="3434"/>
      <c r="H11" s="1466">
        <v>3</v>
      </c>
      <c r="I11" s="1466">
        <v>2.98</v>
      </c>
      <c r="J11" s="1466">
        <v>2.11</v>
      </c>
      <c r="K11" s="1466">
        <v>3.24</v>
      </c>
      <c r="L11" s="1480">
        <v>1.72</v>
      </c>
      <c r="M11" s="1473"/>
      <c r="N11" s="1474">
        <f t="shared" si="48"/>
        <v>2.98E-2</v>
      </c>
      <c r="O11" s="1475">
        <f t="shared" ref="O11" si="65">J11/100</f>
        <v>2.1099999999999997E-2</v>
      </c>
      <c r="P11" s="1475">
        <f t="shared" ref="P11" si="66">K11/100</f>
        <v>3.2400000000000005E-2</v>
      </c>
      <c r="Q11" s="1475">
        <f t="shared" ref="Q11" si="67">L11/100</f>
        <v>1.72E-2</v>
      </c>
      <c r="R11" s="1476"/>
      <c r="S11" s="1474"/>
      <c r="T11" s="1475"/>
      <c r="U11" s="1475"/>
      <c r="V11" s="1475"/>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3" customFormat="1" ht="14.45" customHeight="1">
      <c r="A12" s="1463" t="s">
        <v>1382</v>
      </c>
      <c r="B12" s="1479">
        <f t="shared" si="60"/>
        <v>419.31181600000002</v>
      </c>
      <c r="C12" s="1479">
        <f t="shared" si="61"/>
        <v>313.95436800000004</v>
      </c>
      <c r="D12" s="1479">
        <f t="shared" si="62"/>
        <v>313.95436800000004</v>
      </c>
      <c r="E12" s="1479">
        <f t="shared" si="63"/>
        <v>596.63028431999999</v>
      </c>
      <c r="F12" s="1479">
        <f t="shared" si="64"/>
        <v>274.74220703999998</v>
      </c>
      <c r="G12" s="3434"/>
      <c r="H12" s="1467">
        <v>2</v>
      </c>
      <c r="I12" s="1467">
        <v>3.4</v>
      </c>
      <c r="J12" s="1467">
        <v>2</v>
      </c>
      <c r="K12" s="1467">
        <v>3.82</v>
      </c>
      <c r="L12" s="1481">
        <v>1.68</v>
      </c>
      <c r="M12" s="1473"/>
      <c r="N12" s="1474">
        <f t="shared" si="48"/>
        <v>3.4000000000000002E-2</v>
      </c>
      <c r="O12" s="1475">
        <f t="shared" ref="O12" si="68">J12/100</f>
        <v>0.02</v>
      </c>
      <c r="P12" s="1475">
        <f t="shared" ref="P12" si="69">K12/100</f>
        <v>3.8199999999999998E-2</v>
      </c>
      <c r="Q12" s="1475">
        <f t="shared" ref="Q12" si="70">L12/100</f>
        <v>1.6799999999999999E-2</v>
      </c>
      <c r="R12" s="1476"/>
      <c r="S12" s="1477"/>
      <c r="T12" s="1478"/>
      <c r="U12" s="1478"/>
      <c r="V12" s="1478"/>
      <c r="W12" s="1455"/>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5"/>
      <c r="AD12" s="1791">
        <f>ROUND(AVERAGE(I12:I$25)/100,4)</f>
        <v>2.46E-2</v>
      </c>
      <c r="AE12" s="1791">
        <f>ROUND(AVERAGE(J12:J$25)/100,4)</f>
        <v>1.6E-2</v>
      </c>
      <c r="AF12" s="1791">
        <f t="shared" si="1"/>
        <v>1.6E-2</v>
      </c>
      <c r="AG12" s="1791">
        <f>ROUND(AVERAGE(K12:K$25)/100,4)</f>
        <v>2.75E-2</v>
      </c>
      <c r="AH12" s="1791">
        <f>ROUND(AVERAGE(L12:L$25)/100,4)</f>
        <v>1.37E-2</v>
      </c>
    </row>
    <row r="13" spans="1:34" s="1468" customFormat="1" ht="15" customHeight="1" thickBot="1">
      <c r="A13" s="1463" t="s">
        <v>1157</v>
      </c>
      <c r="B13" s="1479">
        <f>B14*(1+N13)</f>
        <v>405.524</v>
      </c>
      <c r="C13" s="1479">
        <f>C14*(1+O13)</f>
        <v>307.79840000000002</v>
      </c>
      <c r="D13" s="1479">
        <f>C13</f>
        <v>307.79840000000002</v>
      </c>
      <c r="E13" s="1479">
        <f>E14*(1+P13)</f>
        <v>574.67759999999998</v>
      </c>
      <c r="F13" s="1479">
        <f>F14*(1+Q13)</f>
        <v>270.20280000000002</v>
      </c>
      <c r="G13" s="3441"/>
      <c r="H13" s="1466">
        <v>1</v>
      </c>
      <c r="I13" s="1466">
        <v>3.45</v>
      </c>
      <c r="J13" s="1466">
        <v>1.92</v>
      </c>
      <c r="K13" s="1466">
        <v>3.92</v>
      </c>
      <c r="L13" s="1480">
        <v>1.58</v>
      </c>
      <c r="M13" s="1473"/>
      <c r="N13" s="1474">
        <f t="shared" si="48"/>
        <v>3.4500000000000003E-2</v>
      </c>
      <c r="O13" s="1475">
        <f t="shared" ref="O13:Q28" si="71">J13/100</f>
        <v>1.9199999999999998E-2</v>
      </c>
      <c r="P13" s="1475">
        <f t="shared" si="71"/>
        <v>3.9199999999999999E-2</v>
      </c>
      <c r="Q13" s="1475">
        <f t="shared" si="71"/>
        <v>1.5800000000000002E-2</v>
      </c>
      <c r="R13" s="1476"/>
      <c r="S13" s="1474">
        <f>B13/B14-1</f>
        <v>3.4499999999999975E-2</v>
      </c>
      <c r="T13" s="1475">
        <f t="shared" ref="T13:V13" si="72">C13/C14-1</f>
        <v>1.9200000000000106E-2</v>
      </c>
      <c r="U13" s="1475">
        <f t="shared" si="72"/>
        <v>1.9200000000000106E-2</v>
      </c>
      <c r="V13" s="1475">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3" t="s">
        <v>154</v>
      </c>
      <c r="B14" s="1471">
        <v>392</v>
      </c>
      <c r="C14" s="1471">
        <v>302</v>
      </c>
      <c r="D14" s="1471">
        <f>C14</f>
        <v>302</v>
      </c>
      <c r="E14" s="1471">
        <v>553</v>
      </c>
      <c r="F14" s="1472">
        <v>266</v>
      </c>
      <c r="G14" s="3437">
        <v>2016</v>
      </c>
      <c r="H14" s="1464">
        <v>4</v>
      </c>
      <c r="I14" s="1464">
        <v>4.5599999999999996</v>
      </c>
      <c r="J14" s="1464">
        <v>2.15</v>
      </c>
      <c r="K14" s="1464">
        <v>5.32</v>
      </c>
      <c r="L14" s="1465">
        <v>1.57</v>
      </c>
      <c r="N14" s="1474">
        <f t="shared" si="48"/>
        <v>4.5599999999999995E-2</v>
      </c>
      <c r="O14" s="1475">
        <f t="shared" si="71"/>
        <v>2.1499999999999998E-2</v>
      </c>
      <c r="P14" s="1475">
        <f t="shared" si="71"/>
        <v>5.3200000000000004E-2</v>
      </c>
      <c r="Q14" s="1475">
        <f t="shared" si="71"/>
        <v>1.5700000000000002E-2</v>
      </c>
      <c r="R14" s="1476"/>
      <c r="S14" s="1477"/>
      <c r="T14" s="1478"/>
      <c r="U14" s="1478"/>
      <c r="V14" s="1478"/>
      <c r="X14" s="1461">
        <f>ROUND(SUMPRODUCT(PRODUCT(1+N14:N$24)),4)</f>
        <v>1.274</v>
      </c>
      <c r="Y14" s="1461">
        <f>ROUND(SUMPRODUCT(PRODUCT(1+O14:O$24)),4)</f>
        <v>1.1740999999999999</v>
      </c>
      <c r="Z14" s="1461">
        <f t="shared" si="0"/>
        <v>1.1740999999999999</v>
      </c>
      <c r="AA14" s="1461">
        <f>ROUND(SUMPRODUCT(PRODUCT(1+P14:P$24)),4)</f>
        <v>1.3087</v>
      </c>
      <c r="AB14" s="1461">
        <f>ROUND(SUMPRODUCT(PRODUCT(1+Q14:Q$24)),4)</f>
        <v>1.1551</v>
      </c>
      <c r="AD14" s="1462">
        <f>ROUND(AVERAGE(I14:I$25)/100,4)</f>
        <v>2.3E-2</v>
      </c>
      <c r="AE14" s="1462">
        <f>ROUND(AVERAGE(J14:J$25)/100,4)</f>
        <v>1.55E-2</v>
      </c>
      <c r="AF14" s="1462">
        <f t="shared" si="1"/>
        <v>1.55E-2</v>
      </c>
      <c r="AG14" s="1462">
        <f>ROUND(AVERAGE(K14:K$25)/100,4)</f>
        <v>2.5600000000000001E-2</v>
      </c>
      <c r="AH14" s="1462">
        <f>ROUND(AVERAGE(L14:L$25)/100,4)</f>
        <v>1.32E-2</v>
      </c>
    </row>
    <row r="15" spans="1:34">
      <c r="A15" s="1463" t="s">
        <v>153</v>
      </c>
      <c r="B15" s="1479">
        <f t="shared" ref="B15:C17" si="73">B14/(1+N14)</f>
        <v>374.90436113236416</v>
      </c>
      <c r="C15" s="1479">
        <f t="shared" si="73"/>
        <v>295.64366128242779</v>
      </c>
      <c r="D15" s="1479">
        <f t="shared" ref="D15:D74" si="74">C15</f>
        <v>295.64366128242779</v>
      </c>
      <c r="E15" s="1479">
        <f t="shared" ref="E15:F17" si="75">E14/(1+P14)</f>
        <v>525.06646410938095</v>
      </c>
      <c r="F15" s="1479">
        <f t="shared" si="75"/>
        <v>261.88835286009646</v>
      </c>
      <c r="G15" s="3434"/>
      <c r="H15" s="1466">
        <v>3</v>
      </c>
      <c r="I15" s="1466">
        <v>4.12</v>
      </c>
      <c r="J15" s="1466">
        <v>2</v>
      </c>
      <c r="K15" s="1466">
        <v>4.79</v>
      </c>
      <c r="L15" s="1480">
        <v>1.97</v>
      </c>
      <c r="N15" s="1474">
        <f t="shared" ref="N15:Q49" si="76">I15/100</f>
        <v>4.1200000000000001E-2</v>
      </c>
      <c r="O15" s="1475">
        <f t="shared" si="71"/>
        <v>0.02</v>
      </c>
      <c r="P15" s="1475">
        <f t="shared" si="71"/>
        <v>4.7899999999999998E-2</v>
      </c>
      <c r="Q15" s="1475">
        <f t="shared" si="71"/>
        <v>1.9699999999999999E-2</v>
      </c>
      <c r="R15" s="1476"/>
      <c r="S15" s="1474"/>
      <c r="T15" s="1475"/>
      <c r="U15" s="1475"/>
      <c r="V15" s="1475"/>
      <c r="X15" s="1461">
        <f>ROUND(SUMPRODUCT(PRODUCT(1+N15:N$24)),4)</f>
        <v>1.2184999999999999</v>
      </c>
      <c r="Y15" s="1461">
        <f>ROUND(SUMPRODUCT(PRODUCT(1+O15:O$24)),4)</f>
        <v>1.1494</v>
      </c>
      <c r="Z15" s="1461">
        <f t="shared" si="0"/>
        <v>1.1494</v>
      </c>
      <c r="AA15" s="1461">
        <f>ROUND(SUMPRODUCT(PRODUCT(1+P15:P$24)),4)</f>
        <v>1.2425999999999999</v>
      </c>
      <c r="AB15" s="1461">
        <f>ROUND(SUMPRODUCT(PRODUCT(1+Q15:Q$24)),4)</f>
        <v>1.1372</v>
      </c>
      <c r="AD15" s="1462">
        <f>ROUND(AVERAGE(I15:I$25)/100,4)</f>
        <v>2.0899999999999998E-2</v>
      </c>
      <c r="AE15" s="1462">
        <f>ROUND(AVERAGE(J15:J$25)/100,4)</f>
        <v>1.49E-2</v>
      </c>
      <c r="AF15" s="1462">
        <f t="shared" si="1"/>
        <v>1.49E-2</v>
      </c>
      <c r="AG15" s="1462">
        <f>ROUND(AVERAGE(K15:K$25)/100,4)</f>
        <v>2.3099999999999999E-2</v>
      </c>
      <c r="AH15" s="1462">
        <f>ROUND(AVERAGE(L15:L$25)/100,4)</f>
        <v>1.2999999999999999E-2</v>
      </c>
    </row>
    <row r="16" spans="1:34">
      <c r="A16" s="1463" t="s">
        <v>143</v>
      </c>
      <c r="B16" s="1479">
        <f t="shared" si="73"/>
        <v>360.06949782209392</v>
      </c>
      <c r="C16" s="1479">
        <f t="shared" si="73"/>
        <v>289.84672674747821</v>
      </c>
      <c r="D16" s="1479">
        <f t="shared" si="74"/>
        <v>289.84672674747821</v>
      </c>
      <c r="E16" s="1479">
        <f t="shared" si="75"/>
        <v>501.06543001181495</v>
      </c>
      <c r="F16" s="1479">
        <f t="shared" si="75"/>
        <v>256.82882500744967</v>
      </c>
      <c r="G16" s="3434"/>
      <c r="H16" s="1467">
        <v>2</v>
      </c>
      <c r="I16" s="1467">
        <v>3.85</v>
      </c>
      <c r="J16" s="1467">
        <v>1.95</v>
      </c>
      <c r="K16" s="1467">
        <v>4.4800000000000004</v>
      </c>
      <c r="L16" s="1481">
        <v>1.41</v>
      </c>
      <c r="N16" s="1474">
        <f t="shared" si="76"/>
        <v>3.85E-2</v>
      </c>
      <c r="O16" s="1475">
        <f t="shared" si="71"/>
        <v>1.95E-2</v>
      </c>
      <c r="P16" s="1475">
        <f t="shared" si="71"/>
        <v>4.4800000000000006E-2</v>
      </c>
      <c r="Q16" s="1475">
        <f t="shared" si="71"/>
        <v>1.41E-2</v>
      </c>
      <c r="R16" s="1476"/>
      <c r="S16" s="1474"/>
      <c r="T16" s="1475"/>
      <c r="U16" s="1475"/>
      <c r="V16" s="1475"/>
      <c r="X16" s="1461">
        <f>ROUND(SUMPRODUCT(PRODUCT(1+N16:N$24)),4)</f>
        <v>1.1702999999999999</v>
      </c>
      <c r="Y16" s="1461">
        <f>ROUND(SUMPRODUCT(PRODUCT(1+O16:O$24)),4)</f>
        <v>1.1269</v>
      </c>
      <c r="Z16" s="1461">
        <f t="shared" si="0"/>
        <v>1.1269</v>
      </c>
      <c r="AA16" s="1461">
        <f>ROUND(SUMPRODUCT(PRODUCT(1+P16:P$24)),4)</f>
        <v>1.1858</v>
      </c>
      <c r="AB16" s="1461">
        <f>ROUND(SUMPRODUCT(PRODUCT(1+Q16:Q$24)),4)</f>
        <v>1.1152</v>
      </c>
      <c r="AD16" s="1462">
        <f>ROUND(AVERAGE(I16:I$25)/100,4)</f>
        <v>1.89E-2</v>
      </c>
      <c r="AE16" s="1462">
        <f>ROUND(AVERAGE(J16:J$25)/100,4)</f>
        <v>1.44E-2</v>
      </c>
      <c r="AF16" s="1462">
        <f t="shared" si="1"/>
        <v>1.44E-2</v>
      </c>
      <c r="AG16" s="1462">
        <f>ROUND(AVERAGE(K16:K$25)/100,4)</f>
        <v>2.06E-2</v>
      </c>
      <c r="AH16" s="1462">
        <f>ROUND(AVERAGE(L16:L$25)/100,4)</f>
        <v>1.23E-2</v>
      </c>
    </row>
    <row r="17" spans="1:34" ht="13.5" thickBot="1">
      <c r="A17" s="1463" t="s">
        <v>152</v>
      </c>
      <c r="B17" s="1479">
        <f t="shared" si="73"/>
        <v>346.720748986128</v>
      </c>
      <c r="C17" s="1479">
        <f t="shared" si="73"/>
        <v>284.30282172386285</v>
      </c>
      <c r="D17" s="1479">
        <f t="shared" si="74"/>
        <v>284.30282172386285</v>
      </c>
      <c r="E17" s="1479">
        <f t="shared" si="75"/>
        <v>479.58023546306947</v>
      </c>
      <c r="F17" s="1479">
        <f t="shared" si="75"/>
        <v>253.25788877571213</v>
      </c>
      <c r="G17" s="3435"/>
      <c r="H17" s="1466">
        <v>1</v>
      </c>
      <c r="I17" s="1466">
        <v>4.09</v>
      </c>
      <c r="J17" s="1466">
        <v>2.93</v>
      </c>
      <c r="K17" s="1466">
        <v>4.54</v>
      </c>
      <c r="L17" s="1480">
        <v>1.48</v>
      </c>
      <c r="N17" s="1474">
        <f t="shared" si="76"/>
        <v>4.0899999999999999E-2</v>
      </c>
      <c r="O17" s="1475">
        <f t="shared" si="71"/>
        <v>2.9300000000000003E-2</v>
      </c>
      <c r="P17" s="1475">
        <f t="shared" si="71"/>
        <v>4.5400000000000003E-2</v>
      </c>
      <c r="Q17" s="1475">
        <f t="shared" si="71"/>
        <v>1.4800000000000001E-2</v>
      </c>
      <c r="R17" s="1476"/>
      <c r="S17" s="1482">
        <f>B17/B18-1</f>
        <v>4.1203450408792808E-2</v>
      </c>
      <c r="T17" s="1483">
        <f>C17/C18-1</f>
        <v>2.6363977342465095E-2</v>
      </c>
      <c r="U17" s="1483">
        <f>E17/E18-1</f>
        <v>4.4837114298626357E-2</v>
      </c>
      <c r="V17" s="1483">
        <f>F17/F18-1</f>
        <v>1.7099954922538574E-2</v>
      </c>
      <c r="X17" s="1461">
        <f>ROUND(SUMPRODUCT(PRODUCT(1+N17:N$24)),4)</f>
        <v>1.1269</v>
      </c>
      <c r="Y17" s="1461">
        <f>ROUND(SUMPRODUCT(PRODUCT(1+O17:O$24)),4)</f>
        <v>1.1052999999999999</v>
      </c>
      <c r="Z17" s="1461">
        <f t="shared" si="0"/>
        <v>1.1052999999999999</v>
      </c>
      <c r="AA17" s="1461">
        <f>ROUND(SUMPRODUCT(PRODUCT(1+P17:P$24)),4)</f>
        <v>1.1349</v>
      </c>
      <c r="AB17" s="1461">
        <f>ROUND(SUMPRODUCT(PRODUCT(1+Q17:Q$24)),4)</f>
        <v>1.0996999999999999</v>
      </c>
      <c r="AD17" s="1462">
        <f>ROUND(AVERAGE(I17:I$25)/100,4)</f>
        <v>1.67E-2</v>
      </c>
      <c r="AE17" s="1462">
        <f>ROUND(AVERAGE(J17:J$25)/100,4)</f>
        <v>1.38E-2</v>
      </c>
      <c r="AF17" s="1462">
        <f t="shared" si="1"/>
        <v>1.38E-2</v>
      </c>
      <c r="AG17" s="1462">
        <f>ROUND(AVERAGE(K17:K$25)/100,4)</f>
        <v>1.7899999999999999E-2</v>
      </c>
      <c r="AH17" s="1462">
        <f>ROUND(AVERAGE(L17:L$25)/100,4)</f>
        <v>1.21E-2</v>
      </c>
    </row>
    <row r="18" spans="1:34" ht="13.5" thickBot="1">
      <c r="A18" s="1463" t="s">
        <v>151</v>
      </c>
      <c r="B18" s="1471">
        <v>333</v>
      </c>
      <c r="C18" s="1471">
        <v>277</v>
      </c>
      <c r="D18" s="1471">
        <f t="shared" si="74"/>
        <v>277</v>
      </c>
      <c r="E18" s="1471">
        <v>459</v>
      </c>
      <c r="F18" s="1472">
        <v>249</v>
      </c>
      <c r="G18" s="3433">
        <v>2015</v>
      </c>
      <c r="H18" s="1484">
        <v>4</v>
      </c>
      <c r="I18" s="1484">
        <v>1.63</v>
      </c>
      <c r="J18" s="1484">
        <v>1.1100000000000001</v>
      </c>
      <c r="K18" s="1484">
        <v>1.77</v>
      </c>
      <c r="L18" s="1485">
        <v>1.89</v>
      </c>
      <c r="N18" s="1486">
        <f t="shared" si="76"/>
        <v>1.6299999999999999E-2</v>
      </c>
      <c r="O18" s="1487">
        <f t="shared" si="71"/>
        <v>1.11E-2</v>
      </c>
      <c r="P18" s="1487">
        <f t="shared" si="71"/>
        <v>1.77E-2</v>
      </c>
      <c r="Q18" s="1487">
        <f t="shared" si="71"/>
        <v>1.89E-2</v>
      </c>
      <c r="R18" s="1476"/>
      <c r="X18" s="1461">
        <f>ROUND(SUMPRODUCT(PRODUCT(1+N18:N$24)),4)</f>
        <v>1.0826</v>
      </c>
      <c r="Y18" s="1461">
        <f>ROUND(SUMPRODUCT(PRODUCT(1+O18:O$24)),4)</f>
        <v>1.0738000000000001</v>
      </c>
      <c r="Z18" s="1461">
        <f t="shared" si="0"/>
        <v>1.0738000000000001</v>
      </c>
      <c r="AA18" s="1461">
        <f>ROUND(SUMPRODUCT(PRODUCT(1+P18:P$24)),4)</f>
        <v>1.0855999999999999</v>
      </c>
      <c r="AB18" s="1461">
        <f>ROUND(SUMPRODUCT(PRODUCT(1+Q18:Q$24)),4)</f>
        <v>1.0837000000000001</v>
      </c>
      <c r="AD18" s="1462">
        <f>ROUND(AVERAGE(I18:I$25)/100,4)</f>
        <v>1.37E-2</v>
      </c>
      <c r="AE18" s="1462">
        <f>ROUND(AVERAGE(J18:J$25)/100,4)</f>
        <v>1.1900000000000001E-2</v>
      </c>
      <c r="AF18" s="1462">
        <f t="shared" si="1"/>
        <v>1.1900000000000001E-2</v>
      </c>
      <c r="AG18" s="1462">
        <f>ROUND(AVERAGE(K18:K$25)/100,4)</f>
        <v>1.4500000000000001E-2</v>
      </c>
      <c r="AH18" s="1462">
        <f>ROUND(AVERAGE(L18:L$25)/100,4)</f>
        <v>1.18E-2</v>
      </c>
    </row>
    <row r="19" spans="1:34">
      <c r="A19" s="1463" t="s">
        <v>150</v>
      </c>
      <c r="B19" s="1479">
        <f t="shared" ref="B19:C21" si="77">B18/(1+N18)</f>
        <v>327.65915576109415</v>
      </c>
      <c r="C19" s="1479">
        <f t="shared" si="77"/>
        <v>273.95905449510434</v>
      </c>
      <c r="D19" s="1479">
        <f t="shared" si="74"/>
        <v>273.95905449510434</v>
      </c>
      <c r="E19" s="1479">
        <f t="shared" ref="E19:F21" si="78">E18/(1+P18)</f>
        <v>451.01699911565294</v>
      </c>
      <c r="F19" s="1479">
        <f t="shared" si="78"/>
        <v>244.38119540681129</v>
      </c>
      <c r="G19" s="3434"/>
      <c r="H19" s="1489">
        <v>3</v>
      </c>
      <c r="I19" s="1489">
        <v>1.65</v>
      </c>
      <c r="J19" s="1489">
        <v>0.92</v>
      </c>
      <c r="K19" s="1489">
        <v>1.88</v>
      </c>
      <c r="L19" s="1490">
        <v>1.26</v>
      </c>
      <c r="N19" s="1474">
        <f t="shared" si="76"/>
        <v>1.6500000000000001E-2</v>
      </c>
      <c r="O19" s="1491">
        <f t="shared" si="71"/>
        <v>9.1999999999999998E-3</v>
      </c>
      <c r="P19" s="1491">
        <f t="shared" si="71"/>
        <v>1.8799999999999997E-2</v>
      </c>
      <c r="Q19" s="1491">
        <f t="shared" si="71"/>
        <v>1.26E-2</v>
      </c>
      <c r="R19" s="1476"/>
      <c r="S19" s="1474"/>
      <c r="T19" s="1475"/>
      <c r="U19" s="1475"/>
      <c r="V19" s="1475"/>
      <c r="X19" s="1461">
        <f>ROUND(SUMPRODUCT(PRODUCT(1+N19:N$24)),4)</f>
        <v>1.0651999999999999</v>
      </c>
      <c r="Y19" s="1461">
        <f>ROUND(SUMPRODUCT(PRODUCT(1+O19:O$24)),4)</f>
        <v>1.0621</v>
      </c>
      <c r="Z19" s="1461">
        <f t="shared" si="0"/>
        <v>1.0621</v>
      </c>
      <c r="AA19" s="1461">
        <f>ROUND(SUMPRODUCT(PRODUCT(1+P19:P$24)),4)</f>
        <v>1.0668</v>
      </c>
      <c r="AB19" s="1461">
        <f>ROUND(SUMPRODUCT(PRODUCT(1+Q19:Q$24)),4)</f>
        <v>1.0636000000000001</v>
      </c>
      <c r="AD19" s="1462">
        <f>ROUND(AVERAGE(I19:I$25)/100,4)</f>
        <v>1.3299999999999999E-2</v>
      </c>
      <c r="AE19" s="1462">
        <f>ROUND(AVERAGE(J19:J$25)/100,4)</f>
        <v>1.2E-2</v>
      </c>
      <c r="AF19" s="1462">
        <f t="shared" si="1"/>
        <v>1.2E-2</v>
      </c>
      <c r="AG19" s="1462">
        <f>ROUND(AVERAGE(K19:K$25)/100,4)</f>
        <v>1.4E-2</v>
      </c>
      <c r="AH19" s="1462">
        <f>ROUND(AVERAGE(L19:L$25)/100,4)</f>
        <v>1.0800000000000001E-2</v>
      </c>
    </row>
    <row r="20" spans="1:34">
      <c r="A20" s="1463" t="s">
        <v>149</v>
      </c>
      <c r="B20" s="1479">
        <f t="shared" si="77"/>
        <v>322.34053690220776</v>
      </c>
      <c r="C20" s="1479">
        <f t="shared" si="77"/>
        <v>271.46160770422546</v>
      </c>
      <c r="D20" s="1479">
        <f t="shared" si="74"/>
        <v>271.46160770422546</v>
      </c>
      <c r="E20" s="1479">
        <f t="shared" si="78"/>
        <v>442.69434542172456</v>
      </c>
      <c r="F20" s="1479">
        <f t="shared" si="78"/>
        <v>241.34030753190925</v>
      </c>
      <c r="G20" s="3434"/>
      <c r="H20" s="1467">
        <v>2</v>
      </c>
      <c r="I20" s="1467">
        <v>0.77</v>
      </c>
      <c r="J20" s="1467">
        <v>0.69</v>
      </c>
      <c r="K20" s="1467">
        <v>0.8</v>
      </c>
      <c r="L20" s="1481">
        <v>0.88</v>
      </c>
      <c r="N20" s="1474">
        <f t="shared" si="76"/>
        <v>7.7000000000000002E-3</v>
      </c>
      <c r="O20" s="1491">
        <f t="shared" si="71"/>
        <v>6.8999999999999999E-3</v>
      </c>
      <c r="P20" s="1491">
        <f t="shared" si="71"/>
        <v>8.0000000000000002E-3</v>
      </c>
      <c r="Q20" s="1491">
        <f t="shared" si="71"/>
        <v>8.8000000000000005E-3</v>
      </c>
      <c r="R20" s="1476"/>
      <c r="S20" s="1474"/>
      <c r="T20" s="1475"/>
      <c r="U20" s="1475"/>
      <c r="V20" s="1475"/>
      <c r="X20" s="1461">
        <f>ROUND(SUMPRODUCT(PRODUCT(1+N20:N$24)),4)</f>
        <v>1.048</v>
      </c>
      <c r="Y20" s="1461">
        <f>ROUND(SUMPRODUCT(PRODUCT(1+O20:O$24)),4)</f>
        <v>1.0524</v>
      </c>
      <c r="Z20" s="1461">
        <f t="shared" si="0"/>
        <v>1.0524</v>
      </c>
      <c r="AA20" s="1461">
        <f>ROUND(SUMPRODUCT(PRODUCT(1+P20:P$24)),4)</f>
        <v>1.0470999999999999</v>
      </c>
      <c r="AB20" s="1461">
        <f>ROUND(SUMPRODUCT(PRODUCT(1+Q20:Q$24)),4)</f>
        <v>1.0504</v>
      </c>
      <c r="AD20" s="1462">
        <f>ROUND(AVERAGE(I20:I$25)/100,4)</f>
        <v>1.2800000000000001E-2</v>
      </c>
      <c r="AE20" s="1462">
        <f>ROUND(AVERAGE(J20:J$25)/100,4)</f>
        <v>1.2500000000000001E-2</v>
      </c>
      <c r="AF20" s="1462">
        <f t="shared" si="1"/>
        <v>1.2500000000000001E-2</v>
      </c>
      <c r="AG20" s="1462">
        <f>ROUND(AVERAGE(K20:K$25)/100,4)</f>
        <v>1.32E-2</v>
      </c>
      <c r="AH20" s="1462">
        <f>ROUND(AVERAGE(L20:L$25)/100,4)</f>
        <v>1.0500000000000001E-2</v>
      </c>
    </row>
    <row r="21" spans="1:34">
      <c r="A21" s="1463" t="s">
        <v>148</v>
      </c>
      <c r="B21" s="1479">
        <f t="shared" si="77"/>
        <v>319.87748030386797</v>
      </c>
      <c r="C21" s="1479">
        <f t="shared" si="77"/>
        <v>269.60135833173649</v>
      </c>
      <c r="D21" s="1479">
        <f t="shared" si="74"/>
        <v>269.60135833173649</v>
      </c>
      <c r="E21" s="1479">
        <f t="shared" si="78"/>
        <v>439.18089823583784</v>
      </c>
      <c r="F21" s="1479">
        <f t="shared" si="78"/>
        <v>239.23503918706311</v>
      </c>
      <c r="G21" s="3435"/>
      <c r="H21" s="1466">
        <v>1</v>
      </c>
      <c r="I21" s="1466">
        <v>0.51</v>
      </c>
      <c r="J21" s="1466">
        <v>0.54</v>
      </c>
      <c r="K21" s="1466">
        <v>0.48</v>
      </c>
      <c r="L21" s="1480">
        <v>0.93</v>
      </c>
      <c r="N21" s="1482">
        <f t="shared" si="76"/>
        <v>5.1000000000000004E-3</v>
      </c>
      <c r="O21" s="1483">
        <f t="shared" si="71"/>
        <v>5.4000000000000003E-3</v>
      </c>
      <c r="P21" s="1483">
        <f t="shared" si="71"/>
        <v>4.7999999999999996E-3</v>
      </c>
      <c r="Q21" s="1483">
        <f t="shared" si="71"/>
        <v>9.300000000000001E-3</v>
      </c>
      <c r="R21" s="1476"/>
      <c r="S21" s="1482">
        <f>B21/B22-1</f>
        <v>5.9040261127922822E-3</v>
      </c>
      <c r="T21" s="1483">
        <f>C21/C22-1</f>
        <v>5.9752176557332781E-3</v>
      </c>
      <c r="U21" s="1483">
        <f>E21/E22-1</f>
        <v>4.9906138119859556E-3</v>
      </c>
      <c r="V21" s="1483">
        <f>F21/F22-1</f>
        <v>9.4305450930933787E-3</v>
      </c>
      <c r="X21" s="1461">
        <f>ROUND(SUMPRODUCT(PRODUCT(1+N21:N$24)),4)</f>
        <v>1.0399</v>
      </c>
      <c r="Y21" s="1461">
        <f>ROUND(SUMPRODUCT(PRODUCT(1+O21:O$24)),4)</f>
        <v>1.0451999999999999</v>
      </c>
      <c r="Z21" s="1461">
        <f t="shared" si="0"/>
        <v>1.0451999999999999</v>
      </c>
      <c r="AA21" s="1461">
        <f>ROUND(SUMPRODUCT(PRODUCT(1+P21:P$24)),4)</f>
        <v>1.0387999999999999</v>
      </c>
      <c r="AB21" s="1461">
        <f>ROUND(SUMPRODUCT(PRODUCT(1+Q21:Q$24)),4)</f>
        <v>1.0411999999999999</v>
      </c>
      <c r="AD21" s="1462">
        <f>ROUND(AVERAGE(I21:I$25)/100,4)</f>
        <v>1.38E-2</v>
      </c>
      <c r="AE21" s="1462">
        <f>ROUND(AVERAGE(J21:J$25)/100,4)</f>
        <v>1.3599999999999999E-2</v>
      </c>
      <c r="AF21" s="1462">
        <f t="shared" si="1"/>
        <v>1.3599999999999999E-2</v>
      </c>
      <c r="AG21" s="1462">
        <f>ROUND(AVERAGE(K21:K$25)/100,4)</f>
        <v>1.4200000000000001E-2</v>
      </c>
      <c r="AH21" s="1462">
        <f>ROUND(AVERAGE(L21:L$25)/100,4)</f>
        <v>1.0800000000000001E-2</v>
      </c>
    </row>
    <row r="22" spans="1:34" ht="13.5" thickBot="1">
      <c r="A22" s="1463" t="s">
        <v>147</v>
      </c>
      <c r="B22" s="1492">
        <v>318</v>
      </c>
      <c r="C22" s="1492">
        <v>268</v>
      </c>
      <c r="D22" s="1492">
        <f t="shared" si="74"/>
        <v>268</v>
      </c>
      <c r="E22" s="1492">
        <v>437</v>
      </c>
      <c r="F22" s="1493">
        <v>237</v>
      </c>
      <c r="G22" s="3433">
        <v>2014</v>
      </c>
      <c r="H22" s="1484">
        <v>4</v>
      </c>
      <c r="I22" s="1484">
        <v>0.21</v>
      </c>
      <c r="J22" s="1484">
        <v>0.41</v>
      </c>
      <c r="K22" s="1484">
        <v>0.12</v>
      </c>
      <c r="L22" s="1485">
        <v>0.89</v>
      </c>
      <c r="N22" s="1474">
        <f t="shared" si="76"/>
        <v>2.0999999999999999E-3</v>
      </c>
      <c r="O22" s="1475">
        <f t="shared" si="71"/>
        <v>4.0999999999999995E-3</v>
      </c>
      <c r="P22" s="1475">
        <f t="shared" si="71"/>
        <v>1.1999999999999999E-3</v>
      </c>
      <c r="Q22" s="1475">
        <f t="shared" si="71"/>
        <v>8.8999999999999999E-3</v>
      </c>
      <c r="R22" s="1476"/>
      <c r="S22" s="1477"/>
      <c r="T22" s="1478"/>
      <c r="U22" s="1478"/>
      <c r="V22" s="1478"/>
      <c r="X22" s="1461">
        <f>ROUND(SUMPRODUCT(PRODUCT(1+N22:N$24)),4)</f>
        <v>1.0347</v>
      </c>
      <c r="Y22" s="1461">
        <f>ROUND(SUMPRODUCT(PRODUCT(1+O22:O$24)),4)</f>
        <v>1.0395000000000001</v>
      </c>
      <c r="Z22" s="1461">
        <f t="shared" si="0"/>
        <v>1.0395000000000001</v>
      </c>
      <c r="AA22" s="1461">
        <f>ROUND(SUMPRODUCT(PRODUCT(1+P22:P$24)),4)</f>
        <v>1.0338000000000001</v>
      </c>
      <c r="AB22" s="1461">
        <f>ROUND(SUMPRODUCT(PRODUCT(1+Q22:Q$24)),4)</f>
        <v>1.0316000000000001</v>
      </c>
      <c r="AD22" s="1462">
        <f>ROUND(AVERAGE(I22:I$25)/100,4)</f>
        <v>1.6E-2</v>
      </c>
      <c r="AE22" s="1462">
        <f>ROUND(AVERAGE(J22:J$25)/100,4)</f>
        <v>1.5599999999999999E-2</v>
      </c>
      <c r="AF22" s="1462">
        <f t="shared" si="1"/>
        <v>1.5599999999999999E-2</v>
      </c>
      <c r="AG22" s="1462">
        <f>ROUND(AVERAGE(K22:K$25)/100,4)</f>
        <v>1.66E-2</v>
      </c>
      <c r="AH22" s="1462">
        <f>ROUND(AVERAGE(L22:L$25)/100,4)</f>
        <v>1.12E-2</v>
      </c>
    </row>
    <row r="23" spans="1:34">
      <c r="A23" s="1463" t="s">
        <v>146</v>
      </c>
      <c r="B23" s="1479">
        <f t="shared" ref="B23:C25" si="79">B22/(1+N22)</f>
        <v>317.33359944117353</v>
      </c>
      <c r="C23" s="1479">
        <f t="shared" si="79"/>
        <v>266.90568668459315</v>
      </c>
      <c r="D23" s="1479">
        <f t="shared" si="74"/>
        <v>266.90568668459315</v>
      </c>
      <c r="E23" s="1479">
        <f t="shared" ref="E23:F25" si="80">E22/(1+P22)</f>
        <v>436.47622852576905</v>
      </c>
      <c r="F23" s="1479">
        <f t="shared" si="80"/>
        <v>234.90930716622066</v>
      </c>
      <c r="G23" s="3434"/>
      <c r="H23" s="1494">
        <v>3</v>
      </c>
      <c r="I23" s="1494">
        <v>0.83</v>
      </c>
      <c r="J23" s="1494">
        <v>1.47</v>
      </c>
      <c r="K23" s="1494">
        <v>0.65</v>
      </c>
      <c r="L23" s="1495">
        <v>0.72</v>
      </c>
      <c r="N23" s="1474">
        <f t="shared" si="76"/>
        <v>8.3000000000000001E-3</v>
      </c>
      <c r="O23" s="1475">
        <f t="shared" si="71"/>
        <v>1.47E-2</v>
      </c>
      <c r="P23" s="1475">
        <f t="shared" si="71"/>
        <v>6.5000000000000006E-3</v>
      </c>
      <c r="Q23" s="1475">
        <f t="shared" si="71"/>
        <v>7.1999999999999998E-3</v>
      </c>
      <c r="R23" s="1476"/>
      <c r="S23" s="1474"/>
      <c r="T23" s="1475"/>
      <c r="U23" s="1475"/>
      <c r="V23" s="1475"/>
      <c r="X23" s="1461">
        <f>ROUND(SUMPRODUCT(PRODUCT(1+N23:N$24)),4)</f>
        <v>1.0325</v>
      </c>
      <c r="Y23" s="1461">
        <f>ROUND(SUMPRODUCT(PRODUCT(1+O23:O$24)),4)</f>
        <v>1.0353000000000001</v>
      </c>
      <c r="Z23" s="1461">
        <f t="shared" ref="Z23:Z24" si="81">Y23</f>
        <v>1.0353000000000001</v>
      </c>
      <c r="AA23" s="1461">
        <f>ROUND(SUMPRODUCT(PRODUCT(1+P23:P$24)),4)</f>
        <v>1.0326</v>
      </c>
      <c r="AB23" s="1461">
        <f>ROUND(SUMPRODUCT(PRODUCT(1+Q23:Q$24)),4)</f>
        <v>1.0225</v>
      </c>
      <c r="AD23" s="1462">
        <f>ROUND(AVERAGE(I23:I$25)/100,4)</f>
        <v>2.07E-2</v>
      </c>
      <c r="AE23" s="1462">
        <f>ROUND(AVERAGE(J23:J$25)/100,4)</f>
        <v>1.95E-2</v>
      </c>
      <c r="AF23" s="1462">
        <f t="shared" si="1"/>
        <v>1.95E-2</v>
      </c>
      <c r="AG23" s="1462">
        <f>ROUND(AVERAGE(K23:K$25)/100,4)</f>
        <v>2.1700000000000001E-2</v>
      </c>
      <c r="AH23" s="1462">
        <f>ROUND(AVERAGE(L23:L$25)/100,4)</f>
        <v>1.2E-2</v>
      </c>
    </row>
    <row r="24" spans="1:34" ht="13.5" thickBot="1">
      <c r="A24" s="1463" t="s">
        <v>145</v>
      </c>
      <c r="B24" s="1479">
        <f t="shared" si="79"/>
        <v>314.72141172386546</v>
      </c>
      <c r="C24" s="1479">
        <f t="shared" si="79"/>
        <v>263.03901319069001</v>
      </c>
      <c r="D24" s="1479">
        <f t="shared" si="74"/>
        <v>263.03901319069001</v>
      </c>
      <c r="E24" s="1479">
        <f t="shared" si="80"/>
        <v>433.65745506782821</v>
      </c>
      <c r="F24" s="1479">
        <f t="shared" si="80"/>
        <v>233.23005080045735</v>
      </c>
      <c r="G24" s="3434"/>
      <c r="H24" s="1484">
        <v>2</v>
      </c>
      <c r="I24" s="1484">
        <v>2.4</v>
      </c>
      <c r="J24" s="1484">
        <v>2.0299999999999998</v>
      </c>
      <c r="K24" s="1484">
        <v>2.59</v>
      </c>
      <c r="L24" s="1485">
        <v>1.52</v>
      </c>
      <c r="N24" s="1474">
        <f t="shared" si="76"/>
        <v>2.4E-2</v>
      </c>
      <c r="O24" s="1475">
        <f t="shared" si="71"/>
        <v>2.0299999999999999E-2</v>
      </c>
      <c r="P24" s="1475">
        <f t="shared" si="71"/>
        <v>2.5899999999999999E-2</v>
      </c>
      <c r="Q24" s="1475">
        <f t="shared" si="71"/>
        <v>1.52E-2</v>
      </c>
      <c r="R24" s="1476"/>
      <c r="S24" s="1474"/>
      <c r="T24" s="1475"/>
      <c r="U24" s="1475"/>
      <c r="V24" s="1475"/>
      <c r="X24" s="1461">
        <f>1+N24</f>
        <v>1.024</v>
      </c>
      <c r="Y24" s="1461">
        <f>1+O24</f>
        <v>1.0203</v>
      </c>
      <c r="Z24" s="1461">
        <f t="shared" si="81"/>
        <v>1.0203</v>
      </c>
      <c r="AA24" s="1461">
        <f>1+P24</f>
        <v>1.0259</v>
      </c>
      <c r="AB24" s="1461">
        <f>1+Q24</f>
        <v>1.0152000000000001</v>
      </c>
      <c r="AD24" s="1462">
        <f>ROUND(AVERAGE(I24:I$25)/100,4)</f>
        <v>2.69E-2</v>
      </c>
      <c r="AE24" s="1462">
        <f>ROUND(AVERAGE(J24:J$25)/100,4)</f>
        <v>2.1899999999999999E-2</v>
      </c>
      <c r="AF24" s="1462">
        <f t="shared" ref="AF24" si="82">AE24</f>
        <v>2.1899999999999999E-2</v>
      </c>
      <c r="AG24" s="1462">
        <f>ROUND(AVERAGE(K24:K$25)/100,4)</f>
        <v>2.9399999999999999E-2</v>
      </c>
      <c r="AH24" s="1462">
        <f>ROUND(AVERAGE(L24:L$25)/100,4)</f>
        <v>1.44E-2</v>
      </c>
    </row>
    <row r="25" spans="1:34" s="1500" customFormat="1" ht="13.5" thickBot="1">
      <c r="A25" s="1496" t="s">
        <v>144</v>
      </c>
      <c r="B25" s="1497">
        <f t="shared" si="79"/>
        <v>307.34512863658733</v>
      </c>
      <c r="C25" s="1497">
        <f t="shared" si="79"/>
        <v>257.80556031626975</v>
      </c>
      <c r="D25" s="1497">
        <f t="shared" si="74"/>
        <v>257.80556031626975</v>
      </c>
      <c r="E25" s="1497">
        <f t="shared" si="80"/>
        <v>422.70928459677179</v>
      </c>
      <c r="F25" s="1497">
        <f t="shared" si="80"/>
        <v>229.73803270336617</v>
      </c>
      <c r="G25" s="3435"/>
      <c r="H25" s="1498">
        <v>1</v>
      </c>
      <c r="I25" s="1498">
        <v>2.97</v>
      </c>
      <c r="J25" s="1498">
        <v>2.34</v>
      </c>
      <c r="K25" s="1498">
        <v>3.28</v>
      </c>
      <c r="L25" s="1499">
        <v>1.36</v>
      </c>
      <c r="N25" s="1501">
        <f t="shared" si="76"/>
        <v>2.9700000000000001E-2</v>
      </c>
      <c r="O25" s="1502">
        <f t="shared" si="71"/>
        <v>2.3399999999999997E-2</v>
      </c>
      <c r="P25" s="1502">
        <f t="shared" si="71"/>
        <v>3.2799999999999996E-2</v>
      </c>
      <c r="Q25" s="1502">
        <f t="shared" si="71"/>
        <v>1.3600000000000001E-2</v>
      </c>
      <c r="R25" s="1503"/>
      <c r="S25" s="1504">
        <f>B25/B26-1</f>
        <v>2.7910129219355539E-2</v>
      </c>
      <c r="T25" s="1505">
        <f>C25/C26-1</f>
        <v>2.3037937762975247E-2</v>
      </c>
      <c r="U25" s="1505">
        <f>E25/E26-1</f>
        <v>3.3519033243940788E-2</v>
      </c>
      <c r="V25" s="1505">
        <f>F25/F26-1</f>
        <v>1.2061818076502862E-2</v>
      </c>
      <c r="W25" s="1506" t="s">
        <v>1158</v>
      </c>
      <c r="X25" s="1507">
        <v>1</v>
      </c>
      <c r="Y25" s="1507">
        <v>1</v>
      </c>
      <c r="Z25" s="1507">
        <v>1</v>
      </c>
      <c r="AA25" s="1507">
        <v>1</v>
      </c>
      <c r="AB25" s="1507">
        <v>1</v>
      </c>
      <c r="AD25" s="1729">
        <f>I25/100</f>
        <v>2.9700000000000001E-2</v>
      </c>
      <c r="AE25" s="1729">
        <f>J25/100</f>
        <v>2.3399999999999997E-2</v>
      </c>
      <c r="AF25" s="1729">
        <f>AE25</f>
        <v>2.3399999999999997E-2</v>
      </c>
      <c r="AG25" s="1729">
        <f>K25/100</f>
        <v>3.2799999999999996E-2</v>
      </c>
      <c r="AH25" s="1729">
        <f>L25/100</f>
        <v>1.3600000000000001E-2</v>
      </c>
    </row>
    <row r="26" spans="1:34" ht="13.5" thickBot="1">
      <c r="A26" s="1463" t="s">
        <v>1159</v>
      </c>
      <c r="B26" s="1471">
        <v>299</v>
      </c>
      <c r="C26" s="1471">
        <v>252</v>
      </c>
      <c r="D26" s="1471">
        <f t="shared" si="74"/>
        <v>252</v>
      </c>
      <c r="E26" s="1471">
        <v>409</v>
      </c>
      <c r="F26" s="1472">
        <v>227</v>
      </c>
      <c r="G26" s="3438">
        <v>2013</v>
      </c>
      <c r="H26" s="1508">
        <v>4</v>
      </c>
      <c r="I26" s="1508">
        <v>1.83</v>
      </c>
      <c r="J26" s="1508">
        <v>1.68</v>
      </c>
      <c r="K26" s="1508">
        <v>1.97</v>
      </c>
      <c r="L26" s="1509">
        <v>0.87</v>
      </c>
      <c r="N26" s="1486">
        <f t="shared" si="76"/>
        <v>1.83E-2</v>
      </c>
      <c r="O26" s="1487">
        <f t="shared" si="71"/>
        <v>1.6799999999999999E-2</v>
      </c>
      <c r="P26" s="1487">
        <f t="shared" si="71"/>
        <v>1.9699999999999999E-2</v>
      </c>
      <c r="Q26" s="1487">
        <f t="shared" si="71"/>
        <v>8.6999999999999994E-3</v>
      </c>
      <c r="R26" s="1476"/>
      <c r="S26" s="1477"/>
      <c r="T26" s="1478"/>
      <c r="U26" s="1478"/>
      <c r="V26" s="1478"/>
      <c r="X26" s="1478"/>
      <c r="Y26" s="1478"/>
      <c r="Z26" s="1478"/>
    </row>
    <row r="27" spans="1:34">
      <c r="A27" s="1463" t="s">
        <v>1160</v>
      </c>
      <c r="B27" s="1479">
        <f t="shared" ref="B27:C29" si="83">B26/(1+N26)</f>
        <v>293.62663262299913</v>
      </c>
      <c r="C27" s="1479">
        <f t="shared" si="83"/>
        <v>247.83634933123525</v>
      </c>
      <c r="D27" s="1479">
        <f t="shared" si="74"/>
        <v>247.83634933123525</v>
      </c>
      <c r="E27" s="1479">
        <f t="shared" ref="E27:F29" si="84">E26/(1+P26)</f>
        <v>401.09836226341076</v>
      </c>
      <c r="F27" s="1479">
        <f t="shared" si="84"/>
        <v>225.04213343908003</v>
      </c>
      <c r="G27" s="3439"/>
      <c r="H27" s="1489">
        <v>3</v>
      </c>
      <c r="I27" s="1489">
        <v>1.86</v>
      </c>
      <c r="J27" s="1489">
        <v>1.72</v>
      </c>
      <c r="K27" s="1489">
        <v>1.98</v>
      </c>
      <c r="L27" s="1490">
        <v>0.88</v>
      </c>
      <c r="N27" s="1474">
        <f t="shared" si="76"/>
        <v>1.8600000000000002E-2</v>
      </c>
      <c r="O27" s="1491">
        <f t="shared" si="71"/>
        <v>1.72E-2</v>
      </c>
      <c r="P27" s="1491">
        <f t="shared" si="71"/>
        <v>1.9799999999999998E-2</v>
      </c>
      <c r="Q27" s="1491">
        <f t="shared" si="71"/>
        <v>8.8000000000000005E-3</v>
      </c>
      <c r="R27" s="1476"/>
      <c r="S27" s="1474"/>
      <c r="T27" s="1475"/>
      <c r="U27" s="1475"/>
      <c r="V27" s="1475"/>
    </row>
    <row r="28" spans="1:34">
      <c r="A28" s="1463" t="s">
        <v>1161</v>
      </c>
      <c r="B28" s="1479">
        <f t="shared" si="83"/>
        <v>288.2649053828776</v>
      </c>
      <c r="C28" s="1479">
        <f t="shared" si="83"/>
        <v>243.64564425013293</v>
      </c>
      <c r="D28" s="1479">
        <f t="shared" si="74"/>
        <v>243.64564425013293</v>
      </c>
      <c r="E28" s="1479">
        <f t="shared" si="84"/>
        <v>393.31080825986544</v>
      </c>
      <c r="F28" s="1479">
        <f t="shared" si="84"/>
        <v>223.07903790551154</v>
      </c>
      <c r="G28" s="3439"/>
      <c r="H28" s="1467">
        <v>2</v>
      </c>
      <c r="I28" s="1467">
        <v>2.04</v>
      </c>
      <c r="J28" s="1467">
        <v>2.33</v>
      </c>
      <c r="K28" s="1467">
        <v>2.0699999999999998</v>
      </c>
      <c r="L28" s="1481">
        <v>0.69</v>
      </c>
      <c r="N28" s="1474">
        <f t="shared" si="76"/>
        <v>2.0400000000000001E-2</v>
      </c>
      <c r="O28" s="1491">
        <f t="shared" si="71"/>
        <v>2.3300000000000001E-2</v>
      </c>
      <c r="P28" s="1491">
        <f t="shared" si="71"/>
        <v>2.07E-2</v>
      </c>
      <c r="Q28" s="1491">
        <f t="shared" si="71"/>
        <v>6.8999999999999999E-3</v>
      </c>
      <c r="R28" s="1476"/>
      <c r="S28" s="1474"/>
      <c r="T28" s="1475"/>
      <c r="U28" s="1475"/>
      <c r="V28" s="1475"/>
      <c r="X28" s="1510"/>
      <c r="Y28" s="1511"/>
    </row>
    <row r="29" spans="1:34">
      <c r="A29" s="1463" t="s">
        <v>1162</v>
      </c>
      <c r="B29" s="1479">
        <f t="shared" si="83"/>
        <v>282.50186729015837</v>
      </c>
      <c r="C29" s="1479">
        <f t="shared" si="83"/>
        <v>238.09796174155468</v>
      </c>
      <c r="D29" s="1479">
        <f t="shared" si="74"/>
        <v>238.09796174155468</v>
      </c>
      <c r="E29" s="1479">
        <f t="shared" si="84"/>
        <v>385.33438646014054</v>
      </c>
      <c r="F29" s="1479">
        <f t="shared" si="84"/>
        <v>221.55034055567739</v>
      </c>
      <c r="G29" s="3440"/>
      <c r="H29" s="1466">
        <v>1</v>
      </c>
      <c r="I29" s="1466">
        <v>1.67</v>
      </c>
      <c r="J29" s="1466">
        <v>1.31</v>
      </c>
      <c r="K29" s="1466">
        <v>1.85</v>
      </c>
      <c r="L29" s="1480">
        <v>0.96</v>
      </c>
      <c r="N29" s="1482">
        <f t="shared" si="76"/>
        <v>1.67E-2</v>
      </c>
      <c r="O29" s="1483">
        <f t="shared" si="76"/>
        <v>1.3100000000000001E-2</v>
      </c>
      <c r="P29" s="1483">
        <f t="shared" si="76"/>
        <v>1.8500000000000003E-2</v>
      </c>
      <c r="Q29" s="1483">
        <f t="shared" si="76"/>
        <v>9.5999999999999992E-3</v>
      </c>
      <c r="R29" s="1476"/>
      <c r="S29" s="1482">
        <f>B29/B30-1</f>
        <v>1.6193767230785472E-2</v>
      </c>
      <c r="T29" s="1483">
        <f>C29/C30-1</f>
        <v>1.7512657015190891E-2</v>
      </c>
      <c r="U29" s="1483">
        <f>E29/E30-1</f>
        <v>1.6713420739157048E-2</v>
      </c>
      <c r="V29" s="1483">
        <f>F29/F30-1</f>
        <v>7.0470025258062563E-3</v>
      </c>
      <c r="X29" s="1512"/>
      <c r="Y29" s="1462"/>
      <c r="Z29" s="1462"/>
    </row>
    <row r="30" spans="1:34" ht="13.5" thickBot="1">
      <c r="A30" s="1463" t="s">
        <v>1163</v>
      </c>
      <c r="B30" s="1513">
        <v>278</v>
      </c>
      <c r="C30" s="1513">
        <v>234</v>
      </c>
      <c r="D30" s="1513">
        <f t="shared" si="74"/>
        <v>234</v>
      </c>
      <c r="E30" s="1513">
        <v>379</v>
      </c>
      <c r="F30" s="1514">
        <v>220</v>
      </c>
      <c r="G30" s="3433">
        <v>2012</v>
      </c>
      <c r="H30" s="1484">
        <v>4</v>
      </c>
      <c r="I30" s="1484">
        <v>0.91</v>
      </c>
      <c r="J30" s="1484">
        <v>0.68</v>
      </c>
      <c r="K30" s="1484">
        <v>0.98</v>
      </c>
      <c r="L30" s="1485">
        <v>0.9</v>
      </c>
      <c r="N30" s="1474">
        <f t="shared" si="76"/>
        <v>9.1000000000000004E-3</v>
      </c>
      <c r="O30" s="1475">
        <f t="shared" si="76"/>
        <v>6.8000000000000005E-3</v>
      </c>
      <c r="P30" s="1475">
        <f t="shared" si="76"/>
        <v>9.7999999999999997E-3</v>
      </c>
      <c r="Q30" s="1475">
        <f t="shared" si="76"/>
        <v>9.0000000000000011E-3</v>
      </c>
      <c r="R30" s="1476"/>
      <c r="S30" s="1477"/>
      <c r="T30" s="1478"/>
      <c r="U30" s="1478"/>
      <c r="V30" s="1478"/>
      <c r="X30" s="1478"/>
      <c r="Y30" s="1478"/>
      <c r="Z30" s="1478"/>
    </row>
    <row r="31" spans="1:34">
      <c r="A31" s="1463" t="s">
        <v>1164</v>
      </c>
      <c r="B31" s="1479">
        <f>B30/(1+N30)</f>
        <v>275.49301357645425</v>
      </c>
      <c r="C31" s="1479">
        <f>C30/(1+O30)</f>
        <v>232.41954707985698</v>
      </c>
      <c r="D31" s="1479">
        <f t="shared" si="74"/>
        <v>232.41954707985698</v>
      </c>
      <c r="E31" s="1479">
        <f t="shared" ref="E31:F33" si="85">E30/(1+P30)</f>
        <v>375.32184591008121</v>
      </c>
      <c r="F31" s="1479">
        <f t="shared" si="85"/>
        <v>218.03766105054513</v>
      </c>
      <c r="G31" s="3434"/>
      <c r="H31" s="1489">
        <v>3</v>
      </c>
      <c r="I31" s="1489">
        <v>0.09</v>
      </c>
      <c r="J31" s="1489">
        <v>0.28999999999999998</v>
      </c>
      <c r="K31" s="1489">
        <v>-0.01</v>
      </c>
      <c r="L31" s="1490">
        <v>0.57999999999999996</v>
      </c>
      <c r="N31" s="1474">
        <f t="shared" si="76"/>
        <v>8.9999999999999998E-4</v>
      </c>
      <c r="O31" s="1475">
        <f t="shared" si="76"/>
        <v>2.8999999999999998E-3</v>
      </c>
      <c r="P31" s="1475">
        <f t="shared" si="76"/>
        <v>-1E-4</v>
      </c>
      <c r="Q31" s="1475">
        <f t="shared" si="76"/>
        <v>5.7999999999999996E-3</v>
      </c>
      <c r="R31" s="1476"/>
      <c r="S31" s="1474"/>
      <c r="T31" s="1475"/>
      <c r="U31" s="1475"/>
      <c r="V31" s="1475"/>
    </row>
    <row r="32" spans="1:34">
      <c r="A32" s="1463" t="s">
        <v>1165</v>
      </c>
      <c r="B32" s="1479">
        <f>B31/(1+N31)</f>
        <v>275.24529281292263</v>
      </c>
      <c r="C32" s="1479">
        <f>C31/(1+O31)</f>
        <v>231.74747938962707</v>
      </c>
      <c r="D32" s="1479">
        <f t="shared" si="74"/>
        <v>231.74747938962707</v>
      </c>
      <c r="E32" s="1479">
        <f t="shared" si="85"/>
        <v>375.35938184826603</v>
      </c>
      <c r="F32" s="1479">
        <f t="shared" si="85"/>
        <v>216.78033510692495</v>
      </c>
      <c r="G32" s="3434"/>
      <c r="H32" s="1467">
        <v>2</v>
      </c>
      <c r="I32" s="1467">
        <v>0.02</v>
      </c>
      <c r="J32" s="1467">
        <v>0.12</v>
      </c>
      <c r="K32" s="1467">
        <v>-0.08</v>
      </c>
      <c r="L32" s="1481">
        <v>1.24</v>
      </c>
      <c r="N32" s="1474">
        <f t="shared" si="76"/>
        <v>2.0000000000000001E-4</v>
      </c>
      <c r="O32" s="1475">
        <f t="shared" si="76"/>
        <v>1.1999999999999999E-3</v>
      </c>
      <c r="P32" s="1475">
        <f t="shared" si="76"/>
        <v>-8.0000000000000004E-4</v>
      </c>
      <c r="Q32" s="1475">
        <f t="shared" si="76"/>
        <v>1.24E-2</v>
      </c>
      <c r="R32" s="1476"/>
      <c r="S32" s="1474"/>
      <c r="T32" s="1475"/>
      <c r="U32" s="1475"/>
      <c r="V32" s="1475"/>
    </row>
    <row r="33" spans="1:26" ht="13.5" thickBot="1">
      <c r="A33" s="1463" t="s">
        <v>1166</v>
      </c>
      <c r="B33" s="1479">
        <f>B32/(1+N32)</f>
        <v>275.19025476197027</v>
      </c>
      <c r="C33" s="1515">
        <v>232</v>
      </c>
      <c r="D33" s="1515">
        <f t="shared" si="74"/>
        <v>232</v>
      </c>
      <c r="E33" s="1479">
        <f t="shared" si="85"/>
        <v>375.65990977608692</v>
      </c>
      <c r="F33" s="1479">
        <f t="shared" si="85"/>
        <v>214.12518283971252</v>
      </c>
      <c r="G33" s="3435"/>
      <c r="H33" s="1466">
        <v>1</v>
      </c>
      <c r="I33" s="1466">
        <v>0.02</v>
      </c>
      <c r="J33" s="1466">
        <v>0.13</v>
      </c>
      <c r="K33" s="1466">
        <v>-0.04</v>
      </c>
      <c r="L33" s="1480">
        <v>0.46</v>
      </c>
      <c r="N33" s="1474">
        <f t="shared" si="76"/>
        <v>2.0000000000000001E-4</v>
      </c>
      <c r="O33" s="1475">
        <f t="shared" si="76"/>
        <v>1.2999999999999999E-3</v>
      </c>
      <c r="P33" s="1475">
        <f t="shared" si="76"/>
        <v>-4.0000000000000002E-4</v>
      </c>
      <c r="Q33" s="1475">
        <f t="shared" si="76"/>
        <v>4.5999999999999999E-3</v>
      </c>
      <c r="R33" s="1476"/>
      <c r="S33" s="1482">
        <f>B33/B34-1</f>
        <v>6.9183549807361189E-4</v>
      </c>
      <c r="T33" s="1483">
        <f>C33/C34-1</f>
        <v>0</v>
      </c>
      <c r="U33" s="1483">
        <f>E33/E34-1</f>
        <v>-9.0449527636460303E-4</v>
      </c>
      <c r="V33" s="1483">
        <f>F33/F34-1</f>
        <v>5.2825485432512753E-3</v>
      </c>
      <c r="X33" s="1462"/>
      <c r="Y33" s="1462"/>
      <c r="Z33" s="1462"/>
    </row>
    <row r="34" spans="1:26" ht="13.5" thickBot="1">
      <c r="A34" s="1463" t="s">
        <v>1167</v>
      </c>
      <c r="B34" s="1471">
        <v>275</v>
      </c>
      <c r="C34" s="1471">
        <v>232</v>
      </c>
      <c r="D34" s="1471">
        <f t="shared" si="74"/>
        <v>232</v>
      </c>
      <c r="E34" s="1471">
        <v>376</v>
      </c>
      <c r="F34" s="1472">
        <v>213</v>
      </c>
      <c r="G34" s="3433">
        <v>2011</v>
      </c>
      <c r="H34" s="1484">
        <v>4</v>
      </c>
      <c r="I34" s="1484">
        <v>-0.2</v>
      </c>
      <c r="J34" s="1484">
        <v>0.04</v>
      </c>
      <c r="K34" s="1484">
        <v>-0.34</v>
      </c>
      <c r="L34" s="1485">
        <v>0.46</v>
      </c>
      <c r="N34" s="1486">
        <f t="shared" si="76"/>
        <v>-2E-3</v>
      </c>
      <c r="O34" s="1487">
        <f t="shared" si="76"/>
        <v>4.0000000000000002E-4</v>
      </c>
      <c r="P34" s="1487">
        <f t="shared" si="76"/>
        <v>-3.4000000000000002E-3</v>
      </c>
      <c r="Q34" s="1487">
        <f t="shared" si="76"/>
        <v>4.5999999999999999E-3</v>
      </c>
      <c r="R34" s="1476"/>
      <c r="S34" s="1477"/>
      <c r="T34" s="1478"/>
      <c r="U34" s="1478"/>
      <c r="V34" s="1478"/>
      <c r="X34" s="1478"/>
      <c r="Y34" s="1478"/>
      <c r="Z34" s="1478"/>
    </row>
    <row r="35" spans="1:26">
      <c r="A35" s="1463" t="s">
        <v>1168</v>
      </c>
      <c r="B35" s="1479">
        <f t="shared" ref="B35:C37" si="86">B34/(1+N34)</f>
        <v>275.55110220440883</v>
      </c>
      <c r="C35" s="1479">
        <f t="shared" si="86"/>
        <v>231.90723710515795</v>
      </c>
      <c r="D35" s="1479">
        <f t="shared" si="74"/>
        <v>231.90723710515795</v>
      </c>
      <c r="E35" s="1479">
        <f t="shared" ref="E35:F37" si="87">E34/(1+P34)</f>
        <v>377.28276138872161</v>
      </c>
      <c r="F35" s="1479">
        <f t="shared" si="87"/>
        <v>212.02468644236512</v>
      </c>
      <c r="G35" s="3434">
        <v>2011</v>
      </c>
      <c r="H35" s="1489">
        <v>3</v>
      </c>
      <c r="I35" s="1489">
        <v>0.13</v>
      </c>
      <c r="J35" s="1489">
        <v>0.75</v>
      </c>
      <c r="K35" s="1489">
        <v>-0.08</v>
      </c>
      <c r="L35" s="1490">
        <v>0.53</v>
      </c>
      <c r="N35" s="1474">
        <f t="shared" si="76"/>
        <v>1.2999999999999999E-3</v>
      </c>
      <c r="O35" s="1491">
        <f t="shared" si="76"/>
        <v>7.4999999999999997E-3</v>
      </c>
      <c r="P35" s="1491">
        <f t="shared" si="76"/>
        <v>-8.0000000000000004E-4</v>
      </c>
      <c r="Q35" s="1491">
        <f t="shared" si="76"/>
        <v>5.3E-3</v>
      </c>
      <c r="R35" s="1476"/>
      <c r="S35" s="1474"/>
      <c r="T35" s="1475"/>
      <c r="U35" s="1475"/>
      <c r="V35" s="1475"/>
    </row>
    <row r="36" spans="1:26">
      <c r="A36" s="1463" t="s">
        <v>1169</v>
      </c>
      <c r="B36" s="1479">
        <f t="shared" si="86"/>
        <v>275.19335084830601</v>
      </c>
      <c r="C36" s="1479">
        <f t="shared" si="86"/>
        <v>230.18088050139744</v>
      </c>
      <c r="D36" s="1479">
        <f t="shared" si="74"/>
        <v>230.18088050139744</v>
      </c>
      <c r="E36" s="1479">
        <f t="shared" si="87"/>
        <v>377.58482925212331</v>
      </c>
      <c r="F36" s="1479">
        <f t="shared" si="87"/>
        <v>210.90687997847917</v>
      </c>
      <c r="G36" s="3434">
        <v>2011</v>
      </c>
      <c r="H36" s="1467">
        <v>2</v>
      </c>
      <c r="I36" s="1467">
        <v>-0.4</v>
      </c>
      <c r="J36" s="1467">
        <v>0.17</v>
      </c>
      <c r="K36" s="1467">
        <v>-0.57999999999999996</v>
      </c>
      <c r="L36" s="1481">
        <v>-0.2</v>
      </c>
      <c r="N36" s="1474">
        <f t="shared" si="76"/>
        <v>-4.0000000000000001E-3</v>
      </c>
      <c r="O36" s="1491">
        <f t="shared" si="76"/>
        <v>1.7000000000000001E-3</v>
      </c>
      <c r="P36" s="1491">
        <f t="shared" si="76"/>
        <v>-5.7999999999999996E-3</v>
      </c>
      <c r="Q36" s="1491">
        <f t="shared" si="76"/>
        <v>-2E-3</v>
      </c>
      <c r="R36" s="1476"/>
      <c r="S36" s="1474"/>
      <c r="T36" s="1475"/>
      <c r="U36" s="1475"/>
      <c r="V36" s="1475"/>
    </row>
    <row r="37" spans="1:26" ht="13.5" thickBot="1">
      <c r="A37" s="1463" t="s">
        <v>1170</v>
      </c>
      <c r="B37" s="1479">
        <f t="shared" si="86"/>
        <v>276.29854502841971</v>
      </c>
      <c r="C37" s="1479">
        <f t="shared" si="86"/>
        <v>229.79023709833027</v>
      </c>
      <c r="D37" s="1479">
        <f t="shared" si="74"/>
        <v>229.79023709833027</v>
      </c>
      <c r="E37" s="1479">
        <f t="shared" si="87"/>
        <v>379.78759731655936</v>
      </c>
      <c r="F37" s="1479">
        <f t="shared" si="87"/>
        <v>211.32953905659235</v>
      </c>
      <c r="G37" s="3435">
        <v>2011</v>
      </c>
      <c r="H37" s="1466">
        <v>1</v>
      </c>
      <c r="I37" s="1466">
        <v>2.65</v>
      </c>
      <c r="J37" s="1466">
        <v>3.76</v>
      </c>
      <c r="K37" s="1466">
        <v>1.89</v>
      </c>
      <c r="L37" s="1480">
        <v>7.95</v>
      </c>
      <c r="N37" s="1482">
        <f t="shared" si="76"/>
        <v>2.6499999999999999E-2</v>
      </c>
      <c r="O37" s="1483">
        <f t="shared" si="76"/>
        <v>3.7599999999999995E-2</v>
      </c>
      <c r="P37" s="1483">
        <f t="shared" si="76"/>
        <v>1.89E-2</v>
      </c>
      <c r="Q37" s="1483">
        <f t="shared" si="76"/>
        <v>7.9500000000000001E-2</v>
      </c>
      <c r="R37" s="1476"/>
      <c r="S37" s="1482">
        <f>B37/B38-1</f>
        <v>2.713213765211786E-2</v>
      </c>
      <c r="T37" s="1483">
        <f>C37/C38-1</f>
        <v>3.9774828499231862E-2</v>
      </c>
      <c r="U37" s="1483">
        <f>E37/E38-1</f>
        <v>1.8197311840641772E-2</v>
      </c>
      <c r="V37" s="1483">
        <f>F37/F38-1</f>
        <v>7.8211933962205826E-2</v>
      </c>
      <c r="X37" s="1462"/>
      <c r="Y37" s="1462"/>
      <c r="Z37" s="1462"/>
    </row>
    <row r="38" spans="1:26" ht="13.5" thickBot="1">
      <c r="A38" s="1463" t="s">
        <v>1171</v>
      </c>
      <c r="B38" s="1471">
        <v>269</v>
      </c>
      <c r="C38" s="1471">
        <v>221</v>
      </c>
      <c r="D38" s="1471">
        <f t="shared" si="74"/>
        <v>221</v>
      </c>
      <c r="E38" s="1471">
        <v>373</v>
      </c>
      <c r="F38" s="1472">
        <v>196</v>
      </c>
      <c r="G38" s="3433">
        <v>2010</v>
      </c>
      <c r="H38" s="1484">
        <v>4</v>
      </c>
      <c r="I38" s="1484">
        <v>5.72</v>
      </c>
      <c r="J38" s="1484">
        <v>6.57</v>
      </c>
      <c r="K38" s="1484">
        <v>5.72</v>
      </c>
      <c r="L38" s="1485">
        <v>2.72</v>
      </c>
      <c r="N38" s="1474">
        <f t="shared" si="76"/>
        <v>5.7200000000000001E-2</v>
      </c>
      <c r="O38" s="1475">
        <f t="shared" si="76"/>
        <v>6.5700000000000008E-2</v>
      </c>
      <c r="P38" s="1475">
        <f t="shared" si="76"/>
        <v>5.7200000000000001E-2</v>
      </c>
      <c r="Q38" s="1475">
        <f t="shared" si="76"/>
        <v>2.7200000000000002E-2</v>
      </c>
      <c r="R38" s="1476"/>
      <c r="S38" s="1477"/>
      <c r="T38" s="1478"/>
      <c r="U38" s="1478"/>
      <c r="V38" s="1478"/>
      <c r="X38" s="1478"/>
      <c r="Y38" s="1478"/>
      <c r="Z38" s="1478"/>
    </row>
    <row r="39" spans="1:26">
      <c r="A39" s="1463" t="s">
        <v>1172</v>
      </c>
      <c r="B39" s="1479">
        <f t="shared" ref="B39:C41" si="88">B38/(1+N38)</f>
        <v>254.44570563753314</v>
      </c>
      <c r="C39" s="1479">
        <f t="shared" si="88"/>
        <v>207.37543398705074</v>
      </c>
      <c r="D39" s="1479">
        <f t="shared" si="74"/>
        <v>207.37543398705074</v>
      </c>
      <c r="E39" s="1479">
        <f t="shared" ref="E39:F41" si="89">E38/(1+P38)</f>
        <v>352.81876655315932</v>
      </c>
      <c r="F39" s="1479">
        <f t="shared" si="89"/>
        <v>190.809968847352</v>
      </c>
      <c r="G39" s="3434">
        <v>2010</v>
      </c>
      <c r="H39" s="1489">
        <v>3</v>
      </c>
      <c r="I39" s="1489">
        <v>4.7300000000000004</v>
      </c>
      <c r="J39" s="1489">
        <v>3.9</v>
      </c>
      <c r="K39" s="1489">
        <v>5.03</v>
      </c>
      <c r="L39" s="1490">
        <v>4.21</v>
      </c>
      <c r="N39" s="1474">
        <f t="shared" si="76"/>
        <v>4.7300000000000002E-2</v>
      </c>
      <c r="O39" s="1475">
        <f t="shared" si="76"/>
        <v>3.9E-2</v>
      </c>
      <c r="P39" s="1475">
        <f t="shared" si="76"/>
        <v>5.0300000000000004E-2</v>
      </c>
      <c r="Q39" s="1475">
        <f t="shared" si="76"/>
        <v>4.2099999999999999E-2</v>
      </c>
      <c r="R39" s="1476"/>
      <c r="S39" s="1474"/>
      <c r="T39" s="1475"/>
      <c r="U39" s="1475"/>
      <c r="V39" s="1475"/>
    </row>
    <row r="40" spans="1:26">
      <c r="A40" s="1463" t="s">
        <v>1173</v>
      </c>
      <c r="B40" s="1479">
        <f t="shared" si="88"/>
        <v>242.95398227588385</v>
      </c>
      <c r="C40" s="1479">
        <f t="shared" si="88"/>
        <v>199.59137053614126</v>
      </c>
      <c r="D40" s="1479">
        <f t="shared" si="74"/>
        <v>199.59137053614126</v>
      </c>
      <c r="E40" s="1479">
        <f t="shared" si="89"/>
        <v>335.92189522342125</v>
      </c>
      <c r="F40" s="1479">
        <f t="shared" si="89"/>
        <v>183.10139991109489</v>
      </c>
      <c r="G40" s="3434">
        <v>2010</v>
      </c>
      <c r="H40" s="1467">
        <v>2</v>
      </c>
      <c r="I40" s="1467">
        <v>4.6900000000000004</v>
      </c>
      <c r="J40" s="1467">
        <v>3.55</v>
      </c>
      <c r="K40" s="1467">
        <v>5.07</v>
      </c>
      <c r="L40" s="1481">
        <v>4.2300000000000004</v>
      </c>
      <c r="N40" s="1474">
        <f t="shared" si="76"/>
        <v>4.6900000000000004E-2</v>
      </c>
      <c r="O40" s="1475">
        <f t="shared" si="76"/>
        <v>3.5499999999999997E-2</v>
      </c>
      <c r="P40" s="1475">
        <f t="shared" si="76"/>
        <v>5.0700000000000002E-2</v>
      </c>
      <c r="Q40" s="1475">
        <f t="shared" si="76"/>
        <v>4.2300000000000004E-2</v>
      </c>
      <c r="R40" s="1476"/>
      <c r="S40" s="1474"/>
      <c r="T40" s="1475"/>
      <c r="U40" s="1475"/>
      <c r="V40" s="1475"/>
    </row>
    <row r="41" spans="1:26" ht="13.5" thickBot="1">
      <c r="A41" s="1463" t="s">
        <v>1174</v>
      </c>
      <c r="B41" s="1479">
        <f t="shared" si="88"/>
        <v>232.06990378821649</v>
      </c>
      <c r="C41" s="1479">
        <f t="shared" si="88"/>
        <v>192.74878854286936</v>
      </c>
      <c r="D41" s="1479">
        <f t="shared" si="74"/>
        <v>192.74878854286936</v>
      </c>
      <c r="E41" s="1479">
        <f t="shared" si="89"/>
        <v>319.71247284992984</v>
      </c>
      <c r="F41" s="1479">
        <f t="shared" si="89"/>
        <v>175.67053622862409</v>
      </c>
      <c r="G41" s="3435">
        <v>2010</v>
      </c>
      <c r="H41" s="1466">
        <v>1</v>
      </c>
      <c r="I41" s="1466">
        <v>5.4</v>
      </c>
      <c r="J41" s="1466">
        <v>3.2</v>
      </c>
      <c r="K41" s="1466">
        <v>6.16</v>
      </c>
      <c r="L41" s="1480">
        <v>4.51</v>
      </c>
      <c r="N41" s="1474">
        <f t="shared" si="76"/>
        <v>5.4000000000000006E-2</v>
      </c>
      <c r="O41" s="1475">
        <f t="shared" si="76"/>
        <v>3.2000000000000001E-2</v>
      </c>
      <c r="P41" s="1475">
        <f t="shared" si="76"/>
        <v>6.1600000000000002E-2</v>
      </c>
      <c r="Q41" s="1475">
        <f t="shared" si="76"/>
        <v>4.5100000000000001E-2</v>
      </c>
      <c r="R41" s="1476"/>
      <c r="S41" s="1482">
        <f>B41/B42-1</f>
        <v>5.4863199037347599E-2</v>
      </c>
      <c r="T41" s="1483">
        <f>C41/C42-1</f>
        <v>3.0742184721226584E-2</v>
      </c>
      <c r="U41" s="1483">
        <f>E41/E42-1</f>
        <v>6.2167683886810154E-2</v>
      </c>
      <c r="V41" s="1483">
        <f>F41/F42-1</f>
        <v>4.5657953741810031E-2</v>
      </c>
      <c r="X41" s="1462"/>
      <c r="Y41" s="1462"/>
      <c r="Z41" s="1462"/>
    </row>
    <row r="42" spans="1:26" ht="13.5" thickBot="1">
      <c r="A42" s="1463" t="s">
        <v>1175</v>
      </c>
      <c r="B42" s="1471">
        <v>220</v>
      </c>
      <c r="C42" s="1471">
        <v>187</v>
      </c>
      <c r="D42" s="1471">
        <f t="shared" si="74"/>
        <v>187</v>
      </c>
      <c r="E42" s="1471">
        <v>301</v>
      </c>
      <c r="F42" s="1472">
        <v>168</v>
      </c>
      <c r="G42" s="3433">
        <v>2009</v>
      </c>
      <c r="H42" s="1484">
        <v>4</v>
      </c>
      <c r="I42" s="1484">
        <v>2.2999999999999998</v>
      </c>
      <c r="J42" s="1484">
        <v>1.04</v>
      </c>
      <c r="K42" s="1484">
        <v>2.84</v>
      </c>
      <c r="L42" s="1485">
        <v>0.67</v>
      </c>
      <c r="N42" s="1486">
        <f t="shared" si="76"/>
        <v>2.3E-2</v>
      </c>
      <c r="O42" s="1487">
        <f t="shared" si="76"/>
        <v>1.04E-2</v>
      </c>
      <c r="P42" s="1487">
        <f t="shared" si="76"/>
        <v>2.8399999999999998E-2</v>
      </c>
      <c r="Q42" s="1487">
        <f t="shared" si="76"/>
        <v>6.7000000000000002E-3</v>
      </c>
      <c r="R42" s="1476"/>
      <c r="S42" s="1477"/>
      <c r="T42" s="1478"/>
      <c r="U42" s="1478"/>
      <c r="V42" s="1478"/>
      <c r="X42" s="1478"/>
      <c r="Y42" s="1478"/>
      <c r="Z42" s="1478"/>
    </row>
    <row r="43" spans="1:26">
      <c r="A43" s="1463" t="s">
        <v>1176</v>
      </c>
      <c r="B43" s="1479">
        <f t="shared" ref="B43:C45" si="90">B42/(1+N42)</f>
        <v>215.05376344086022</v>
      </c>
      <c r="C43" s="1479">
        <f t="shared" si="90"/>
        <v>185.0752177355503</v>
      </c>
      <c r="D43" s="1479">
        <f t="shared" si="74"/>
        <v>185.0752177355503</v>
      </c>
      <c r="E43" s="1479">
        <f t="shared" ref="E43:F45" si="91">E42/(1+P42)</f>
        <v>292.68767016725008</v>
      </c>
      <c r="F43" s="1479">
        <f t="shared" si="91"/>
        <v>166.88189132810174</v>
      </c>
      <c r="G43" s="3434">
        <v>2009</v>
      </c>
      <c r="H43" s="1489">
        <v>3</v>
      </c>
      <c r="I43" s="1489">
        <v>2.1</v>
      </c>
      <c r="J43" s="1489">
        <v>1.86</v>
      </c>
      <c r="K43" s="1489">
        <v>2.29</v>
      </c>
      <c r="L43" s="1490">
        <v>0.85</v>
      </c>
      <c r="N43" s="1474">
        <f t="shared" si="76"/>
        <v>2.1000000000000001E-2</v>
      </c>
      <c r="O43" s="1491">
        <f t="shared" si="76"/>
        <v>1.8600000000000002E-2</v>
      </c>
      <c r="P43" s="1491">
        <f t="shared" si="76"/>
        <v>2.29E-2</v>
      </c>
      <c r="Q43" s="1491">
        <f t="shared" si="76"/>
        <v>8.5000000000000006E-3</v>
      </c>
      <c r="R43" s="1476"/>
      <c r="S43" s="1474"/>
      <c r="T43" s="1475"/>
      <c r="U43" s="1475"/>
      <c r="V43" s="1475"/>
    </row>
    <row r="44" spans="1:26">
      <c r="A44" s="1463" t="s">
        <v>1177</v>
      </c>
      <c r="B44" s="1479">
        <f t="shared" si="90"/>
        <v>210.630522469011</v>
      </c>
      <c r="C44" s="1479">
        <f t="shared" si="90"/>
        <v>181.69567812247232</v>
      </c>
      <c r="D44" s="1479">
        <f t="shared" si="74"/>
        <v>181.69567812247232</v>
      </c>
      <c r="E44" s="1479">
        <f t="shared" si="91"/>
        <v>286.13517466736738</v>
      </c>
      <c r="F44" s="1479">
        <f t="shared" si="91"/>
        <v>165.47535084591149</v>
      </c>
      <c r="G44" s="3434">
        <v>2009</v>
      </c>
      <c r="H44" s="1467">
        <v>2</v>
      </c>
      <c r="I44" s="1467">
        <v>0.86</v>
      </c>
      <c r="J44" s="1467">
        <v>-1.1299999999999999</v>
      </c>
      <c r="K44" s="1467">
        <v>1.79</v>
      </c>
      <c r="L44" s="1481">
        <v>-2.0699999999999998</v>
      </c>
      <c r="N44" s="1474">
        <f t="shared" si="76"/>
        <v>8.6E-3</v>
      </c>
      <c r="O44" s="1491">
        <f t="shared" si="76"/>
        <v>-1.1299999999999999E-2</v>
      </c>
      <c r="P44" s="1491">
        <f t="shared" si="76"/>
        <v>1.7899999999999999E-2</v>
      </c>
      <c r="Q44" s="1491">
        <f t="shared" si="76"/>
        <v>-2.07E-2</v>
      </c>
      <c r="R44" s="1476"/>
      <c r="S44" s="1474"/>
      <c r="T44" s="1475"/>
      <c r="U44" s="1475"/>
      <c r="V44" s="1475"/>
    </row>
    <row r="45" spans="1:26">
      <c r="A45" s="1463" t="s">
        <v>1178</v>
      </c>
      <c r="B45" s="1479">
        <f t="shared" si="90"/>
        <v>208.83454537875372</v>
      </c>
      <c r="C45" s="1479">
        <f t="shared" si="90"/>
        <v>183.77230517090351</v>
      </c>
      <c r="D45" s="1479">
        <f t="shared" si="74"/>
        <v>183.77230517090351</v>
      </c>
      <c r="E45" s="1479">
        <f t="shared" si="91"/>
        <v>281.10342338870947</v>
      </c>
      <c r="F45" s="1479">
        <f t="shared" si="91"/>
        <v>168.97309388942256</v>
      </c>
      <c r="G45" s="3435">
        <v>2009</v>
      </c>
      <c r="H45" s="1466">
        <v>1</v>
      </c>
      <c r="I45" s="1466">
        <v>-2.64</v>
      </c>
      <c r="J45" s="1466">
        <v>-2.5299999999999998</v>
      </c>
      <c r="K45" s="1466">
        <v>-3.02</v>
      </c>
      <c r="L45" s="1480">
        <v>1.52</v>
      </c>
      <c r="N45" s="1482">
        <f t="shared" si="76"/>
        <v>-2.64E-2</v>
      </c>
      <c r="O45" s="1483">
        <f t="shared" si="76"/>
        <v>-2.53E-2</v>
      </c>
      <c r="P45" s="1483">
        <f t="shared" si="76"/>
        <v>-3.0200000000000001E-2</v>
      </c>
      <c r="Q45" s="1483">
        <f t="shared" si="76"/>
        <v>1.52E-2</v>
      </c>
      <c r="R45" s="1476"/>
      <c r="S45" s="1482">
        <f>B45/B46-1</f>
        <v>-2.4137638417038754E-2</v>
      </c>
      <c r="T45" s="1483">
        <f>C45/C46-1</f>
        <v>-2.248773845264096E-2</v>
      </c>
      <c r="U45" s="1483">
        <f>E45/E46-1</f>
        <v>-2.7323794502735366E-2</v>
      </c>
      <c r="V45" s="1483">
        <f>F45/F46-1</f>
        <v>1.7910204153148035E-2</v>
      </c>
      <c r="X45" s="1462"/>
      <c r="Y45" s="1462"/>
      <c r="Z45" s="1462"/>
    </row>
    <row r="46" spans="1:26" ht="13.5" thickBot="1">
      <c r="A46" s="1463" t="s">
        <v>1179</v>
      </c>
      <c r="B46" s="1513">
        <v>214</v>
      </c>
      <c r="C46" s="1513">
        <v>188</v>
      </c>
      <c r="D46" s="1513">
        <f t="shared" si="74"/>
        <v>188</v>
      </c>
      <c r="E46" s="1513">
        <v>289</v>
      </c>
      <c r="F46" s="1514">
        <v>166</v>
      </c>
      <c r="G46" s="3433">
        <v>2008</v>
      </c>
      <c r="H46" s="1484">
        <v>4</v>
      </c>
      <c r="I46" s="1484">
        <v>1.73</v>
      </c>
      <c r="J46" s="1484">
        <v>0.03</v>
      </c>
      <c r="K46" s="1484">
        <v>2.59</v>
      </c>
      <c r="L46" s="1485">
        <v>-1.66</v>
      </c>
      <c r="N46" s="1474">
        <f t="shared" si="76"/>
        <v>1.7299999999999999E-2</v>
      </c>
      <c r="O46" s="1475">
        <f t="shared" si="76"/>
        <v>2.9999999999999997E-4</v>
      </c>
      <c r="P46" s="1475">
        <f t="shared" si="76"/>
        <v>2.5899999999999999E-2</v>
      </c>
      <c r="Q46" s="1475">
        <f t="shared" si="76"/>
        <v>-1.66E-2</v>
      </c>
      <c r="R46" s="1476"/>
      <c r="S46" s="1477"/>
      <c r="T46" s="1478"/>
      <c r="U46" s="1478"/>
      <c r="V46" s="1478"/>
      <c r="X46" s="1478"/>
      <c r="Y46" s="1478"/>
      <c r="Z46" s="1478"/>
    </row>
    <row r="47" spans="1:26">
      <c r="A47" s="1463" t="s">
        <v>1180</v>
      </c>
      <c r="B47" s="1479">
        <f t="shared" ref="B47:C49" si="92">B46/(1+N46)</f>
        <v>210.36075887152265</v>
      </c>
      <c r="C47" s="1479">
        <f t="shared" si="92"/>
        <v>187.94361691492554</v>
      </c>
      <c r="D47" s="1479">
        <f t="shared" si="74"/>
        <v>187.94361691492554</v>
      </c>
      <c r="E47" s="1479">
        <f t="shared" ref="E47:F49" si="93">E46/(1+P46)</f>
        <v>281.70386977288234</v>
      </c>
      <c r="F47" s="1479">
        <f t="shared" si="93"/>
        <v>168.80211511083994</v>
      </c>
      <c r="G47" s="3434">
        <v>2008</v>
      </c>
      <c r="H47" s="1489">
        <v>3</v>
      </c>
      <c r="I47" s="1489">
        <v>1.96</v>
      </c>
      <c r="J47" s="1489">
        <v>2.36</v>
      </c>
      <c r="K47" s="1489">
        <v>1.82</v>
      </c>
      <c r="L47" s="1490">
        <v>2.2200000000000002</v>
      </c>
      <c r="N47" s="1474">
        <f t="shared" si="76"/>
        <v>1.9599999999999999E-2</v>
      </c>
      <c r="O47" s="1475">
        <f t="shared" si="76"/>
        <v>2.3599999999999999E-2</v>
      </c>
      <c r="P47" s="1475">
        <f t="shared" si="76"/>
        <v>1.8200000000000001E-2</v>
      </c>
      <c r="Q47" s="1475">
        <f t="shared" si="76"/>
        <v>2.2200000000000001E-2</v>
      </c>
      <c r="R47" s="1476"/>
      <c r="S47" s="1474"/>
      <c r="T47" s="1475"/>
      <c r="U47" s="1475"/>
      <c r="V47" s="1475"/>
    </row>
    <row r="48" spans="1:26">
      <c r="A48" s="1463" t="s">
        <v>1181</v>
      </c>
      <c r="B48" s="1479">
        <f t="shared" si="92"/>
        <v>206.31694671589116</v>
      </c>
      <c r="C48" s="1479">
        <f t="shared" si="92"/>
        <v>183.61041121036101</v>
      </c>
      <c r="D48" s="1479">
        <f t="shared" si="74"/>
        <v>183.61041121036101</v>
      </c>
      <c r="E48" s="1479">
        <f t="shared" si="93"/>
        <v>276.66850301795557</v>
      </c>
      <c r="F48" s="1479">
        <f t="shared" si="93"/>
        <v>165.1360938278614</v>
      </c>
      <c r="G48" s="3434">
        <v>2008</v>
      </c>
      <c r="H48" s="1467">
        <v>2</v>
      </c>
      <c r="I48" s="1467">
        <v>4.93</v>
      </c>
      <c r="J48" s="1467">
        <v>7.38</v>
      </c>
      <c r="K48" s="1467">
        <v>3.98</v>
      </c>
      <c r="L48" s="1481">
        <v>6.86</v>
      </c>
      <c r="N48" s="1474">
        <f t="shared" si="76"/>
        <v>4.9299999999999997E-2</v>
      </c>
      <c r="O48" s="1475">
        <f t="shared" si="76"/>
        <v>7.3800000000000004E-2</v>
      </c>
      <c r="P48" s="1475">
        <f t="shared" si="76"/>
        <v>3.9800000000000002E-2</v>
      </c>
      <c r="Q48" s="1475">
        <f t="shared" si="76"/>
        <v>6.8600000000000008E-2</v>
      </c>
      <c r="R48" s="1476"/>
      <c r="S48" s="1474"/>
      <c r="T48" s="1475"/>
      <c r="U48" s="1475"/>
      <c r="V48" s="1475"/>
    </row>
    <row r="49" spans="1:26" s="1519" customFormat="1" ht="13.5" thickBot="1">
      <c r="A49" s="1463" t="s">
        <v>1182</v>
      </c>
      <c r="B49" s="1516">
        <f t="shared" si="92"/>
        <v>196.62341248059772</v>
      </c>
      <c r="C49" s="1516">
        <f t="shared" si="92"/>
        <v>170.99125648199012</v>
      </c>
      <c r="D49" s="1516">
        <f t="shared" si="74"/>
        <v>170.99125648199012</v>
      </c>
      <c r="E49" s="1516">
        <f t="shared" si="93"/>
        <v>266.07857570490052</v>
      </c>
      <c r="F49" s="1516">
        <f t="shared" si="93"/>
        <v>154.53499328828505</v>
      </c>
      <c r="G49" s="3435">
        <v>2008</v>
      </c>
      <c r="H49" s="1517">
        <v>1</v>
      </c>
      <c r="I49" s="1517">
        <v>4.1399999999999997</v>
      </c>
      <c r="J49" s="1517">
        <v>3.45</v>
      </c>
      <c r="K49" s="1517">
        <v>4.95</v>
      </c>
      <c r="L49" s="1518">
        <v>4.82</v>
      </c>
      <c r="N49" s="1520">
        <f t="shared" si="76"/>
        <v>4.1399999999999999E-2</v>
      </c>
      <c r="O49" s="1521">
        <f t="shared" si="76"/>
        <v>3.4500000000000003E-2</v>
      </c>
      <c r="P49" s="1521">
        <f t="shared" si="76"/>
        <v>4.9500000000000002E-2</v>
      </c>
      <c r="Q49" s="1521">
        <f t="shared" si="76"/>
        <v>4.82E-2</v>
      </c>
      <c r="R49" s="1522"/>
      <c r="S49" s="1520">
        <f>B49/B50-1</f>
        <v>4.5869215322328349E-2</v>
      </c>
      <c r="T49" s="1521">
        <f>C49/C50-1</f>
        <v>3.6310645345394743E-2</v>
      </c>
      <c r="U49" s="1521">
        <f>E49/E50-1</f>
        <v>4.7553447657088688E-2</v>
      </c>
      <c r="V49" s="1521">
        <f>F49/F50-1</f>
        <v>4.4155360055980086E-2</v>
      </c>
      <c r="X49" s="1523"/>
      <c r="Y49" s="1523"/>
      <c r="Z49" s="1523"/>
    </row>
    <row r="50" spans="1:26" ht="13.5" thickBot="1">
      <c r="A50" s="1463" t="s">
        <v>1183</v>
      </c>
      <c r="B50" s="1471">
        <v>188</v>
      </c>
      <c r="C50" s="1471">
        <v>165</v>
      </c>
      <c r="D50" s="1471">
        <f t="shared" si="74"/>
        <v>165</v>
      </c>
      <c r="E50" s="1471">
        <v>254</v>
      </c>
      <c r="F50" s="1472">
        <v>148</v>
      </c>
      <c r="G50" s="3433">
        <v>2007</v>
      </c>
      <c r="H50" s="1524">
        <v>4</v>
      </c>
      <c r="I50" s="1524">
        <v>5.51</v>
      </c>
      <c r="J50" s="1524">
        <v>4.8899999999999997</v>
      </c>
      <c r="K50" s="1524">
        <v>6.43</v>
      </c>
      <c r="L50" s="1525">
        <v>5.36</v>
      </c>
      <c r="N50" s="1526">
        <f t="shared" ref="N50:O53" si="94">B50/B51-1</f>
        <v>4.1339718365245526E-2</v>
      </c>
      <c r="O50" s="1527">
        <f t="shared" si="94"/>
        <v>4.0324492593776018E-2</v>
      </c>
      <c r="P50" s="1527">
        <f t="shared" ref="P50:Q53" si="95">E50/E51-1</f>
        <v>6.1625555347990968E-2</v>
      </c>
      <c r="Q50" s="1527">
        <f t="shared" si="95"/>
        <v>4.6757569250590603E-2</v>
      </c>
      <c r="R50" s="1476"/>
      <c r="S50" s="1477"/>
      <c r="T50" s="1478"/>
      <c r="U50" s="1478"/>
      <c r="V50" s="1478"/>
      <c r="X50" s="1478"/>
      <c r="Y50" s="1478"/>
      <c r="Z50" s="1478"/>
    </row>
    <row r="51" spans="1:26">
      <c r="A51" s="1463" t="s">
        <v>1184</v>
      </c>
      <c r="B51" s="1479">
        <f t="shared" ref="B51:C53" si="96">B52+(B$50-B$54)*I51/SUM(I$50:I$53)</f>
        <v>180.5366651097618</v>
      </c>
      <c r="C51" s="1479">
        <f t="shared" si="96"/>
        <v>158.60435967302453</v>
      </c>
      <c r="D51" s="1479">
        <f t="shared" si="74"/>
        <v>158.60435967302453</v>
      </c>
      <c r="E51" s="1479">
        <f t="shared" ref="E51:F53" si="97">E52+(E$50-E$54)*K51/SUM(K$50:K$53)</f>
        <v>239.25573260785075</v>
      </c>
      <c r="F51" s="1479">
        <f t="shared" si="97"/>
        <v>141.38899430740037</v>
      </c>
      <c r="G51" s="3434">
        <v>2007</v>
      </c>
      <c r="H51" s="1489">
        <v>3</v>
      </c>
      <c r="I51" s="1489">
        <v>8.65</v>
      </c>
      <c r="J51" s="1489">
        <v>8.06</v>
      </c>
      <c r="K51" s="1489">
        <v>9.94</v>
      </c>
      <c r="L51" s="1490">
        <v>5.8</v>
      </c>
      <c r="N51" s="1526">
        <f t="shared" si="94"/>
        <v>6.940217571740015E-2</v>
      </c>
      <c r="O51" s="1527">
        <f t="shared" si="94"/>
        <v>7.1197482471153428E-2</v>
      </c>
      <c r="P51" s="1527">
        <f t="shared" si="95"/>
        <v>0.10529679922579582</v>
      </c>
      <c r="Q51" s="1527">
        <f t="shared" si="95"/>
        <v>5.3292245059512133E-2</v>
      </c>
      <c r="R51" s="1476"/>
      <c r="S51" s="1474"/>
      <c r="T51" s="1475"/>
      <c r="U51" s="1475"/>
      <c r="V51" s="1475"/>
      <c r="X51" s="1528"/>
      <c r="Y51" s="1528"/>
      <c r="Z51" s="1528"/>
    </row>
    <row r="52" spans="1:26">
      <c r="A52" s="1463" t="s">
        <v>1185</v>
      </c>
      <c r="B52" s="1479">
        <f t="shared" si="96"/>
        <v>168.82017748715555</v>
      </c>
      <c r="C52" s="1479">
        <f t="shared" si="96"/>
        <v>148.06267029972753</v>
      </c>
      <c r="D52" s="1479">
        <f t="shared" si="74"/>
        <v>148.06267029972753</v>
      </c>
      <c r="E52" s="1479">
        <f t="shared" si="97"/>
        <v>216.46288379323747</v>
      </c>
      <c r="F52" s="1479">
        <f t="shared" si="97"/>
        <v>134.23529411764704</v>
      </c>
      <c r="G52" s="3434">
        <v>2007</v>
      </c>
      <c r="H52" s="1467">
        <v>2</v>
      </c>
      <c r="I52" s="1467">
        <v>3.67</v>
      </c>
      <c r="J52" s="1467">
        <v>2.3199999999999998</v>
      </c>
      <c r="K52" s="1467">
        <v>5.0199999999999996</v>
      </c>
      <c r="L52" s="1481">
        <v>6.71</v>
      </c>
      <c r="N52" s="1526">
        <f t="shared" si="94"/>
        <v>3.0339138143848032E-2</v>
      </c>
      <c r="O52" s="1527">
        <f t="shared" si="94"/>
        <v>2.0922341588790472E-2</v>
      </c>
      <c r="P52" s="1527">
        <f t="shared" si="95"/>
        <v>5.6164796592717003E-2</v>
      </c>
      <c r="Q52" s="1527">
        <f t="shared" si="95"/>
        <v>6.5704536723887319E-2</v>
      </c>
      <c r="R52" s="1476"/>
      <c r="S52" s="1474"/>
      <c r="T52" s="1475"/>
      <c r="U52" s="1475"/>
      <c r="V52" s="1475"/>
      <c r="X52" s="1528"/>
      <c r="Y52" s="1528"/>
      <c r="Z52" s="1528"/>
    </row>
    <row r="53" spans="1:26">
      <c r="A53" s="1463" t="s">
        <v>1186</v>
      </c>
      <c r="B53" s="1479">
        <f t="shared" si="96"/>
        <v>163.84913591779542</v>
      </c>
      <c r="C53" s="1479">
        <f t="shared" si="96"/>
        <v>145.0283378746594</v>
      </c>
      <c r="D53" s="1479">
        <f t="shared" si="74"/>
        <v>145.0283378746594</v>
      </c>
      <c r="E53" s="1479">
        <f t="shared" si="97"/>
        <v>204.95180722891567</v>
      </c>
      <c r="F53" s="1479">
        <f t="shared" si="97"/>
        <v>125.95920303605313</v>
      </c>
      <c r="G53" s="3435">
        <v>2007</v>
      </c>
      <c r="H53" s="1466">
        <v>1</v>
      </c>
      <c r="I53" s="1466">
        <v>3.58</v>
      </c>
      <c r="J53" s="1466">
        <v>3.08</v>
      </c>
      <c r="K53" s="1466">
        <v>4.34</v>
      </c>
      <c r="L53" s="1480">
        <v>3.21</v>
      </c>
      <c r="N53" s="1529">
        <f t="shared" si="94"/>
        <v>3.0497710174814063E-2</v>
      </c>
      <c r="O53" s="1530">
        <f t="shared" si="94"/>
        <v>2.8569772160704998E-2</v>
      </c>
      <c r="P53" s="1530">
        <f t="shared" si="95"/>
        <v>5.1034908866234296E-2</v>
      </c>
      <c r="Q53" s="1530">
        <f t="shared" si="95"/>
        <v>3.245248390207478E-2</v>
      </c>
      <c r="R53" s="1476"/>
      <c r="S53" s="1482">
        <f>B53/B54-1</f>
        <v>3.0497710174814063E-2</v>
      </c>
      <c r="T53" s="1483">
        <f>C53/C54-1</f>
        <v>2.8569772160704998E-2</v>
      </c>
      <c r="U53" s="1483">
        <f>E53/E54-1</f>
        <v>5.1034908866234296E-2</v>
      </c>
      <c r="V53" s="1483">
        <f>F53/F54-1</f>
        <v>3.245248390207478E-2</v>
      </c>
      <c r="X53" s="1528"/>
      <c r="Y53" s="1528"/>
      <c r="Z53" s="1528"/>
    </row>
    <row r="54" spans="1:26" ht="13.5" thickBot="1">
      <c r="A54" s="1463" t="s">
        <v>1187</v>
      </c>
      <c r="B54" s="1492">
        <v>159</v>
      </c>
      <c r="C54" s="1492">
        <v>141</v>
      </c>
      <c r="D54" s="1492">
        <f t="shared" si="74"/>
        <v>141</v>
      </c>
      <c r="E54" s="1492">
        <v>195</v>
      </c>
      <c r="F54" s="1493">
        <v>122</v>
      </c>
      <c r="G54" s="3433">
        <v>2006</v>
      </c>
      <c r="H54" s="1484">
        <v>4</v>
      </c>
      <c r="I54" s="1484">
        <v>3.79</v>
      </c>
      <c r="J54" s="1484">
        <v>2.21</v>
      </c>
      <c r="K54" s="1484">
        <v>5.65</v>
      </c>
      <c r="L54" s="1485">
        <v>5.41</v>
      </c>
      <c r="N54" s="1526">
        <f t="shared" ref="N54:O57" si="98">I54/SUM(I$54:I$57)*(B$54/B$58-1)</f>
        <v>7.245466462748526E-2</v>
      </c>
      <c r="O54" s="1527">
        <f t="shared" si="98"/>
        <v>2.3237230038062766E-2</v>
      </c>
      <c r="P54" s="1527">
        <f t="shared" ref="P54:Q57" si="99">K54/SUM(K$54:K$57)*(E$54/E$58-1)</f>
        <v>0.16146893866323722</v>
      </c>
      <c r="Q54" s="1527">
        <f t="shared" si="99"/>
        <v>5.0755230321793784E-2</v>
      </c>
      <c r="R54" s="1476"/>
      <c r="S54" s="1477"/>
      <c r="T54" s="1478"/>
      <c r="U54" s="1478"/>
      <c r="V54" s="1478"/>
      <c r="X54" s="1528"/>
      <c r="Y54" s="1528"/>
      <c r="Z54" s="1528"/>
    </row>
    <row r="55" spans="1:26">
      <c r="A55" s="1463" t="s">
        <v>1188</v>
      </c>
      <c r="B55" s="1479">
        <f t="shared" ref="B55:C57" si="100">B56+(B$54-B$58)*I55/SUM(I$54:I$57)</f>
        <v>149.00125628140702</v>
      </c>
      <c r="C55" s="1479">
        <f t="shared" si="100"/>
        <v>137.95592286501378</v>
      </c>
      <c r="D55" s="1479">
        <f t="shared" si="74"/>
        <v>137.95592286501378</v>
      </c>
      <c r="E55" s="1479">
        <f t="shared" ref="E55:F57" si="101">E56+(E$54-E$58)*K55/SUM(K$54:K$57)</f>
        <v>169.97231450719823</v>
      </c>
      <c r="F55" s="1479">
        <f t="shared" si="101"/>
        <v>116.21390374331551</v>
      </c>
      <c r="G55" s="3434">
        <v>2006</v>
      </c>
      <c r="H55" s="1489">
        <v>3</v>
      </c>
      <c r="I55" s="1489">
        <v>0.92</v>
      </c>
      <c r="J55" s="1489">
        <v>1.08</v>
      </c>
      <c r="K55" s="1489">
        <v>0.73</v>
      </c>
      <c r="L55" s="1490">
        <v>1.08</v>
      </c>
      <c r="N55" s="1526">
        <f t="shared" si="98"/>
        <v>1.7587939698492462E-2</v>
      </c>
      <c r="O55" s="1527">
        <f t="shared" si="98"/>
        <v>1.1355750425840628E-2</v>
      </c>
      <c r="P55" s="1527">
        <f t="shared" si="99"/>
        <v>2.0862358446754544E-2</v>
      </c>
      <c r="Q55" s="1527">
        <f t="shared" si="99"/>
        <v>1.0132282578103011E-2</v>
      </c>
      <c r="R55" s="1476"/>
      <c r="S55" s="1474"/>
      <c r="T55" s="1475"/>
      <c r="U55" s="1475"/>
      <c r="V55" s="1475"/>
      <c r="X55" s="1528"/>
      <c r="Y55" s="1528"/>
      <c r="Z55" s="1528"/>
    </row>
    <row r="56" spans="1:26">
      <c r="A56" s="1463" t="s">
        <v>1189</v>
      </c>
      <c r="B56" s="1479">
        <f t="shared" si="100"/>
        <v>146.57412060301507</v>
      </c>
      <c r="C56" s="1479">
        <f t="shared" si="100"/>
        <v>136.46831955922866</v>
      </c>
      <c r="D56" s="1479">
        <f t="shared" si="74"/>
        <v>136.46831955922866</v>
      </c>
      <c r="E56" s="1479">
        <f t="shared" si="101"/>
        <v>166.73864894795128</v>
      </c>
      <c r="F56" s="1479">
        <f t="shared" si="101"/>
        <v>115.05882352941177</v>
      </c>
      <c r="G56" s="3434">
        <v>2006</v>
      </c>
      <c r="H56" s="1467">
        <v>2</v>
      </c>
      <c r="I56" s="1467">
        <v>0.96</v>
      </c>
      <c r="J56" s="1467">
        <v>0.25</v>
      </c>
      <c r="K56" s="1467">
        <v>1.9</v>
      </c>
      <c r="L56" s="1481">
        <v>0.95</v>
      </c>
      <c r="N56" s="1526">
        <f t="shared" si="98"/>
        <v>1.8352632728861701E-2</v>
      </c>
      <c r="O56" s="1527">
        <f t="shared" si="98"/>
        <v>2.6286459319075526E-3</v>
      </c>
      <c r="P56" s="1527">
        <f t="shared" si="99"/>
        <v>5.4299289107991269E-2</v>
      </c>
      <c r="Q56" s="1527">
        <f t="shared" si="99"/>
        <v>8.9126559714794995E-3</v>
      </c>
      <c r="R56" s="1476"/>
      <c r="S56" s="1474"/>
      <c r="T56" s="1475"/>
      <c r="U56" s="1475"/>
      <c r="V56" s="1475"/>
      <c r="X56" s="1528"/>
      <c r="Y56" s="1528"/>
      <c r="Z56" s="1528"/>
    </row>
    <row r="57" spans="1:26">
      <c r="A57" s="1463" t="s">
        <v>1190</v>
      </c>
      <c r="B57" s="1479">
        <f t="shared" si="100"/>
        <v>144.04145728643215</v>
      </c>
      <c r="C57" s="1479">
        <f t="shared" si="100"/>
        <v>136.12396694214877</v>
      </c>
      <c r="D57" s="1479">
        <f t="shared" si="74"/>
        <v>136.12396694214877</v>
      </c>
      <c r="E57" s="1479">
        <f t="shared" si="101"/>
        <v>158.32225913621264</v>
      </c>
      <c r="F57" s="1479">
        <f t="shared" si="101"/>
        <v>114.04278074866311</v>
      </c>
      <c r="G57" s="3435">
        <v>2006</v>
      </c>
      <c r="H57" s="1466">
        <v>1</v>
      </c>
      <c r="I57" s="1466">
        <v>2.29</v>
      </c>
      <c r="J57" s="1466">
        <v>3.72</v>
      </c>
      <c r="K57" s="1466">
        <v>0.75</v>
      </c>
      <c r="L57" s="1480">
        <v>0.04</v>
      </c>
      <c r="N57" s="1529">
        <f t="shared" si="98"/>
        <v>4.3778675988638847E-2</v>
      </c>
      <c r="O57" s="1530">
        <f t="shared" si="98"/>
        <v>3.9114251466784385E-2</v>
      </c>
      <c r="P57" s="1530">
        <f t="shared" si="99"/>
        <v>2.1433929911049188E-2</v>
      </c>
      <c r="Q57" s="1530">
        <f t="shared" si="99"/>
        <v>3.7526972511492629E-4</v>
      </c>
      <c r="R57" s="1476"/>
      <c r="S57" s="1482">
        <f>B57/B58-1</f>
        <v>4.3778675988638716E-2</v>
      </c>
      <c r="T57" s="1483">
        <f>C57/C58-1</f>
        <v>3.91142514667846E-2</v>
      </c>
      <c r="U57" s="1483">
        <f>E57/E58-1</f>
        <v>2.143392991104931E-2</v>
      </c>
      <c r="V57" s="1483">
        <f>F57/F58-1</f>
        <v>3.7526972511492396E-4</v>
      </c>
      <c r="X57" s="1528"/>
      <c r="Y57" s="1528"/>
      <c r="Z57" s="1528"/>
    </row>
    <row r="58" spans="1:26" ht="13.5" thickBot="1">
      <c r="A58" s="1463" t="s">
        <v>1191</v>
      </c>
      <c r="B58" s="1492">
        <v>138</v>
      </c>
      <c r="C58" s="1492">
        <v>131</v>
      </c>
      <c r="D58" s="1492">
        <f t="shared" si="74"/>
        <v>131</v>
      </c>
      <c r="E58" s="1492">
        <v>155</v>
      </c>
      <c r="F58" s="1493">
        <v>114</v>
      </c>
      <c r="G58" s="3433">
        <v>2005</v>
      </c>
      <c r="H58" s="1484">
        <v>4</v>
      </c>
      <c r="I58" s="1484">
        <v>3.29</v>
      </c>
      <c r="J58" s="1484">
        <v>1.44</v>
      </c>
      <c r="K58" s="1484">
        <v>0.66</v>
      </c>
      <c r="L58" s="1485">
        <v>7.78</v>
      </c>
      <c r="N58" s="1526">
        <f t="shared" ref="N58:O61" si="102">I58/SUM(I$58:I$61)*(B$58/B$62-1)</f>
        <v>9.9404603216919935E-2</v>
      </c>
      <c r="O58" s="1527">
        <f t="shared" si="102"/>
        <v>4.7636550760861554E-2</v>
      </c>
      <c r="P58" s="1527">
        <f t="shared" ref="P58:Q61" si="103">K58/SUM(K$58:K$61)*(E$58/E$62-1)</f>
        <v>8.3756345177664976E-2</v>
      </c>
      <c r="Q58" s="1527">
        <f t="shared" si="103"/>
        <v>5.2148766661559584E-2</v>
      </c>
      <c r="R58" s="1476"/>
      <c r="S58" s="1477"/>
      <c r="T58" s="1478"/>
      <c r="U58" s="1478"/>
      <c r="V58" s="1478"/>
      <c r="X58" s="1528"/>
      <c r="Y58" s="1528"/>
      <c r="Z58" s="1528"/>
    </row>
    <row r="59" spans="1:26">
      <c r="A59" s="1463" t="s">
        <v>1192</v>
      </c>
      <c r="B59" s="1479">
        <f t="shared" ref="B59:C61" si="104">B60+(B$58-B$62)*I59/SUM(I$58:I$61)</f>
        <v>125.9720430107527</v>
      </c>
      <c r="C59" s="1479">
        <f t="shared" si="104"/>
        <v>125.1883408071749</v>
      </c>
      <c r="D59" s="1479">
        <f t="shared" si="74"/>
        <v>125.1883408071749</v>
      </c>
      <c r="E59" s="1479">
        <f t="shared" ref="E59:F61" si="105">E60+(E$58-E$62)*K59/SUM(K$58:K$61)</f>
        <v>144.61421319796952</v>
      </c>
      <c r="F59" s="1479">
        <f t="shared" si="105"/>
        <v>108.42008196721311</v>
      </c>
      <c r="G59" s="3434">
        <v>2005</v>
      </c>
      <c r="H59" s="1489">
        <v>3</v>
      </c>
      <c r="I59" s="1489">
        <v>0.46</v>
      </c>
      <c r="J59" s="1489">
        <v>0.32</v>
      </c>
      <c r="K59" s="1489">
        <v>0.42</v>
      </c>
      <c r="L59" s="1490">
        <v>0.64</v>
      </c>
      <c r="N59" s="1526">
        <f t="shared" si="102"/>
        <v>1.3898515951301874E-2</v>
      </c>
      <c r="O59" s="1527">
        <f t="shared" si="102"/>
        <v>1.0585900169080346E-2</v>
      </c>
      <c r="P59" s="1527">
        <f t="shared" si="103"/>
        <v>5.3299492385786795E-2</v>
      </c>
      <c r="Q59" s="1527">
        <f t="shared" si="103"/>
        <v>4.2898728359123568E-3</v>
      </c>
      <c r="R59" s="1476"/>
      <c r="S59" s="1474"/>
      <c r="T59" s="1475"/>
      <c r="U59" s="1475"/>
      <c r="V59" s="1475"/>
      <c r="X59" s="1528"/>
      <c r="Y59" s="1528"/>
      <c r="Z59" s="1528"/>
    </row>
    <row r="60" spans="1:26">
      <c r="A60" s="1463" t="s">
        <v>1193</v>
      </c>
      <c r="B60" s="1479">
        <f t="shared" si="104"/>
        <v>124.29032258064517</v>
      </c>
      <c r="C60" s="1479">
        <f t="shared" si="104"/>
        <v>123.8968609865471</v>
      </c>
      <c r="D60" s="1479">
        <f t="shared" si="74"/>
        <v>123.8968609865471</v>
      </c>
      <c r="E60" s="1479">
        <f t="shared" si="105"/>
        <v>138.00507614213197</v>
      </c>
      <c r="F60" s="1479">
        <f t="shared" si="105"/>
        <v>107.96106557377048</v>
      </c>
      <c r="G60" s="3434">
        <v>2005</v>
      </c>
      <c r="H60" s="1467">
        <v>2</v>
      </c>
      <c r="I60" s="1467">
        <v>0.47</v>
      </c>
      <c r="J60" s="1467">
        <v>0.1</v>
      </c>
      <c r="K60" s="1467">
        <v>0.52</v>
      </c>
      <c r="L60" s="1481">
        <v>0.79</v>
      </c>
      <c r="N60" s="1526">
        <f t="shared" si="102"/>
        <v>1.420065760241713E-2</v>
      </c>
      <c r="O60" s="1527">
        <f t="shared" si="102"/>
        <v>3.3080938028376083E-3</v>
      </c>
      <c r="P60" s="1527">
        <f t="shared" si="103"/>
        <v>6.598984771573603E-2</v>
      </c>
      <c r="Q60" s="1527">
        <f t="shared" si="103"/>
        <v>5.2953117818293153E-3</v>
      </c>
      <c r="R60" s="1476"/>
      <c r="S60" s="1474"/>
      <c r="T60" s="1475"/>
      <c r="U60" s="1475"/>
      <c r="V60" s="1475"/>
      <c r="X60" s="1528"/>
      <c r="Y60" s="1528"/>
      <c r="Z60" s="1528"/>
    </row>
    <row r="61" spans="1:26">
      <c r="A61" s="1463" t="s">
        <v>1194</v>
      </c>
      <c r="B61" s="1479">
        <f t="shared" si="104"/>
        <v>122.57204301075269</v>
      </c>
      <c r="C61" s="1479">
        <f t="shared" si="104"/>
        <v>123.4932735426009</v>
      </c>
      <c r="D61" s="1479">
        <f t="shared" si="74"/>
        <v>123.4932735426009</v>
      </c>
      <c r="E61" s="1479">
        <f t="shared" si="105"/>
        <v>129.82233502538071</v>
      </c>
      <c r="F61" s="1479">
        <f t="shared" si="105"/>
        <v>107.39446721311475</v>
      </c>
      <c r="G61" s="3435">
        <v>2005</v>
      </c>
      <c r="H61" s="1466">
        <v>1</v>
      </c>
      <c r="I61" s="1466">
        <v>0.43</v>
      </c>
      <c r="J61" s="1466">
        <v>0.37</v>
      </c>
      <c r="K61" s="1466">
        <v>0.37</v>
      </c>
      <c r="L61" s="1480">
        <v>0.55000000000000004</v>
      </c>
      <c r="N61" s="1529">
        <f t="shared" si="102"/>
        <v>1.2992090997956099E-2</v>
      </c>
      <c r="O61" s="1530">
        <f t="shared" si="102"/>
        <v>1.2239947070499151E-2</v>
      </c>
      <c r="P61" s="1530">
        <f t="shared" si="103"/>
        <v>4.6954314720812178E-2</v>
      </c>
      <c r="Q61" s="1530">
        <f t="shared" si="103"/>
        <v>3.6866094683621815E-3</v>
      </c>
      <c r="R61" s="1476"/>
      <c r="S61" s="1482">
        <f>B61/B62-1</f>
        <v>1.2992090997956174E-2</v>
      </c>
      <c r="T61" s="1483">
        <f>C61/C62-1</f>
        <v>1.2239947070499246E-2</v>
      </c>
      <c r="U61" s="1483">
        <f>E61/E62-1</f>
        <v>4.695431472081224E-2</v>
      </c>
      <c r="V61" s="1483">
        <f>F61/F62-1</f>
        <v>3.6866094683620787E-3</v>
      </c>
      <c r="X61" s="1528"/>
      <c r="Y61" s="1528"/>
      <c r="Z61" s="1528"/>
    </row>
    <row r="62" spans="1:26" ht="13.5" thickBot="1">
      <c r="A62" s="1463" t="s">
        <v>1195</v>
      </c>
      <c r="B62" s="1513">
        <v>121</v>
      </c>
      <c r="C62" s="1513">
        <v>122</v>
      </c>
      <c r="D62" s="1513">
        <f t="shared" si="74"/>
        <v>122</v>
      </c>
      <c r="E62" s="1513">
        <v>124</v>
      </c>
      <c r="F62" s="1514">
        <v>107</v>
      </c>
      <c r="G62" s="3433">
        <v>2004</v>
      </c>
      <c r="H62" s="1484">
        <v>4</v>
      </c>
      <c r="I62" s="1484">
        <v>0.33</v>
      </c>
      <c r="J62" s="1484">
        <v>0.5</v>
      </c>
      <c r="K62" s="1484">
        <v>0.5</v>
      </c>
      <c r="L62" s="1485">
        <v>0</v>
      </c>
      <c r="N62" s="1526">
        <f t="shared" ref="N62:O65" si="106">I62/SUM(I$62:I$65)*(B$62/B$66-1)</f>
        <v>1.3391770148526898E-2</v>
      </c>
      <c r="O62" s="1527">
        <f t="shared" si="106"/>
        <v>1.063264221158958E-2</v>
      </c>
      <c r="P62" s="1527">
        <f t="shared" ref="P62:Q65" si="107">K62/SUM(K$62:K$65)*(E$62/E$66-1)</f>
        <v>2.2244466688911134E-2</v>
      </c>
      <c r="Q62" s="1527">
        <f t="shared" si="107"/>
        <v>0</v>
      </c>
      <c r="R62" s="1476"/>
      <c r="S62" s="1477"/>
      <c r="T62" s="1478"/>
      <c r="U62" s="1478"/>
      <c r="V62" s="1478"/>
      <c r="X62" s="1528"/>
      <c r="Y62" s="1528"/>
      <c r="Z62" s="1528"/>
    </row>
    <row r="63" spans="1:26">
      <c r="A63" s="1463" t="s">
        <v>1196</v>
      </c>
      <c r="B63" s="1479">
        <f t="shared" ref="B63:C65" si="108">B64+(B$62-B$66)*I63/SUM(I$62:I$65)</f>
        <v>119.51351351351352</v>
      </c>
      <c r="C63" s="1479">
        <f t="shared" si="108"/>
        <v>120.7878787878788</v>
      </c>
      <c r="D63" s="1479">
        <f t="shared" si="74"/>
        <v>120.7878787878788</v>
      </c>
      <c r="E63" s="1479">
        <f t="shared" ref="E63:F65" si="109">E64+(E$62-E$66)*K63/SUM(K$62:K$65)</f>
        <v>121.5975975975976</v>
      </c>
      <c r="F63" s="1479">
        <f t="shared" si="109"/>
        <v>107</v>
      </c>
      <c r="G63" s="3434">
        <v>2004</v>
      </c>
      <c r="H63" s="1489">
        <v>3</v>
      </c>
      <c r="I63" s="1489">
        <v>0.56000000000000005</v>
      </c>
      <c r="J63" s="1489">
        <v>0.8</v>
      </c>
      <c r="K63" s="1489">
        <v>0.83</v>
      </c>
      <c r="L63" s="1490">
        <v>0.06</v>
      </c>
      <c r="N63" s="1526">
        <f t="shared" si="106"/>
        <v>2.2725428130833527E-2</v>
      </c>
      <c r="O63" s="1527">
        <f t="shared" si="106"/>
        <v>1.7012227538543329E-2</v>
      </c>
      <c r="P63" s="1527">
        <f t="shared" si="107"/>
        <v>3.6925814703592477E-2</v>
      </c>
      <c r="Q63" s="1527">
        <f t="shared" si="107"/>
        <v>2.8846153846153744E-2</v>
      </c>
      <c r="R63" s="1476"/>
      <c r="S63" s="1474"/>
      <c r="T63" s="1475"/>
      <c r="U63" s="1475"/>
      <c r="V63" s="1475"/>
      <c r="X63" s="1528"/>
      <c r="Y63" s="1528"/>
      <c r="Z63" s="1528"/>
    </row>
    <row r="64" spans="1:26">
      <c r="A64" s="1463" t="s">
        <v>1197</v>
      </c>
      <c r="B64" s="1479">
        <f t="shared" si="108"/>
        <v>116.99099099099099</v>
      </c>
      <c r="C64" s="1479">
        <f t="shared" si="108"/>
        <v>118.84848484848486</v>
      </c>
      <c r="D64" s="1479">
        <f t="shared" si="74"/>
        <v>118.84848484848486</v>
      </c>
      <c r="E64" s="1479">
        <f t="shared" si="109"/>
        <v>117.60960960960961</v>
      </c>
      <c r="F64" s="1479">
        <f t="shared" si="109"/>
        <v>104</v>
      </c>
      <c r="G64" s="3434">
        <v>2004</v>
      </c>
      <c r="H64" s="1467">
        <v>2</v>
      </c>
      <c r="I64" s="1467">
        <v>1</v>
      </c>
      <c r="J64" s="1467">
        <v>1.5</v>
      </c>
      <c r="K64" s="1467">
        <v>1.5</v>
      </c>
      <c r="L64" s="1481">
        <v>0</v>
      </c>
      <c r="N64" s="1526">
        <f t="shared" si="106"/>
        <v>4.0581121662202721E-2</v>
      </c>
      <c r="O64" s="1527">
        <f t="shared" si="106"/>
        <v>3.1897926634768738E-2</v>
      </c>
      <c r="P64" s="1527">
        <f t="shared" si="107"/>
        <v>6.6733400066733395E-2</v>
      </c>
      <c r="Q64" s="1527">
        <f t="shared" si="107"/>
        <v>0</v>
      </c>
      <c r="R64" s="1476"/>
      <c r="S64" s="1474"/>
      <c r="T64" s="1475"/>
      <c r="U64" s="1475"/>
      <c r="V64" s="1475"/>
      <c r="X64" s="1528"/>
      <c r="Y64" s="1528"/>
      <c r="Z64" s="1528"/>
    </row>
    <row r="65" spans="1:26" s="1519" customFormat="1" ht="13.5" thickBot="1">
      <c r="A65" s="1463" t="s">
        <v>1198</v>
      </c>
      <c r="B65" s="1516">
        <f t="shared" si="108"/>
        <v>112.48648648648648</v>
      </c>
      <c r="C65" s="1516">
        <f t="shared" si="108"/>
        <v>115.21212121212122</v>
      </c>
      <c r="D65" s="1516">
        <f t="shared" si="74"/>
        <v>115.21212121212122</v>
      </c>
      <c r="E65" s="1516">
        <f t="shared" si="109"/>
        <v>110.4024024024024</v>
      </c>
      <c r="F65" s="1516">
        <f t="shared" si="109"/>
        <v>104</v>
      </c>
      <c r="G65" s="3435">
        <v>2004</v>
      </c>
      <c r="H65" s="1517">
        <v>1</v>
      </c>
      <c r="I65" s="1517">
        <v>0.33</v>
      </c>
      <c r="J65" s="1517">
        <v>0.5</v>
      </c>
      <c r="K65" s="1517">
        <v>0.5</v>
      </c>
      <c r="L65" s="1518">
        <v>0</v>
      </c>
      <c r="N65" s="1531">
        <f t="shared" si="106"/>
        <v>1.3391770148526898E-2</v>
      </c>
      <c r="O65" s="1532">
        <f t="shared" si="106"/>
        <v>1.063264221158958E-2</v>
      </c>
      <c r="P65" s="1532">
        <f t="shared" si="107"/>
        <v>2.2244466688911134E-2</v>
      </c>
      <c r="Q65" s="1532">
        <f t="shared" si="107"/>
        <v>0</v>
      </c>
      <c r="R65" s="1522"/>
      <c r="S65" s="1520">
        <f>B65/B66-1</f>
        <v>1.3391770148526883E-2</v>
      </c>
      <c r="T65" s="1521">
        <f>C65/C66-1</f>
        <v>1.063264221158966E-2</v>
      </c>
      <c r="U65" s="1521">
        <f>E65/E66-1</f>
        <v>2.2244466688911224E-2</v>
      </c>
      <c r="V65" s="1521">
        <f>F65/F66-1</f>
        <v>0</v>
      </c>
      <c r="X65" s="1533"/>
      <c r="Y65" s="1533"/>
      <c r="Z65" s="1533"/>
    </row>
    <row r="66" spans="1:26" ht="13.5" thickBot="1">
      <c r="A66" s="1463" t="s">
        <v>1199</v>
      </c>
      <c r="B66" s="1534">
        <v>111</v>
      </c>
      <c r="C66" s="1534">
        <v>114</v>
      </c>
      <c r="D66" s="1534">
        <f t="shared" si="74"/>
        <v>114</v>
      </c>
      <c r="E66" s="1534">
        <v>108</v>
      </c>
      <c r="F66" s="1535">
        <v>104</v>
      </c>
      <c r="G66" s="3433">
        <v>2003</v>
      </c>
      <c r="H66" s="1524">
        <v>4</v>
      </c>
      <c r="I66" s="1536"/>
      <c r="J66" s="1536"/>
      <c r="K66" s="1536"/>
      <c r="L66" s="1536"/>
      <c r="N66" s="1537"/>
      <c r="O66" s="1536"/>
      <c r="P66" s="1536"/>
      <c r="Q66" s="1536"/>
      <c r="S66" s="1537"/>
      <c r="T66" s="1536"/>
      <c r="U66" s="1536"/>
      <c r="V66" s="1536"/>
      <c r="X66" s="1528"/>
      <c r="Y66" s="1528"/>
      <c r="Z66" s="1528"/>
    </row>
    <row r="67" spans="1:26">
      <c r="A67" s="1463" t="s">
        <v>1200</v>
      </c>
      <c r="B67" s="1538">
        <f t="shared" ref="B67:C69" si="110">B68+(B$66-B$70)/4</f>
        <v>109.75</v>
      </c>
      <c r="C67" s="1538">
        <f t="shared" si="110"/>
        <v>112.25</v>
      </c>
      <c r="D67" s="1538">
        <f t="shared" si="74"/>
        <v>112.25</v>
      </c>
      <c r="E67" s="1538">
        <f t="shared" ref="E67:F69" si="111">E68+(E$66-E$70)/4</f>
        <v>107.25</v>
      </c>
      <c r="F67" s="1538">
        <f t="shared" si="111"/>
        <v>103.5</v>
      </c>
      <c r="G67" s="3434">
        <v>2003</v>
      </c>
      <c r="H67" s="1489">
        <v>3</v>
      </c>
      <c r="I67" s="1536"/>
      <c r="J67" s="1536"/>
      <c r="K67" s="1536"/>
      <c r="L67" s="1536"/>
      <c r="X67" s="1528"/>
      <c r="Y67" s="1528"/>
      <c r="Z67" s="1528"/>
    </row>
    <row r="68" spans="1:26">
      <c r="A68" s="1463" t="s">
        <v>1201</v>
      </c>
      <c r="B68" s="1538">
        <f t="shared" si="110"/>
        <v>108.5</v>
      </c>
      <c r="C68" s="1538">
        <f t="shared" si="110"/>
        <v>110.5</v>
      </c>
      <c r="D68" s="1538">
        <f t="shared" si="74"/>
        <v>110.5</v>
      </c>
      <c r="E68" s="1538">
        <f t="shared" si="111"/>
        <v>106.5</v>
      </c>
      <c r="F68" s="1538">
        <f t="shared" si="111"/>
        <v>103</v>
      </c>
      <c r="G68" s="3434">
        <v>2003</v>
      </c>
      <c r="H68" s="1467">
        <v>2</v>
      </c>
      <c r="I68" s="1536"/>
      <c r="J68" s="1536"/>
      <c r="K68" s="1536"/>
      <c r="L68" s="1536"/>
      <c r="X68" s="1528"/>
      <c r="Y68" s="1528"/>
      <c r="Z68" s="1528"/>
    </row>
    <row r="69" spans="1:26" ht="13.5" thickBot="1">
      <c r="A69" s="1463" t="s">
        <v>1202</v>
      </c>
      <c r="B69" s="1538">
        <f t="shared" si="110"/>
        <v>107.25</v>
      </c>
      <c r="C69" s="1538">
        <f t="shared" si="110"/>
        <v>108.75</v>
      </c>
      <c r="D69" s="1538">
        <f t="shared" si="74"/>
        <v>108.75</v>
      </c>
      <c r="E69" s="1538">
        <f t="shared" si="111"/>
        <v>105.75</v>
      </c>
      <c r="F69" s="1538">
        <f t="shared" si="111"/>
        <v>102.5</v>
      </c>
      <c r="G69" s="3435">
        <v>2003</v>
      </c>
      <c r="H69" s="1539">
        <v>1</v>
      </c>
      <c r="I69" s="1536"/>
      <c r="J69" s="1536"/>
      <c r="K69" s="1536"/>
      <c r="L69" s="1536"/>
      <c r="S69" s="1474"/>
      <c r="T69" s="1475"/>
      <c r="U69" s="1475"/>
      <c r="X69" s="1528"/>
      <c r="Y69" s="1528"/>
      <c r="Z69" s="1528"/>
    </row>
    <row r="70" spans="1:26" ht="13.5" thickBot="1">
      <c r="A70" s="1463" t="s">
        <v>1203</v>
      </c>
      <c r="B70" s="1540">
        <v>106</v>
      </c>
      <c r="C70" s="1540">
        <v>107</v>
      </c>
      <c r="D70" s="1540">
        <f t="shared" si="74"/>
        <v>107</v>
      </c>
      <c r="E70" s="1540">
        <v>105</v>
      </c>
      <c r="F70" s="1541">
        <v>102</v>
      </c>
      <c r="G70" s="3433">
        <v>2002</v>
      </c>
      <c r="H70" s="1484">
        <v>4</v>
      </c>
      <c r="I70" s="1536"/>
      <c r="J70" s="1536"/>
      <c r="K70" s="1536"/>
      <c r="L70" s="1536"/>
      <c r="N70" s="1537"/>
      <c r="O70" s="1536"/>
      <c r="P70" s="1536"/>
      <c r="Q70" s="1536"/>
      <c r="S70" s="1537"/>
      <c r="T70" s="1536"/>
      <c r="U70" s="1536"/>
      <c r="V70" s="1536"/>
      <c r="X70" s="1528"/>
      <c r="Y70" s="1528"/>
      <c r="Z70" s="1528"/>
    </row>
    <row r="71" spans="1:26">
      <c r="A71" s="1463" t="s">
        <v>1204</v>
      </c>
      <c r="B71" s="1538">
        <f t="shared" ref="B71:C73" si="112">B72+(B$70-B$74)/4</f>
        <v>105</v>
      </c>
      <c r="C71" s="1538">
        <f t="shared" si="112"/>
        <v>106</v>
      </c>
      <c r="D71" s="1538">
        <f t="shared" si="74"/>
        <v>106</v>
      </c>
      <c r="E71" s="1538">
        <f t="shared" ref="E71:F73" si="113">E72+(E$70-E$74)/4</f>
        <v>104.5</v>
      </c>
      <c r="F71" s="1538">
        <f t="shared" si="113"/>
        <v>101.5</v>
      </c>
      <c r="G71" s="3434">
        <v>2002</v>
      </c>
      <c r="H71" s="1489">
        <v>3</v>
      </c>
      <c r="I71" s="1536"/>
      <c r="J71" s="1536"/>
      <c r="K71" s="1536"/>
      <c r="L71" s="1536"/>
      <c r="X71" s="1528"/>
      <c r="Y71" s="1528"/>
      <c r="Z71" s="1528"/>
    </row>
    <row r="72" spans="1:26">
      <c r="A72" s="1463" t="s">
        <v>1205</v>
      </c>
      <c r="B72" s="1538">
        <f t="shared" si="112"/>
        <v>104</v>
      </c>
      <c r="C72" s="1538">
        <f t="shared" si="112"/>
        <v>105</v>
      </c>
      <c r="D72" s="1538">
        <f t="shared" si="74"/>
        <v>105</v>
      </c>
      <c r="E72" s="1538">
        <f t="shared" si="113"/>
        <v>104</v>
      </c>
      <c r="F72" s="1538">
        <f t="shared" si="113"/>
        <v>101</v>
      </c>
      <c r="G72" s="3434">
        <v>2002</v>
      </c>
      <c r="H72" s="1467">
        <v>2</v>
      </c>
      <c r="I72" s="1536"/>
      <c r="J72" s="1536"/>
      <c r="K72" s="1536"/>
      <c r="L72" s="1536"/>
      <c r="X72" s="1528"/>
      <c r="Y72" s="1528"/>
      <c r="Z72" s="1528"/>
    </row>
    <row r="73" spans="1:26" s="1500" customFormat="1" ht="13.5" thickBot="1">
      <c r="A73" s="1496" t="s">
        <v>1206</v>
      </c>
      <c r="B73" s="1542">
        <f t="shared" si="112"/>
        <v>103</v>
      </c>
      <c r="C73" s="1542">
        <f t="shared" si="112"/>
        <v>104</v>
      </c>
      <c r="D73" s="1542">
        <f t="shared" si="74"/>
        <v>104</v>
      </c>
      <c r="E73" s="1542">
        <f t="shared" si="113"/>
        <v>103.5</v>
      </c>
      <c r="F73" s="1542">
        <f t="shared" si="113"/>
        <v>100.5</v>
      </c>
      <c r="G73" s="3435">
        <v>2002</v>
      </c>
      <c r="H73" s="1543">
        <v>1</v>
      </c>
      <c r="I73" s="1544"/>
      <c r="J73" s="1544"/>
      <c r="K73" s="1544"/>
      <c r="L73" s="1544"/>
      <c r="N73" s="1545"/>
      <c r="S73" s="1545"/>
      <c r="X73" s="1546"/>
      <c r="Y73" s="1546"/>
      <c r="Z73" s="1546"/>
    </row>
    <row r="74" spans="1:26" ht="13.5" thickBot="1">
      <c r="B74" s="1547">
        <v>102</v>
      </c>
      <c r="C74" s="1548">
        <v>103</v>
      </c>
      <c r="D74" s="1548">
        <f t="shared" si="74"/>
        <v>103</v>
      </c>
      <c r="E74" s="1548">
        <v>103</v>
      </c>
      <c r="F74" s="1549">
        <v>100</v>
      </c>
      <c r="I74" s="1536"/>
      <c r="J74" s="1536"/>
      <c r="K74" s="1536"/>
      <c r="L74" s="1536"/>
      <c r="N74" s="1537"/>
      <c r="O74" s="1536"/>
      <c r="P74" s="1536"/>
      <c r="Q74" s="1536"/>
      <c r="S74" s="1537"/>
      <c r="T74" s="1536"/>
      <c r="U74" s="1536"/>
      <c r="V74" s="1536"/>
      <c r="X74" s="1478"/>
      <c r="Y74" s="1478"/>
      <c r="Z74" s="1478"/>
    </row>
    <row r="76" spans="1:26" s="1551" customFormat="1">
      <c r="A76" s="1550" t="s">
        <v>1207</v>
      </c>
      <c r="G76" s="1552"/>
      <c r="N76" s="1552"/>
      <c r="S76" s="1552"/>
    </row>
    <row r="77" spans="1:26" s="1551" customFormat="1">
      <c r="A77" s="1551" t="s">
        <v>1208</v>
      </c>
      <c r="G77" s="1552"/>
      <c r="N77" s="1552"/>
      <c r="S77" s="1552"/>
    </row>
    <row r="78" spans="1:26" s="1551" customFormat="1">
      <c r="A78" s="1551" t="s">
        <v>1209</v>
      </c>
      <c r="G78" s="1552"/>
      <c r="I78" s="1553"/>
      <c r="J78" s="1553"/>
      <c r="K78" s="1553"/>
      <c r="L78" s="1553"/>
      <c r="N78" s="1554"/>
      <c r="O78" s="1553"/>
      <c r="P78" s="1553"/>
      <c r="Q78" s="1553"/>
      <c r="S78" s="1554"/>
      <c r="T78" s="1553"/>
      <c r="U78" s="1553"/>
      <c r="V78" s="1553"/>
    </row>
    <row r="79" spans="1:26" s="1551" customFormat="1">
      <c r="A79" s="1551" t="s">
        <v>1210</v>
      </c>
      <c r="G79" s="1552"/>
      <c r="N79" s="1552"/>
      <c r="S79" s="1552"/>
    </row>
    <row r="86" spans="7:22" ht="13.5" thickBot="1"/>
    <row r="87" spans="7:22">
      <c r="G87" s="1473"/>
      <c r="S87" s="1555" t="s">
        <v>1211</v>
      </c>
      <c r="T87" s="1556" t="s">
        <v>1212</v>
      </c>
      <c r="U87" s="1556" t="s">
        <v>1213</v>
      </c>
      <c r="V87" s="1556" t="s">
        <v>1214</v>
      </c>
    </row>
    <row r="88" spans="7:22">
      <c r="G88" s="1473"/>
      <c r="N88" s="1477"/>
      <c r="O88" s="1478"/>
      <c r="P88" s="1478"/>
      <c r="Q88" s="1478"/>
      <c r="S88" s="1557">
        <v>2006</v>
      </c>
      <c r="T88" s="1558">
        <v>15.1</v>
      </c>
      <c r="U88" s="1558">
        <v>7.43</v>
      </c>
      <c r="V88" s="1558">
        <v>26.26</v>
      </c>
    </row>
    <row r="89" spans="7:22">
      <c r="G89" s="1473"/>
      <c r="N89" s="1477"/>
      <c r="O89" s="1478"/>
      <c r="P89" s="1478"/>
      <c r="Q89" s="1478"/>
      <c r="S89" s="1559">
        <v>2005</v>
      </c>
      <c r="T89" s="1560">
        <v>13.9</v>
      </c>
      <c r="U89" s="1560">
        <v>7.49</v>
      </c>
      <c r="V89" s="1560">
        <v>24.92</v>
      </c>
    </row>
    <row r="90" spans="7:22">
      <c r="G90" s="1473"/>
      <c r="N90" s="1477"/>
      <c r="O90" s="1478"/>
      <c r="P90" s="1478"/>
      <c r="Q90" s="1478"/>
      <c r="S90" s="1557">
        <v>2004</v>
      </c>
      <c r="T90" s="1558">
        <v>9.48</v>
      </c>
      <c r="U90" s="1558">
        <v>7.2</v>
      </c>
      <c r="V90" s="1558">
        <v>14.68</v>
      </c>
    </row>
    <row r="91" spans="7:22">
      <c r="G91" s="1473"/>
      <c r="N91" s="1477"/>
      <c r="O91" s="1478"/>
      <c r="P91" s="1478"/>
      <c r="Q91" s="1478"/>
      <c r="S91" s="1559">
        <v>2003</v>
      </c>
      <c r="T91" s="1560">
        <v>4.5</v>
      </c>
      <c r="U91" s="1560">
        <v>6.12</v>
      </c>
      <c r="V91" s="1560">
        <v>2.34</v>
      </c>
    </row>
    <row r="92" spans="7:22" ht="13.5" thickBot="1">
      <c r="G92" s="1473"/>
      <c r="N92" s="1477"/>
      <c r="O92" s="1478"/>
      <c r="P92" s="1478"/>
      <c r="Q92" s="1478"/>
      <c r="S92" s="1561">
        <v>2002</v>
      </c>
      <c r="T92" s="1562">
        <v>3.59</v>
      </c>
      <c r="U92" s="1562">
        <v>4.54</v>
      </c>
      <c r="V92" s="1562">
        <v>2.5499999999999998</v>
      </c>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row r="108" spans="7:19">
      <c r="G108" s="1473"/>
      <c r="N108" s="1477"/>
      <c r="O108" s="1478"/>
      <c r="P108" s="1478"/>
      <c r="Q108" s="1478"/>
      <c r="S108" s="1473"/>
    </row>
  </sheetData>
  <sheetProtection password="C66D"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2"/>
  <sheetViews>
    <sheetView topLeftCell="A7" zoomScale="80" zoomScaleNormal="80" zoomScalePageLayoutView="90" workbookViewId="0">
      <selection activeCell="K33" sqref="K33"/>
    </sheetView>
  </sheetViews>
  <sheetFormatPr defaultColWidth="9" defaultRowHeight="14.25"/>
  <cols>
    <col min="1" max="1" width="10.5" style="403" customWidth="1"/>
    <col min="2" max="2" width="15.87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125" style="496" customWidth="1"/>
    <col min="13" max="15" width="12.125" style="403" customWidth="1"/>
    <col min="16" max="16" width="4.875" style="2624"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31" customFormat="1" ht="28.5" customHeight="1" thickBot="1">
      <c r="A1" s="1620" t="s">
        <v>2522</v>
      </c>
      <c r="B1" s="2583" t="s">
        <v>2636</v>
      </c>
      <c r="C1" s="1636" t="s">
        <v>2524</v>
      </c>
      <c r="D1" s="1623" t="s">
        <v>1373</v>
      </c>
      <c r="E1" s="2657"/>
      <c r="F1" s="2585" t="s">
        <v>3100</v>
      </c>
      <c r="G1" s="1633" t="s">
        <v>2637</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8" customFormat="1" ht="28.5" customHeight="1" thickTop="1">
      <c r="A2" s="1619" t="s">
        <v>2321</v>
      </c>
      <c r="B2" s="1420">
        <f>IF(C2="——",ROUND(C49*D3/10000,0),ROUND(C49*D3/10000,0)-D2)</f>
        <v>54995</v>
      </c>
      <c r="C2" s="2587" t="s">
        <v>70</v>
      </c>
      <c r="D2" s="1367" t="e">
        <f ca="1">SUMIF(INDIRECT("'"&amp;F2&amp;"'"&amp;"!A:A"),"承租人权益价值",INDIRECT("'"&amp;F2&amp;"'"&amp;"!c:c"))</f>
        <v>#REF!</v>
      </c>
      <c r="E2" s="2588" t="s">
        <v>2322</v>
      </c>
      <c r="F2" s="2589"/>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8" customFormat="1" ht="28.5" customHeight="1" thickBot="1">
      <c r="A3" s="247" t="s">
        <v>2323</v>
      </c>
      <c r="B3" s="609">
        <f>IF(C2="——",C49,ROUND(B2*10000/D3,0))</f>
        <v>113867</v>
      </c>
      <c r="C3" s="400" t="s">
        <v>2638</v>
      </c>
      <c r="D3" s="399">
        <f>IF(D1="",'数据-汇总表'!E3,SUMIF('数据-汇总表'!$C19:$C33,D1,'数据-汇总表'!$E19:$E33))</f>
        <v>4829.75</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1" t="s">
        <v>2639</v>
      </c>
      <c r="B4" s="402"/>
      <c r="C4" s="3325" t="s">
        <v>2640</v>
      </c>
      <c r="D4" s="3326"/>
      <c r="E4" s="3327" t="s">
        <v>2641</v>
      </c>
      <c r="F4" s="3328"/>
      <c r="G4" s="3325" t="s">
        <v>2642</v>
      </c>
      <c r="H4" s="3326"/>
      <c r="I4" s="3325" t="s">
        <v>2643</v>
      </c>
      <c r="J4" s="3326"/>
      <c r="K4" s="610" t="s">
        <v>2644</v>
      </c>
      <c r="L4" s="1132"/>
      <c r="M4" s="1133"/>
      <c r="N4" s="1133"/>
      <c r="O4" s="1133"/>
      <c r="P4" s="3331" t="s">
        <v>2645</v>
      </c>
      <c r="Q4" s="3332"/>
      <c r="R4" s="3310" t="s">
        <v>2641</v>
      </c>
      <c r="S4" s="3311"/>
      <c r="T4" s="3310" t="s">
        <v>2642</v>
      </c>
      <c r="U4" s="3311"/>
      <c r="V4" s="3339" t="s">
        <v>2643</v>
      </c>
      <c r="W4" s="3339"/>
      <c r="X4" s="1815"/>
      <c r="Y4" s="3310" t="s">
        <v>2645</v>
      </c>
      <c r="Z4" s="3311"/>
      <c r="AA4" s="3305" t="s">
        <v>2641</v>
      </c>
      <c r="AB4" s="3339" t="s">
        <v>2642</v>
      </c>
      <c r="AC4" s="3305" t="s">
        <v>2643</v>
      </c>
    </row>
    <row r="5" spans="1:29" ht="15">
      <c r="A5" s="404"/>
      <c r="B5" s="405"/>
      <c r="C5" s="3316" t="s">
        <v>2536</v>
      </c>
      <c r="D5" s="3317"/>
      <c r="E5" s="3314" t="s">
        <v>3124</v>
      </c>
      <c r="F5" s="3315"/>
      <c r="G5" s="3320" t="s">
        <v>3350</v>
      </c>
      <c r="H5" s="3317"/>
      <c r="I5" s="3320" t="s">
        <v>3125</v>
      </c>
      <c r="J5" s="3317"/>
      <c r="K5" s="610"/>
      <c r="L5" s="1132"/>
      <c r="M5" s="1133"/>
      <c r="N5" s="1133"/>
      <c r="O5" s="1133"/>
      <c r="P5" s="3333"/>
      <c r="Q5" s="3334"/>
      <c r="R5" s="3312"/>
      <c r="S5" s="3313"/>
      <c r="T5" s="3312"/>
      <c r="U5" s="3313"/>
      <c r="V5" s="3339"/>
      <c r="W5" s="3339"/>
      <c r="X5" s="1815"/>
      <c r="Y5" s="3312"/>
      <c r="Z5" s="3313"/>
      <c r="AA5" s="3306"/>
      <c r="AB5" s="3339"/>
      <c r="AC5" s="3306"/>
    </row>
    <row r="6" spans="1:29" ht="15.75" thickBot="1">
      <c r="A6" s="406"/>
      <c r="B6" s="407"/>
      <c r="C6" s="3318" t="s">
        <v>2540</v>
      </c>
      <c r="D6" s="3319"/>
      <c r="E6" s="3321" t="s">
        <v>3349</v>
      </c>
      <c r="F6" s="3322"/>
      <c r="G6" s="3323" t="s">
        <v>3351</v>
      </c>
      <c r="H6" s="3319"/>
      <c r="I6" s="3323" t="s">
        <v>3352</v>
      </c>
      <c r="J6" s="3319"/>
      <c r="K6" s="610" t="s">
        <v>2541</v>
      </c>
      <c r="L6" s="1132"/>
      <c r="M6" s="1133"/>
      <c r="N6" s="1133"/>
      <c r="O6" s="1133"/>
      <c r="P6" s="3335"/>
      <c r="Q6" s="3336"/>
      <c r="R6" s="3312"/>
      <c r="S6" s="3313"/>
      <c r="T6" s="3337"/>
      <c r="U6" s="3338"/>
      <c r="V6" s="3339"/>
      <c r="W6" s="3339"/>
      <c r="X6" s="1815"/>
      <c r="Y6" s="3337"/>
      <c r="Z6" s="3338"/>
      <c r="AA6" s="3307"/>
      <c r="AB6" s="3339"/>
      <c r="AC6" s="3307"/>
    </row>
    <row r="7" spans="1:29" s="117" customFormat="1" ht="15.75" thickBot="1">
      <c r="A7" s="408" t="s">
        <v>2542</v>
      </c>
      <c r="B7" s="409"/>
      <c r="C7" s="410">
        <f>'数据-取费表'!B2</f>
        <v>43482</v>
      </c>
      <c r="D7" s="411">
        <v>100</v>
      </c>
      <c r="E7" s="412">
        <v>43466</v>
      </c>
      <c r="F7" s="413">
        <f>SUMIF(58:58,YEAR(E7)&amp;"-"&amp;MONTH(E7),59:59)</f>
        <v>100</v>
      </c>
      <c r="G7" s="2696">
        <f>E7</f>
        <v>43466</v>
      </c>
      <c r="H7" s="411">
        <f>SUMIF(58:58,YEAR(G7)&amp;"-"&amp;MONTH(G7),59:59)</f>
        <v>100</v>
      </c>
      <c r="I7" s="412">
        <f>G7</f>
        <v>43466</v>
      </c>
      <c r="J7" s="411">
        <f>SUMIF(58:58,YEAR(I7)&amp;"-"&amp;MONTH(I7),59:59)</f>
        <v>100</v>
      </c>
      <c r="K7" s="611"/>
      <c r="L7" s="1134"/>
      <c r="M7" s="1135"/>
      <c r="N7" s="1135"/>
      <c r="O7" s="1135"/>
      <c r="P7" s="3308" t="s">
        <v>2543</v>
      </c>
      <c r="Q7" s="3342"/>
      <c r="R7" s="770" t="s">
        <v>17</v>
      </c>
      <c r="S7" s="771">
        <f t="shared" ref="S7:S15" si="0">F7</f>
        <v>100</v>
      </c>
      <c r="T7" s="770" t="s">
        <v>17</v>
      </c>
      <c r="U7" s="771">
        <f t="shared" ref="U7:U15" si="1">H7</f>
        <v>100</v>
      </c>
      <c r="V7" s="770" t="s">
        <v>17</v>
      </c>
      <c r="W7" s="771">
        <f t="shared" ref="W7:W15" si="2">J7</f>
        <v>100</v>
      </c>
      <c r="X7" s="772"/>
      <c r="Y7" s="3308" t="s">
        <v>2543</v>
      </c>
      <c r="Z7" s="3309"/>
      <c r="AA7" s="773">
        <f>D7/F7</f>
        <v>1</v>
      </c>
      <c r="AB7" s="773">
        <f>D7/H7</f>
        <v>1</v>
      </c>
      <c r="AC7" s="773">
        <f>D7/J7</f>
        <v>1</v>
      </c>
    </row>
    <row r="8" spans="1:29" s="117" customFormat="1" ht="15.75" thickBot="1">
      <c r="A8" s="408" t="s">
        <v>2544</v>
      </c>
      <c r="B8" s="409"/>
      <c r="C8" s="414" t="s">
        <v>2646</v>
      </c>
      <c r="D8" s="411">
        <v>100</v>
      </c>
      <c r="E8" s="414" t="s">
        <v>3091</v>
      </c>
      <c r="F8" s="413">
        <f>SUMIF(61:61,E8,62:62)-SUMIF(61:61,C8,62:62)+100</f>
        <v>100</v>
      </c>
      <c r="G8" s="414" t="s">
        <v>3091</v>
      </c>
      <c r="H8" s="411">
        <f>SUMIF(61:61,G8,62:62)-SUMIF(61:61,C8,62:62)+100</f>
        <v>100</v>
      </c>
      <c r="I8" s="414" t="s">
        <v>3091</v>
      </c>
      <c r="J8" s="411">
        <f>SUMIF(61:61,I8,62:62)-SUMIF(61:61,C8,62:62)+100</f>
        <v>100</v>
      </c>
      <c r="K8" s="611"/>
      <c r="L8" s="1134"/>
      <c r="M8" s="1135"/>
      <c r="N8" s="1135"/>
      <c r="O8" s="1135"/>
      <c r="P8" s="3308" t="s">
        <v>2546</v>
      </c>
      <c r="Q8" s="3309"/>
      <c r="R8" s="770" t="s">
        <v>17</v>
      </c>
      <c r="S8" s="771">
        <f t="shared" si="0"/>
        <v>100</v>
      </c>
      <c r="T8" s="770" t="s">
        <v>17</v>
      </c>
      <c r="U8" s="771">
        <f t="shared" si="1"/>
        <v>100</v>
      </c>
      <c r="V8" s="770" t="s">
        <v>17</v>
      </c>
      <c r="W8" s="771">
        <f t="shared" si="2"/>
        <v>100</v>
      </c>
      <c r="X8" s="772"/>
      <c r="Y8" s="3308" t="s">
        <v>2546</v>
      </c>
      <c r="Z8" s="3309"/>
      <c r="AA8" s="773">
        <f t="shared" ref="AA8:AA46" si="3">D8/F8</f>
        <v>1</v>
      </c>
      <c r="AB8" s="773">
        <f t="shared" ref="AB8:AB46" si="4">D8/H8</f>
        <v>1</v>
      </c>
      <c r="AC8" s="773">
        <f t="shared" ref="AC8:AC46" si="5">D8/J8</f>
        <v>1</v>
      </c>
    </row>
    <row r="9" spans="1:29" s="117" customFormat="1">
      <c r="A9" s="415" t="s">
        <v>2547</v>
      </c>
      <c r="B9" s="71" t="s">
        <v>2548</v>
      </c>
      <c r="C9" s="2975" t="s">
        <v>3126</v>
      </c>
      <c r="D9" s="135">
        <v>100</v>
      </c>
      <c r="E9" s="417" t="s">
        <v>1373</v>
      </c>
      <c r="F9" s="418">
        <f>SUMIF(63:63,E9,64:64)-SUMIF(63:63,C9,64:64)+100</f>
        <v>100</v>
      </c>
      <c r="G9" s="419" t="s">
        <v>1373</v>
      </c>
      <c r="H9" s="135">
        <f>SUMIF(63:63,G9,64:64)-SUMIF(63:63,C9,64:64)+100</f>
        <v>100</v>
      </c>
      <c r="I9" s="417" t="s">
        <v>1373</v>
      </c>
      <c r="J9" s="135">
        <f>SUMIF(63:63,I9,64:64)-SUMIF(63:63,C9,64:64)+100</f>
        <v>100</v>
      </c>
      <c r="K9" s="611"/>
      <c r="L9" s="1134"/>
      <c r="M9" s="1135"/>
      <c r="N9" s="1135"/>
      <c r="O9" s="1135"/>
      <c r="P9" s="3324" t="s">
        <v>2549</v>
      </c>
      <c r="Q9" s="1797" t="str">
        <f t="shared" ref="Q9:Q15" si="6">B9</f>
        <v>用途</v>
      </c>
      <c r="R9" s="770" t="s">
        <v>17</v>
      </c>
      <c r="S9" s="771">
        <f t="shared" si="0"/>
        <v>100</v>
      </c>
      <c r="T9" s="770" t="s">
        <v>17</v>
      </c>
      <c r="U9" s="771">
        <f t="shared" si="1"/>
        <v>100</v>
      </c>
      <c r="V9" s="770" t="s">
        <v>17</v>
      </c>
      <c r="W9" s="771">
        <f t="shared" si="2"/>
        <v>100</v>
      </c>
      <c r="X9" s="772"/>
      <c r="Y9" s="3160" t="s">
        <v>2550</v>
      </c>
      <c r="Z9" s="55" t="str">
        <f t="shared" ref="Z9:Z15" si="7">Q9</f>
        <v>用途</v>
      </c>
      <c r="AA9" s="773">
        <f t="shared" si="3"/>
        <v>1</v>
      </c>
      <c r="AB9" s="773">
        <f t="shared" si="4"/>
        <v>1</v>
      </c>
      <c r="AC9" s="773">
        <f t="shared" si="5"/>
        <v>1</v>
      </c>
    </row>
    <row r="10" spans="1:29" s="427" customFormat="1" ht="27.75" thickBot="1">
      <c r="A10" s="421"/>
      <c r="B10" s="422" t="s">
        <v>2551</v>
      </c>
      <c r="C10" s="423" t="s">
        <v>3127</v>
      </c>
      <c r="D10" s="136">
        <v>100</v>
      </c>
      <c r="E10" s="424" t="s">
        <v>3127</v>
      </c>
      <c r="F10" s="425">
        <f>SUMIF(65:65,E10,66:66)-SUMIF(65:65,C10,66:66)+100</f>
        <v>100</v>
      </c>
      <c r="G10" s="423" t="s">
        <v>3127</v>
      </c>
      <c r="H10" s="136">
        <f>SUMIF(65:65,G10,66:66)-SUMIF(65:65,C10,66:66)+100</f>
        <v>100</v>
      </c>
      <c r="I10" s="424" t="s">
        <v>3127</v>
      </c>
      <c r="J10" s="136">
        <f>SUMIF(65:65,I10,66:66)-SUMIF(65:65,C10,66:66)+100</f>
        <v>100</v>
      </c>
      <c r="K10" s="612">
        <v>3</v>
      </c>
      <c r="L10" s="1137"/>
      <c r="M10" s="1138"/>
      <c r="N10" s="1138"/>
      <c r="O10" s="1138"/>
      <c r="P10" s="3324"/>
      <c r="Q10" s="1797" t="str">
        <f t="shared" si="6"/>
        <v>土地使用年限（年）</v>
      </c>
      <c r="R10" s="770" t="s">
        <v>17</v>
      </c>
      <c r="S10" s="771">
        <f t="shared" si="0"/>
        <v>100</v>
      </c>
      <c r="T10" s="770" t="s">
        <v>17</v>
      </c>
      <c r="U10" s="771">
        <f t="shared" si="1"/>
        <v>100</v>
      </c>
      <c r="V10" s="770" t="s">
        <v>17</v>
      </c>
      <c r="W10" s="771">
        <f t="shared" si="2"/>
        <v>100</v>
      </c>
      <c r="X10" s="772"/>
      <c r="Y10" s="3160"/>
      <c r="Z10" s="55" t="str">
        <f t="shared" si="7"/>
        <v>土地使用年限（年）</v>
      </c>
      <c r="AA10" s="773">
        <f t="shared" si="3"/>
        <v>1</v>
      </c>
      <c r="AB10" s="773">
        <f t="shared" si="4"/>
        <v>1</v>
      </c>
      <c r="AC10" s="773">
        <f t="shared" si="5"/>
        <v>1</v>
      </c>
    </row>
    <row r="11" spans="1:29" ht="15.75" hidden="1" thickBot="1">
      <c r="A11" s="428"/>
      <c r="B11" s="422" t="s">
        <v>2552</v>
      </c>
      <c r="C11" s="429"/>
      <c r="D11" s="136">
        <v>100</v>
      </c>
      <c r="E11" s="430"/>
      <c r="F11" s="425">
        <f>LOOKUP(E11,68:68,69:69)-LOOKUP(C11,68:68,69:69)+100</f>
        <v>100</v>
      </c>
      <c r="G11" s="3060"/>
      <c r="H11" s="137">
        <f>LOOKUP(G11,68:68,69:69)-LOOKUP(C11,68:68,69:69)+100</f>
        <v>100</v>
      </c>
      <c r="I11" s="429"/>
      <c r="J11" s="136">
        <f>LOOKUP(I11,68:68,69:69)-LOOKUP(C11,68:68,69:69)+100</f>
        <v>100</v>
      </c>
      <c r="K11" s="612"/>
      <c r="L11" s="1140"/>
      <c r="M11" s="1133"/>
      <c r="N11" s="1133"/>
      <c r="O11" s="1133"/>
      <c r="P11" s="3324"/>
      <c r="Q11" s="1797" t="str">
        <f t="shared" si="6"/>
        <v>容积率</v>
      </c>
      <c r="R11" s="770" t="s">
        <v>17</v>
      </c>
      <c r="S11" s="771">
        <f t="shared" si="0"/>
        <v>100</v>
      </c>
      <c r="T11" s="770" t="s">
        <v>17</v>
      </c>
      <c r="U11" s="771">
        <f t="shared" si="1"/>
        <v>100</v>
      </c>
      <c r="V11" s="770" t="s">
        <v>17</v>
      </c>
      <c r="W11" s="771">
        <f t="shared" si="2"/>
        <v>100</v>
      </c>
      <c r="X11" s="772"/>
      <c r="Y11" s="3160"/>
      <c r="Z11" s="55" t="str">
        <f t="shared" si="7"/>
        <v>容积率</v>
      </c>
      <c r="AA11" s="773">
        <f t="shared" si="3"/>
        <v>1</v>
      </c>
      <c r="AB11" s="773">
        <f t="shared" si="4"/>
        <v>1</v>
      </c>
      <c r="AC11" s="773">
        <f t="shared" si="5"/>
        <v>1</v>
      </c>
    </row>
    <row r="12" spans="1:29" s="117" customFormat="1" ht="15" hidden="1">
      <c r="A12" s="431"/>
      <c r="B12" s="2601"/>
      <c r="C12" s="432"/>
      <c r="D12" s="433">
        <v>100</v>
      </c>
      <c r="E12" s="434"/>
      <c r="F12" s="425">
        <f>SUMIF(70:70,E12,71:71)-SUMIF(70:70,C12,71:71)+100</f>
        <v>100</v>
      </c>
      <c r="G12" s="3061"/>
      <c r="H12" s="462">
        <f>SUMIF(70:70,G12,71:71)-SUMIF(70:70,C12,71:71)+100</f>
        <v>100</v>
      </c>
      <c r="I12" s="434"/>
      <c r="J12" s="136">
        <f>SUMIF(70:70,I12,71:71)-SUMIF(70:70,C12,71:71)+100</f>
        <v>100</v>
      </c>
      <c r="K12" s="613"/>
      <c r="L12" s="1134"/>
      <c r="M12" s="1135"/>
      <c r="N12" s="1135"/>
      <c r="O12" s="1135"/>
      <c r="P12" s="3324"/>
      <c r="Q12" s="1797">
        <f t="shared" si="6"/>
        <v>0</v>
      </c>
      <c r="R12" s="770" t="s">
        <v>17</v>
      </c>
      <c r="S12" s="771">
        <f t="shared" si="0"/>
        <v>100</v>
      </c>
      <c r="T12" s="770" t="s">
        <v>17</v>
      </c>
      <c r="U12" s="771">
        <f t="shared" si="1"/>
        <v>100</v>
      </c>
      <c r="V12" s="770" t="s">
        <v>17</v>
      </c>
      <c r="W12" s="771">
        <f t="shared" si="2"/>
        <v>100</v>
      </c>
      <c r="X12" s="772"/>
      <c r="Y12" s="3160"/>
      <c r="Z12" s="55">
        <f t="shared" si="7"/>
        <v>0</v>
      </c>
      <c r="AA12" s="773">
        <f>D12/F12</f>
        <v>1</v>
      </c>
      <c r="AB12" s="773">
        <f>D12/H12</f>
        <v>1</v>
      </c>
      <c r="AC12" s="773">
        <f>D12/J12</f>
        <v>1</v>
      </c>
    </row>
    <row r="13" spans="1:29" ht="15" hidden="1">
      <c r="A13" s="428"/>
      <c r="B13" s="2601"/>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324"/>
      <c r="Q13" s="1797">
        <f t="shared" si="6"/>
        <v>0</v>
      </c>
      <c r="R13" s="770" t="s">
        <v>17</v>
      </c>
      <c r="S13" s="771">
        <f t="shared" si="0"/>
        <v>100</v>
      </c>
      <c r="T13" s="770" t="s">
        <v>17</v>
      </c>
      <c r="U13" s="771">
        <f t="shared" si="1"/>
        <v>100</v>
      </c>
      <c r="V13" s="770" t="s">
        <v>17</v>
      </c>
      <c r="W13" s="771">
        <f t="shared" si="2"/>
        <v>100</v>
      </c>
      <c r="X13" s="772"/>
      <c r="Y13" s="3160"/>
      <c r="Z13" s="55">
        <f t="shared" si="7"/>
        <v>0</v>
      </c>
      <c r="AA13" s="773">
        <f t="shared" si="3"/>
        <v>1</v>
      </c>
      <c r="AB13" s="773">
        <f t="shared" si="4"/>
        <v>1</v>
      </c>
      <c r="AC13" s="773">
        <f t="shared" si="5"/>
        <v>1</v>
      </c>
    </row>
    <row r="14" spans="1:29" ht="15.75" hidden="1" thickBot="1">
      <c r="A14" s="436"/>
      <c r="B14" s="2603"/>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324"/>
      <c r="Q14" s="1797">
        <f t="shared" si="6"/>
        <v>0</v>
      </c>
      <c r="R14" s="770" t="s">
        <v>17</v>
      </c>
      <c r="S14" s="771">
        <f t="shared" si="0"/>
        <v>100</v>
      </c>
      <c r="T14" s="770" t="s">
        <v>17</v>
      </c>
      <c r="U14" s="771">
        <f t="shared" si="1"/>
        <v>100</v>
      </c>
      <c r="V14" s="770" t="s">
        <v>17</v>
      </c>
      <c r="W14" s="771">
        <f t="shared" si="2"/>
        <v>100</v>
      </c>
      <c r="X14" s="772"/>
      <c r="Y14" s="3160"/>
      <c r="Z14" s="55">
        <f t="shared" si="7"/>
        <v>0</v>
      </c>
      <c r="AA14" s="773">
        <f t="shared" si="3"/>
        <v>1</v>
      </c>
      <c r="AB14" s="773">
        <f t="shared" si="4"/>
        <v>1</v>
      </c>
      <c r="AC14" s="773">
        <f t="shared" si="5"/>
        <v>1</v>
      </c>
    </row>
    <row r="15" spans="1:29" ht="42.75">
      <c r="A15" s="440" t="s">
        <v>2553</v>
      </c>
      <c r="B15" s="69" t="s">
        <v>2647</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5</v>
      </c>
      <c r="L15" s="1142"/>
      <c r="M15" s="1133"/>
      <c r="N15" s="1133"/>
      <c r="O15" s="1133"/>
      <c r="P15" s="3355" t="s">
        <v>2554</v>
      </c>
      <c r="Q15" s="1812" t="str">
        <f t="shared" si="6"/>
        <v>商业繁华度</v>
      </c>
      <c r="R15" s="774" t="s">
        <v>17</v>
      </c>
      <c r="S15" s="775">
        <f t="shared" si="0"/>
        <v>100</v>
      </c>
      <c r="T15" s="774" t="s">
        <v>17</v>
      </c>
      <c r="U15" s="775">
        <f t="shared" si="1"/>
        <v>100</v>
      </c>
      <c r="V15" s="774" t="s">
        <v>17</v>
      </c>
      <c r="W15" s="775">
        <f t="shared" si="2"/>
        <v>100</v>
      </c>
      <c r="X15" s="1815"/>
      <c r="Y15" s="3348" t="s">
        <v>2554</v>
      </c>
      <c r="Z15" s="1816" t="str">
        <f t="shared" si="7"/>
        <v>商业繁华度</v>
      </c>
      <c r="AA15" s="1813">
        <f t="shared" si="3"/>
        <v>1</v>
      </c>
      <c r="AB15" s="1813">
        <f t="shared" si="4"/>
        <v>1</v>
      </c>
      <c r="AC15" s="1813">
        <f t="shared" si="5"/>
        <v>1</v>
      </c>
    </row>
    <row r="16" spans="1:29" ht="15">
      <c r="A16" s="428"/>
      <c r="B16" s="446"/>
      <c r="C16" s="447" t="s">
        <v>3092</v>
      </c>
      <c r="D16" s="448"/>
      <c r="E16" s="447" t="s">
        <v>3092</v>
      </c>
      <c r="F16" s="449"/>
      <c r="G16" s="447" t="s">
        <v>3092</v>
      </c>
      <c r="H16" s="450"/>
      <c r="I16" s="447" t="s">
        <v>3092</v>
      </c>
      <c r="J16" s="448"/>
      <c r="K16" s="615"/>
      <c r="L16" s="1142"/>
      <c r="M16" s="1133"/>
      <c r="N16" s="1133"/>
      <c r="O16" s="1133"/>
      <c r="P16" s="3356"/>
      <c r="Q16" s="1812"/>
      <c r="R16" s="774"/>
      <c r="S16" s="775"/>
      <c r="T16" s="774"/>
      <c r="U16" s="775"/>
      <c r="V16" s="774"/>
      <c r="W16" s="775"/>
      <c r="X16" s="1815"/>
      <c r="Y16" s="3349"/>
      <c r="Z16" s="1816"/>
      <c r="AA16" s="1813">
        <v>1</v>
      </c>
      <c r="AB16" s="1813">
        <v>1</v>
      </c>
      <c r="AC16" s="1813">
        <v>1</v>
      </c>
    </row>
    <row r="17" spans="1:29" ht="57">
      <c r="A17" s="428"/>
      <c r="B17" s="451" t="s">
        <v>2090</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5</v>
      </c>
      <c r="L17" s="1142"/>
      <c r="M17" s="1133"/>
      <c r="N17" s="1133"/>
      <c r="O17" s="1133"/>
      <c r="P17" s="3356"/>
      <c r="Q17" s="1812" t="str">
        <f>B17</f>
        <v>交通便捷度</v>
      </c>
      <c r="R17" s="774" t="s">
        <v>17</v>
      </c>
      <c r="S17" s="775">
        <f>F17</f>
        <v>100</v>
      </c>
      <c r="T17" s="774" t="s">
        <v>17</v>
      </c>
      <c r="U17" s="775">
        <f>H17</f>
        <v>100</v>
      </c>
      <c r="V17" s="774" t="s">
        <v>17</v>
      </c>
      <c r="W17" s="775">
        <f>J17</f>
        <v>100</v>
      </c>
      <c r="X17" s="1815"/>
      <c r="Y17" s="3349"/>
      <c r="Z17" s="1816" t="str">
        <f>Q17</f>
        <v>交通便捷度</v>
      </c>
      <c r="AA17" s="1813">
        <f t="shared" si="3"/>
        <v>1</v>
      </c>
      <c r="AB17" s="1813">
        <f t="shared" si="4"/>
        <v>1</v>
      </c>
      <c r="AC17" s="1813">
        <f t="shared" si="5"/>
        <v>1</v>
      </c>
    </row>
    <row r="18" spans="1:29" ht="15">
      <c r="A18" s="428"/>
      <c r="B18" s="456"/>
      <c r="C18" s="2609" t="s">
        <v>3093</v>
      </c>
      <c r="D18" s="450"/>
      <c r="E18" s="2611" t="s">
        <v>3093</v>
      </c>
      <c r="F18" s="453"/>
      <c r="G18" s="2610" t="s">
        <v>3093</v>
      </c>
      <c r="H18" s="448"/>
      <c r="I18" s="2611" t="s">
        <v>3093</v>
      </c>
      <c r="J18" s="448"/>
      <c r="K18" s="615"/>
      <c r="L18" s="1142"/>
      <c r="M18" s="1133"/>
      <c r="N18" s="1133"/>
      <c r="O18" s="1133"/>
      <c r="P18" s="3356"/>
      <c r="Q18" s="1812"/>
      <c r="R18" s="774"/>
      <c r="S18" s="775"/>
      <c r="T18" s="774"/>
      <c r="U18" s="775"/>
      <c r="V18" s="774"/>
      <c r="W18" s="775"/>
      <c r="X18" s="1815"/>
      <c r="Y18" s="3349"/>
      <c r="Z18" s="1816"/>
      <c r="AA18" s="1813">
        <v>1</v>
      </c>
      <c r="AB18" s="1813">
        <v>1</v>
      </c>
      <c r="AC18" s="1813">
        <v>1</v>
      </c>
    </row>
    <row r="19" spans="1:29" ht="28.5">
      <c r="A19" s="428"/>
      <c r="B19" s="451" t="s">
        <v>2648</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3</v>
      </c>
      <c r="L19" s="1142"/>
      <c r="M19" s="1133"/>
      <c r="N19" s="1133"/>
      <c r="O19" s="1133"/>
      <c r="P19" s="3356"/>
      <c r="Q19" s="1812" t="str">
        <f>B19</f>
        <v>公共配套设施</v>
      </c>
      <c r="R19" s="774" t="s">
        <v>17</v>
      </c>
      <c r="S19" s="775">
        <f>F19</f>
        <v>100</v>
      </c>
      <c r="T19" s="774" t="s">
        <v>17</v>
      </c>
      <c r="U19" s="775">
        <f>H19</f>
        <v>100</v>
      </c>
      <c r="V19" s="774" t="s">
        <v>17</v>
      </c>
      <c r="W19" s="775">
        <f>J19</f>
        <v>100</v>
      </c>
      <c r="X19" s="1815"/>
      <c r="Y19" s="3349"/>
      <c r="Z19" s="1816" t="str">
        <f>Q19</f>
        <v>公共配套设施</v>
      </c>
      <c r="AA19" s="1813">
        <f t="shared" si="3"/>
        <v>1</v>
      </c>
      <c r="AB19" s="1813">
        <f t="shared" si="4"/>
        <v>1</v>
      </c>
      <c r="AC19" s="1813">
        <f t="shared" si="5"/>
        <v>1</v>
      </c>
    </row>
    <row r="20" spans="1:29" ht="15">
      <c r="A20" s="428"/>
      <c r="B20" s="456"/>
      <c r="C20" s="447" t="s">
        <v>3093</v>
      </c>
      <c r="D20" s="448"/>
      <c r="E20" s="447" t="s">
        <v>3093</v>
      </c>
      <c r="F20" s="449"/>
      <c r="G20" s="447" t="s">
        <v>3093</v>
      </c>
      <c r="H20" s="448"/>
      <c r="I20" s="447" t="s">
        <v>3093</v>
      </c>
      <c r="J20" s="448"/>
      <c r="K20" s="615"/>
      <c r="L20" s="1142"/>
      <c r="M20" s="1133"/>
      <c r="N20" s="1133"/>
      <c r="O20" s="1133"/>
      <c r="P20" s="3356"/>
      <c r="Q20" s="1812"/>
      <c r="R20" s="774"/>
      <c r="S20" s="775"/>
      <c r="T20" s="774"/>
      <c r="U20" s="775"/>
      <c r="V20" s="774"/>
      <c r="W20" s="775"/>
      <c r="X20" s="1815"/>
      <c r="Y20" s="3349"/>
      <c r="Z20" s="1816"/>
      <c r="AA20" s="1813">
        <v>1</v>
      </c>
      <c r="AB20" s="1813">
        <v>1</v>
      </c>
      <c r="AC20" s="1813">
        <v>1</v>
      </c>
    </row>
    <row r="21" spans="1:29" ht="28.5">
      <c r="A21" s="428"/>
      <c r="B21" s="1386" t="s">
        <v>2649</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42"/>
      <c r="M21" s="1133"/>
      <c r="N21" s="1133"/>
      <c r="O21" s="1133"/>
      <c r="P21" s="3356"/>
      <c r="Q21" s="1812" t="str">
        <f>B21</f>
        <v>基础设施水平</v>
      </c>
      <c r="R21" s="774" t="s">
        <v>17</v>
      </c>
      <c r="S21" s="775">
        <f>F21</f>
        <v>100</v>
      </c>
      <c r="T21" s="774" t="s">
        <v>17</v>
      </c>
      <c r="U21" s="775">
        <f>H21</f>
        <v>100</v>
      </c>
      <c r="V21" s="774" t="s">
        <v>17</v>
      </c>
      <c r="W21" s="775">
        <f>J21</f>
        <v>100</v>
      </c>
      <c r="X21" s="1815"/>
      <c r="Y21" s="3349"/>
      <c r="Z21" s="1816" t="str">
        <f>Q21</f>
        <v>基础设施水平</v>
      </c>
      <c r="AA21" s="1813">
        <f t="shared" ref="AA21" si="8">D21/F21</f>
        <v>1</v>
      </c>
      <c r="AB21" s="1813">
        <f t="shared" ref="AB21" si="9">D21/H21</f>
        <v>1</v>
      </c>
      <c r="AC21" s="1813">
        <f t="shared" ref="AC21" si="10">D21/J21</f>
        <v>1</v>
      </c>
    </row>
    <row r="22" spans="1:29" ht="15">
      <c r="A22" s="428"/>
      <c r="B22" s="1386"/>
      <c r="C22" s="2609" t="s">
        <v>3108</v>
      </c>
      <c r="D22" s="448"/>
      <c r="E22" s="2609" t="s">
        <v>3108</v>
      </c>
      <c r="F22" s="449"/>
      <c r="G22" s="2609" t="s">
        <v>3108</v>
      </c>
      <c r="H22" s="448"/>
      <c r="I22" s="2609" t="s">
        <v>3108</v>
      </c>
      <c r="J22" s="448"/>
      <c r="K22" s="1385"/>
      <c r="L22" s="1142"/>
      <c r="M22" s="1133"/>
      <c r="N22" s="1133"/>
      <c r="O22" s="1133"/>
      <c r="P22" s="3356"/>
      <c r="Q22" s="1812"/>
      <c r="R22" s="774"/>
      <c r="S22" s="775"/>
      <c r="T22" s="774"/>
      <c r="U22" s="775"/>
      <c r="V22" s="774"/>
      <c r="W22" s="775"/>
      <c r="X22" s="1815"/>
      <c r="Y22" s="3349"/>
      <c r="Z22" s="1816"/>
      <c r="AA22" s="1813">
        <v>1</v>
      </c>
      <c r="AB22" s="1813">
        <v>1</v>
      </c>
      <c r="AC22" s="1813">
        <v>1</v>
      </c>
    </row>
    <row r="23" spans="1:29" ht="28.5">
      <c r="A23" s="428"/>
      <c r="B23" s="451" t="s">
        <v>2095</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2"/>
      <c r="M23" s="1133"/>
      <c r="N23" s="1133"/>
      <c r="O23" s="1133"/>
      <c r="P23" s="3356"/>
      <c r="Q23" s="1812" t="str">
        <f>B23</f>
        <v>自然及人文环境</v>
      </c>
      <c r="R23" s="774" t="s">
        <v>17</v>
      </c>
      <c r="S23" s="775">
        <f>F23</f>
        <v>100</v>
      </c>
      <c r="T23" s="774" t="s">
        <v>17</v>
      </c>
      <c r="U23" s="775">
        <f>H23</f>
        <v>100</v>
      </c>
      <c r="V23" s="774" t="s">
        <v>17</v>
      </c>
      <c r="W23" s="775">
        <f>J23</f>
        <v>100</v>
      </c>
      <c r="X23" s="1815"/>
      <c r="Y23" s="3349"/>
      <c r="Z23" s="1816" t="str">
        <f>Q23</f>
        <v>自然及人文环境</v>
      </c>
      <c r="AA23" s="1813">
        <f t="shared" si="3"/>
        <v>1</v>
      </c>
      <c r="AB23" s="1813">
        <f t="shared" si="4"/>
        <v>1</v>
      </c>
      <c r="AC23" s="1813">
        <f t="shared" si="5"/>
        <v>1</v>
      </c>
    </row>
    <row r="24" spans="1:29" ht="15">
      <c r="A24" s="428"/>
      <c r="B24" s="456"/>
      <c r="C24" s="447" t="s">
        <v>3093</v>
      </c>
      <c r="D24" s="448"/>
      <c r="E24" s="447" t="s">
        <v>3093</v>
      </c>
      <c r="F24" s="449"/>
      <c r="G24" s="447" t="s">
        <v>3093</v>
      </c>
      <c r="H24" s="448"/>
      <c r="I24" s="447" t="s">
        <v>3093</v>
      </c>
      <c r="J24" s="448"/>
      <c r="K24" s="615"/>
      <c r="L24" s="1142"/>
      <c r="M24" s="1133"/>
      <c r="N24" s="1133"/>
      <c r="O24" s="1133"/>
      <c r="P24" s="3356"/>
      <c r="Q24" s="1812"/>
      <c r="R24" s="774"/>
      <c r="S24" s="775"/>
      <c r="T24" s="774"/>
      <c r="U24" s="775"/>
      <c r="V24" s="774"/>
      <c r="W24" s="775"/>
      <c r="X24" s="1815"/>
      <c r="Y24" s="3349"/>
      <c r="Z24" s="1816"/>
      <c r="AA24" s="1813">
        <v>1</v>
      </c>
      <c r="AB24" s="1813">
        <v>1</v>
      </c>
      <c r="AC24" s="1813">
        <v>1</v>
      </c>
    </row>
    <row r="25" spans="1:29" ht="15">
      <c r="A25" s="428"/>
      <c r="B25" s="422" t="s">
        <v>2650</v>
      </c>
      <c r="C25" s="616" t="s">
        <v>3335</v>
      </c>
      <c r="D25" s="435">
        <v>100</v>
      </c>
      <c r="E25" s="616" t="s">
        <v>3335</v>
      </c>
      <c r="F25" s="461">
        <f>SUMIF(86:86,E25,87:87)-SUMIF(86:86,C25,87:87)+100</f>
        <v>100</v>
      </c>
      <c r="G25" s="616" t="s">
        <v>3335</v>
      </c>
      <c r="H25" s="435">
        <f>SUMIF(86:86,G25,87:87)-SUMIF(86:86,C25,87:87)+100</f>
        <v>100</v>
      </c>
      <c r="I25" s="616" t="s">
        <v>3335</v>
      </c>
      <c r="J25" s="435">
        <f>SUMIF(86:86,I25,87:87)-SUMIF(86:86,C25,87:87)+100</f>
        <v>100</v>
      </c>
      <c r="K25" s="612"/>
      <c r="L25" s="1142"/>
      <c r="M25" s="1133"/>
      <c r="N25" s="1133"/>
      <c r="O25" s="1133"/>
      <c r="P25" s="3356"/>
      <c r="Q25" s="1812" t="str">
        <f t="shared" ref="Q25:Q46" si="11">B25</f>
        <v>临街状况</v>
      </c>
      <c r="R25" s="774" t="s">
        <v>17</v>
      </c>
      <c r="S25" s="775">
        <f>F25</f>
        <v>100</v>
      </c>
      <c r="T25" s="774" t="s">
        <v>17</v>
      </c>
      <c r="U25" s="775">
        <f>H25</f>
        <v>100</v>
      </c>
      <c r="V25" s="774" t="s">
        <v>17</v>
      </c>
      <c r="W25" s="775">
        <f>J25</f>
        <v>100</v>
      </c>
      <c r="X25" s="1815"/>
      <c r="Y25" s="3349"/>
      <c r="Z25" s="1816" t="str">
        <f>Q25</f>
        <v>临街状况</v>
      </c>
      <c r="AA25" s="1813">
        <f t="shared" si="3"/>
        <v>1</v>
      </c>
      <c r="AB25" s="1813">
        <f t="shared" si="4"/>
        <v>1</v>
      </c>
      <c r="AC25" s="1813">
        <f t="shared" si="5"/>
        <v>1</v>
      </c>
    </row>
    <row r="26" spans="1:29" ht="15">
      <c r="A26" s="428"/>
      <c r="B26" s="1388" t="s">
        <v>2651</v>
      </c>
      <c r="C26" s="2976" t="s">
        <v>3123</v>
      </c>
      <c r="D26" s="435">
        <v>100</v>
      </c>
      <c r="E26" s="2976" t="s">
        <v>3123</v>
      </c>
      <c r="F26" s="461">
        <f>SUMIF(88:88,E26,89:89)-SUMIF(88:88,C26,89:89)+100</f>
        <v>100</v>
      </c>
      <c r="G26" s="2976" t="s">
        <v>3145</v>
      </c>
      <c r="H26" s="435">
        <f>SUMIF(88:88,G26,89:89)-SUMIF(88:88,C26,89:89)+100</f>
        <v>90</v>
      </c>
      <c r="I26" s="2976" t="s">
        <v>3123</v>
      </c>
      <c r="J26" s="435">
        <f>SUMIF(88:88,I26,89:89)-SUMIF(88:88,C26,89:89)+100</f>
        <v>100</v>
      </c>
      <c r="K26" s="613"/>
      <c r="L26" s="1142"/>
      <c r="M26" s="1133"/>
      <c r="N26" s="1133"/>
      <c r="O26" s="1133"/>
      <c r="P26" s="3356"/>
      <c r="Q26" s="1812" t="str">
        <f t="shared" si="11"/>
        <v>平面位置/可视性</v>
      </c>
      <c r="R26" s="774" t="s">
        <v>17</v>
      </c>
      <c r="S26" s="775">
        <f>F26</f>
        <v>100</v>
      </c>
      <c r="T26" s="774" t="s">
        <v>17</v>
      </c>
      <c r="U26" s="775">
        <f>H26</f>
        <v>90</v>
      </c>
      <c r="V26" s="774" t="s">
        <v>17</v>
      </c>
      <c r="W26" s="775">
        <f>J26</f>
        <v>100</v>
      </c>
      <c r="X26" s="1815"/>
      <c r="Y26" s="3349"/>
      <c r="Z26" s="1816" t="str">
        <f>Q26</f>
        <v>平面位置/可视性</v>
      </c>
      <c r="AA26" s="1813">
        <f t="shared" si="3"/>
        <v>1</v>
      </c>
      <c r="AB26" s="1813">
        <f t="shared" si="4"/>
        <v>1.1111111111111112</v>
      </c>
      <c r="AC26" s="1813">
        <f t="shared" si="5"/>
        <v>1</v>
      </c>
    </row>
    <row r="27" spans="1:29" s="117" customFormat="1" ht="15">
      <c r="A27" s="431"/>
      <c r="B27" s="451" t="s">
        <v>2652</v>
      </c>
      <c r="C27" s="2665" t="s">
        <v>3353</v>
      </c>
      <c r="D27" s="462">
        <v>100</v>
      </c>
      <c r="E27" s="2665" t="s">
        <v>3353</v>
      </c>
      <c r="F27" s="464">
        <f>SUMIF(90:90,E27,91:91)-SUMIF(90:90,C27,91:91)+100</f>
        <v>100</v>
      </c>
      <c r="G27" s="2665" t="s">
        <v>3353</v>
      </c>
      <c r="H27" s="462">
        <f>SUMIF(90:90,G27,91:91)-SUMIF(90:90,C27,91:91)+100</f>
        <v>100</v>
      </c>
      <c r="I27" s="2665" t="s">
        <v>3353</v>
      </c>
      <c r="J27" s="462">
        <f>SUMIF(90:90,I27,91:91)-SUMIF(90:90,C27,91:91)+100</f>
        <v>100</v>
      </c>
      <c r="K27" s="612">
        <v>5</v>
      </c>
      <c r="L27" s="1134"/>
      <c r="M27" s="1135"/>
      <c r="N27" s="1135"/>
      <c r="O27" s="1135"/>
      <c r="P27" s="3356"/>
      <c r="Q27" s="1797" t="str">
        <f t="shared" si="11"/>
        <v>人流量</v>
      </c>
      <c r="R27" s="770" t="s">
        <v>17</v>
      </c>
      <c r="S27" s="771">
        <f>F27</f>
        <v>100</v>
      </c>
      <c r="T27" s="770" t="s">
        <v>17</v>
      </c>
      <c r="U27" s="771">
        <f>H27</f>
        <v>100</v>
      </c>
      <c r="V27" s="770" t="s">
        <v>17</v>
      </c>
      <c r="W27" s="771">
        <f>J27</f>
        <v>100</v>
      </c>
      <c r="X27" s="772"/>
      <c r="Y27" s="3349"/>
      <c r="Z27" s="55" t="str">
        <f>Q27</f>
        <v>人流量</v>
      </c>
      <c r="AA27" s="1813">
        <f>D27/F27</f>
        <v>1</v>
      </c>
      <c r="AB27" s="1813">
        <f>D27/H27</f>
        <v>1</v>
      </c>
      <c r="AC27" s="1813">
        <f>D27/J27</f>
        <v>1</v>
      </c>
    </row>
    <row r="28" spans="1:29" ht="15.75" thickBot="1">
      <c r="A28" s="428"/>
      <c r="B28" s="422" t="s">
        <v>2653</v>
      </c>
      <c r="C28" s="616" t="s">
        <v>3144</v>
      </c>
      <c r="D28" s="435">
        <v>100</v>
      </c>
      <c r="E28" s="616" t="s">
        <v>3142</v>
      </c>
      <c r="F28" s="461">
        <f>SUMIF(92:92,E28,93:93)-SUMIF(92:92,C28,93:93)+100</f>
        <v>122</v>
      </c>
      <c r="G28" s="616" t="s">
        <v>3142</v>
      </c>
      <c r="H28" s="435">
        <f>SUMIF(92:92,G28,93:93)-SUMIF(92:92,C28,93:93)+100</f>
        <v>122</v>
      </c>
      <c r="I28" s="616" t="s">
        <v>3143</v>
      </c>
      <c r="J28" s="435">
        <f>SUMIF(92:92,I28,93:93)-SUMIF(92:92,C28,93:93)+100</f>
        <v>87</v>
      </c>
      <c r="K28" s="613"/>
      <c r="L28" s="1142"/>
      <c r="M28" s="1133"/>
      <c r="N28" s="1133"/>
      <c r="O28" s="1133"/>
      <c r="P28" s="3356"/>
      <c r="Q28" s="1812" t="str">
        <f t="shared" si="11"/>
        <v>楼层</v>
      </c>
      <c r="R28" s="774" t="s">
        <v>17</v>
      </c>
      <c r="S28" s="775">
        <f t="shared" ref="S28:S46" si="12">F28</f>
        <v>122</v>
      </c>
      <c r="T28" s="774" t="s">
        <v>17</v>
      </c>
      <c r="U28" s="775">
        <f t="shared" ref="U28:U46" si="13">H28</f>
        <v>122</v>
      </c>
      <c r="V28" s="774" t="s">
        <v>17</v>
      </c>
      <c r="W28" s="775">
        <f t="shared" ref="W28:W46" si="14">J28</f>
        <v>87</v>
      </c>
      <c r="X28" s="1815"/>
      <c r="Y28" s="3349"/>
      <c r="Z28" s="1816" t="str">
        <f t="shared" ref="Z28:Z46" si="15">Q28</f>
        <v>楼层</v>
      </c>
      <c r="AA28" s="1813">
        <f t="shared" si="3"/>
        <v>0.81967213114754101</v>
      </c>
      <c r="AB28" s="1813">
        <f t="shared" si="4"/>
        <v>0.81967213114754101</v>
      </c>
      <c r="AC28" s="1813">
        <f t="shared" si="5"/>
        <v>1.1494252873563218</v>
      </c>
    </row>
    <row r="29" spans="1:29" ht="15" hidden="1">
      <c r="A29" s="428"/>
      <c r="B29" s="1388"/>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356"/>
      <c r="Q29" s="1812">
        <f t="shared" si="11"/>
        <v>0</v>
      </c>
      <c r="R29" s="774" t="s">
        <v>17</v>
      </c>
      <c r="S29" s="775">
        <f t="shared" si="12"/>
        <v>100</v>
      </c>
      <c r="T29" s="774" t="s">
        <v>17</v>
      </c>
      <c r="U29" s="775">
        <f t="shared" si="13"/>
        <v>100</v>
      </c>
      <c r="V29" s="774" t="s">
        <v>17</v>
      </c>
      <c r="W29" s="775">
        <f t="shared" si="14"/>
        <v>100</v>
      </c>
      <c r="X29" s="1815"/>
      <c r="Y29" s="3349"/>
      <c r="Z29" s="1816">
        <f t="shared" si="15"/>
        <v>0</v>
      </c>
      <c r="AA29" s="1813">
        <f t="shared" si="3"/>
        <v>1</v>
      </c>
      <c r="AB29" s="1813">
        <f t="shared" si="4"/>
        <v>1</v>
      </c>
      <c r="AC29" s="1813">
        <f t="shared" si="5"/>
        <v>1</v>
      </c>
    </row>
    <row r="30" spans="1:29" ht="15" hidden="1">
      <c r="A30" s="428"/>
      <c r="B30" s="1388"/>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356"/>
      <c r="Q30" s="1812">
        <f t="shared" si="11"/>
        <v>0</v>
      </c>
      <c r="R30" s="774" t="s">
        <v>17</v>
      </c>
      <c r="S30" s="775">
        <f t="shared" si="12"/>
        <v>100</v>
      </c>
      <c r="T30" s="774" t="s">
        <v>17</v>
      </c>
      <c r="U30" s="775">
        <f t="shared" si="13"/>
        <v>100</v>
      </c>
      <c r="V30" s="774" t="s">
        <v>17</v>
      </c>
      <c r="W30" s="775">
        <f t="shared" si="14"/>
        <v>100</v>
      </c>
      <c r="X30" s="1815"/>
      <c r="Y30" s="3349"/>
      <c r="Z30" s="1816">
        <f t="shared" si="15"/>
        <v>0</v>
      </c>
      <c r="AA30" s="1813">
        <f t="shared" si="3"/>
        <v>1</v>
      </c>
      <c r="AB30" s="1813">
        <f t="shared" si="4"/>
        <v>1</v>
      </c>
      <c r="AC30" s="1813">
        <f t="shared" si="5"/>
        <v>1</v>
      </c>
    </row>
    <row r="31" spans="1:29" ht="15.75" hidden="1" thickBot="1">
      <c r="A31" s="436"/>
      <c r="B31" s="1388"/>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356"/>
      <c r="Q31" s="1812">
        <f t="shared" si="11"/>
        <v>0</v>
      </c>
      <c r="R31" s="774" t="s">
        <v>17</v>
      </c>
      <c r="S31" s="775">
        <f t="shared" si="12"/>
        <v>100</v>
      </c>
      <c r="T31" s="774" t="s">
        <v>17</v>
      </c>
      <c r="U31" s="775">
        <f t="shared" si="13"/>
        <v>100</v>
      </c>
      <c r="V31" s="774" t="s">
        <v>17</v>
      </c>
      <c r="W31" s="775">
        <f t="shared" si="14"/>
        <v>100</v>
      </c>
      <c r="X31" s="1815"/>
      <c r="Y31" s="3349"/>
      <c r="Z31" s="1816">
        <f t="shared" si="15"/>
        <v>0</v>
      </c>
      <c r="AA31" s="1813">
        <f t="shared" si="3"/>
        <v>1</v>
      </c>
      <c r="AB31" s="1813">
        <f t="shared" si="4"/>
        <v>1</v>
      </c>
      <c r="AC31" s="1813">
        <f t="shared" si="5"/>
        <v>1</v>
      </c>
    </row>
    <row r="32" spans="1:29" ht="15">
      <c r="A32" s="440" t="s">
        <v>2557</v>
      </c>
      <c r="B32" s="71" t="s">
        <v>2654</v>
      </c>
      <c r="C32" s="2618" t="s">
        <v>3343</v>
      </c>
      <c r="D32" s="467">
        <v>100</v>
      </c>
      <c r="E32" s="2618" t="s">
        <v>3341</v>
      </c>
      <c r="F32" s="461">
        <f>SUMIF(100:100,E32,101:101)-SUMIF(100:100,C32,101:101)+100</f>
        <v>103</v>
      </c>
      <c r="G32" s="2618" t="s">
        <v>3343</v>
      </c>
      <c r="H32" s="435">
        <f>SUMIF(100:100,G32,101:101)-SUMIF(100:100,C32,101:101)+100</f>
        <v>100</v>
      </c>
      <c r="I32" s="2618" t="s">
        <v>3343</v>
      </c>
      <c r="J32" s="467">
        <f>SUMIF(100:100,I32,101:101)-SUMIF(100:100,C32,101:101)+100</f>
        <v>100</v>
      </c>
      <c r="K32" s="612">
        <v>3</v>
      </c>
      <c r="L32" s="1142"/>
      <c r="M32" s="1133"/>
      <c r="N32" s="1133"/>
      <c r="O32" s="1133"/>
      <c r="P32" s="3350" t="s">
        <v>2559</v>
      </c>
      <c r="Q32" s="1812" t="str">
        <f t="shared" si="11"/>
        <v>商业类型</v>
      </c>
      <c r="R32" s="774" t="s">
        <v>17</v>
      </c>
      <c r="S32" s="775">
        <f t="shared" si="12"/>
        <v>103</v>
      </c>
      <c r="T32" s="774" t="s">
        <v>17</v>
      </c>
      <c r="U32" s="775">
        <f t="shared" si="13"/>
        <v>100</v>
      </c>
      <c r="V32" s="774" t="s">
        <v>17</v>
      </c>
      <c r="W32" s="775">
        <f t="shared" si="14"/>
        <v>100</v>
      </c>
      <c r="X32" s="1815"/>
      <c r="Y32" s="3353" t="s">
        <v>2559</v>
      </c>
      <c r="Z32" s="1816" t="str">
        <f t="shared" si="15"/>
        <v>商业类型</v>
      </c>
      <c r="AA32" s="1813">
        <f t="shared" si="3"/>
        <v>0.970873786407767</v>
      </c>
      <c r="AB32" s="1813">
        <f t="shared" si="4"/>
        <v>1</v>
      </c>
      <c r="AC32" s="1813">
        <f t="shared" si="5"/>
        <v>1</v>
      </c>
    </row>
    <row r="33" spans="1:29" s="471" customFormat="1" ht="15">
      <c r="A33" s="468"/>
      <c r="B33" s="422" t="s">
        <v>2560</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40"/>
      <c r="M33" s="1143"/>
      <c r="N33" s="1143"/>
      <c r="O33" s="1143"/>
      <c r="P33" s="3351"/>
      <c r="Q33" s="776" t="str">
        <f t="shared" si="11"/>
        <v>项目建筑规模</v>
      </c>
      <c r="R33" s="777" t="s">
        <v>17</v>
      </c>
      <c r="S33" s="778">
        <f t="shared" si="12"/>
        <v>100</v>
      </c>
      <c r="T33" s="777" t="s">
        <v>17</v>
      </c>
      <c r="U33" s="778">
        <f t="shared" si="13"/>
        <v>100</v>
      </c>
      <c r="V33" s="777" t="s">
        <v>17</v>
      </c>
      <c r="W33" s="778">
        <f t="shared" si="14"/>
        <v>100</v>
      </c>
      <c r="X33" s="779"/>
      <c r="Y33" s="3353"/>
      <c r="Z33" s="780" t="str">
        <f t="shared" si="15"/>
        <v>项目建筑规模</v>
      </c>
      <c r="AA33" s="1813">
        <f t="shared" si="3"/>
        <v>1</v>
      </c>
      <c r="AB33" s="1813">
        <f t="shared" si="4"/>
        <v>1</v>
      </c>
      <c r="AC33" s="1813">
        <f t="shared" si="5"/>
        <v>1</v>
      </c>
    </row>
    <row r="34" spans="1:29" ht="15">
      <c r="A34" s="472"/>
      <c r="B34" s="422" t="s">
        <v>2561</v>
      </c>
      <c r="C34" s="2620" t="s">
        <v>3087</v>
      </c>
      <c r="D34" s="435">
        <v>100</v>
      </c>
      <c r="E34" s="2620" t="s">
        <v>3087</v>
      </c>
      <c r="F34" s="461">
        <f>SUMIF(105:105,E34,106:106)-SUMIF(105:105,C34,106:106)+100</f>
        <v>100</v>
      </c>
      <c r="G34" s="2620" t="s">
        <v>3087</v>
      </c>
      <c r="H34" s="435">
        <f>SUMIF(105:105,G34,106:106)-SUMIF(105:105,C34,106:106)+100</f>
        <v>100</v>
      </c>
      <c r="I34" s="2620" t="s">
        <v>3087</v>
      </c>
      <c r="J34" s="435">
        <f>SUMIF(105:105,I34,106:106)-SUMIF(105:105,C34,106:106)+100</f>
        <v>100</v>
      </c>
      <c r="K34" s="612">
        <v>2</v>
      </c>
      <c r="L34" s="1142"/>
      <c r="M34" s="1133"/>
      <c r="N34" s="1133"/>
      <c r="O34" s="1133"/>
      <c r="P34" s="3351"/>
      <c r="Q34" s="1812" t="str">
        <f t="shared" si="11"/>
        <v>建筑结构</v>
      </c>
      <c r="R34" s="774" t="s">
        <v>17</v>
      </c>
      <c r="S34" s="775">
        <f t="shared" si="12"/>
        <v>100</v>
      </c>
      <c r="T34" s="774" t="s">
        <v>17</v>
      </c>
      <c r="U34" s="775">
        <f t="shared" si="13"/>
        <v>100</v>
      </c>
      <c r="V34" s="774" t="s">
        <v>17</v>
      </c>
      <c r="W34" s="775">
        <f t="shared" si="14"/>
        <v>100</v>
      </c>
      <c r="X34" s="1815"/>
      <c r="Y34" s="3353"/>
      <c r="Z34" s="1816" t="str">
        <f t="shared" si="15"/>
        <v>建筑结构</v>
      </c>
      <c r="AA34" s="1813">
        <f t="shared" si="3"/>
        <v>1</v>
      </c>
      <c r="AB34" s="1813">
        <f t="shared" si="4"/>
        <v>1</v>
      </c>
      <c r="AC34" s="1813">
        <f t="shared" si="5"/>
        <v>1</v>
      </c>
    </row>
    <row r="35" spans="1:29" ht="15">
      <c r="A35" s="472"/>
      <c r="B35" s="422" t="s">
        <v>2655</v>
      </c>
      <c r="C35" s="2614" t="s">
        <v>3112</v>
      </c>
      <c r="D35" s="435">
        <v>100</v>
      </c>
      <c r="E35" s="2614" t="s">
        <v>3112</v>
      </c>
      <c r="F35" s="461">
        <f>SUMIF(107:107,E35,108:108)-SUMIF(107:107,C35,108:108)+100</f>
        <v>100</v>
      </c>
      <c r="G35" s="2614" t="s">
        <v>3112</v>
      </c>
      <c r="H35" s="435">
        <f>SUMIF(107:107,G35,108:108)-SUMIF(107:107,C35,108:108)+100</f>
        <v>100</v>
      </c>
      <c r="I35" s="2614" t="s">
        <v>3112</v>
      </c>
      <c r="J35" s="435">
        <f>SUMIF(107:107,I35,108:108)-SUMIF(107:107,C35,108:108)+100</f>
        <v>100</v>
      </c>
      <c r="K35" s="612">
        <v>2</v>
      </c>
      <c r="L35" s="1142"/>
      <c r="M35" s="1133"/>
      <c r="N35" s="1133"/>
      <c r="O35" s="1133"/>
      <c r="P35" s="3351"/>
      <c r="Q35" s="1812" t="str">
        <f t="shared" si="11"/>
        <v>公共部分装修</v>
      </c>
      <c r="R35" s="774" t="s">
        <v>17</v>
      </c>
      <c r="S35" s="775">
        <f t="shared" si="12"/>
        <v>100</v>
      </c>
      <c r="T35" s="774" t="s">
        <v>17</v>
      </c>
      <c r="U35" s="775">
        <f t="shared" si="13"/>
        <v>100</v>
      </c>
      <c r="V35" s="774" t="s">
        <v>17</v>
      </c>
      <c r="W35" s="775">
        <f t="shared" si="14"/>
        <v>100</v>
      </c>
      <c r="X35" s="1815"/>
      <c r="Y35" s="3353"/>
      <c r="Z35" s="1816" t="str">
        <f t="shared" si="15"/>
        <v>公共部分装修</v>
      </c>
      <c r="AA35" s="1813">
        <f t="shared" si="3"/>
        <v>1</v>
      </c>
      <c r="AB35" s="1813">
        <f t="shared" si="4"/>
        <v>1</v>
      </c>
      <c r="AC35" s="1813">
        <f t="shared" si="5"/>
        <v>1</v>
      </c>
    </row>
    <row r="36" spans="1:29" ht="15">
      <c r="A36" s="472"/>
      <c r="B36" s="422" t="s">
        <v>2656</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c r="L36" s="1142"/>
      <c r="M36" s="1133"/>
      <c r="N36" s="1133"/>
      <c r="O36" s="1133"/>
      <c r="P36" s="3351"/>
      <c r="Q36" s="1812" t="str">
        <f t="shared" si="11"/>
        <v>成新度</v>
      </c>
      <c r="R36" s="774" t="s">
        <v>17</v>
      </c>
      <c r="S36" s="775">
        <f t="shared" si="12"/>
        <v>100</v>
      </c>
      <c r="T36" s="774" t="s">
        <v>17</v>
      </c>
      <c r="U36" s="775">
        <f t="shared" si="13"/>
        <v>100</v>
      </c>
      <c r="V36" s="774" t="s">
        <v>17</v>
      </c>
      <c r="W36" s="775">
        <f t="shared" si="14"/>
        <v>100</v>
      </c>
      <c r="X36" s="1815"/>
      <c r="Y36" s="3353"/>
      <c r="Z36" s="1816" t="str">
        <f t="shared" si="15"/>
        <v>成新度</v>
      </c>
      <c r="AA36" s="1813">
        <f t="shared" si="3"/>
        <v>1</v>
      </c>
      <c r="AB36" s="1813">
        <f t="shared" si="4"/>
        <v>1</v>
      </c>
      <c r="AC36" s="1813">
        <f t="shared" si="5"/>
        <v>1</v>
      </c>
    </row>
    <row r="37" spans="1:29" s="117" customFormat="1" ht="15">
      <c r="A37" s="473"/>
      <c r="B37" s="422" t="s">
        <v>2657</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4"/>
      <c r="M37" s="1135"/>
      <c r="N37" s="1135"/>
      <c r="O37" s="1135"/>
      <c r="P37" s="3351"/>
      <c r="Q37" s="1797" t="str">
        <f t="shared" si="11"/>
        <v>市政基础设施</v>
      </c>
      <c r="R37" s="770" t="s">
        <v>17</v>
      </c>
      <c r="S37" s="771">
        <f t="shared" si="12"/>
        <v>100</v>
      </c>
      <c r="T37" s="770" t="s">
        <v>17</v>
      </c>
      <c r="U37" s="771">
        <f t="shared" si="13"/>
        <v>100</v>
      </c>
      <c r="V37" s="770" t="s">
        <v>17</v>
      </c>
      <c r="W37" s="771">
        <f t="shared" si="14"/>
        <v>100</v>
      </c>
      <c r="X37" s="772"/>
      <c r="Y37" s="3353"/>
      <c r="Z37" s="55" t="str">
        <f t="shared" si="15"/>
        <v>市政基础设施</v>
      </c>
      <c r="AA37" s="773">
        <f t="shared" si="3"/>
        <v>1</v>
      </c>
      <c r="AB37" s="773">
        <f t="shared" si="4"/>
        <v>1</v>
      </c>
      <c r="AC37" s="773">
        <f t="shared" si="5"/>
        <v>1</v>
      </c>
    </row>
    <row r="38" spans="1:29" ht="15">
      <c r="A38" s="472"/>
      <c r="B38" s="422" t="s">
        <v>2658</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2"/>
      <c r="M38" s="1133"/>
      <c r="N38" s="1133"/>
      <c r="O38" s="1133"/>
      <c r="P38" s="3351" t="s">
        <v>2559</v>
      </c>
      <c r="Q38" s="1812" t="str">
        <f t="shared" si="11"/>
        <v>业态</v>
      </c>
      <c r="R38" s="774" t="s">
        <v>17</v>
      </c>
      <c r="S38" s="775">
        <f t="shared" si="12"/>
        <v>100</v>
      </c>
      <c r="T38" s="774" t="s">
        <v>17</v>
      </c>
      <c r="U38" s="775">
        <f t="shared" si="13"/>
        <v>100</v>
      </c>
      <c r="V38" s="774" t="s">
        <v>17</v>
      </c>
      <c r="W38" s="775">
        <f t="shared" si="14"/>
        <v>100</v>
      </c>
      <c r="X38" s="1815"/>
      <c r="Y38" s="3353" t="s">
        <v>2559</v>
      </c>
      <c r="Z38" s="1816" t="str">
        <f t="shared" si="15"/>
        <v>业态</v>
      </c>
      <c r="AA38" s="1813">
        <f t="shared" si="3"/>
        <v>1</v>
      </c>
      <c r="AB38" s="1813">
        <f t="shared" si="4"/>
        <v>1</v>
      </c>
      <c r="AC38" s="1813">
        <f t="shared" si="5"/>
        <v>1</v>
      </c>
    </row>
    <row r="39" spans="1:29" ht="15">
      <c r="A39" s="472"/>
      <c r="B39" s="422" t="s">
        <v>2659</v>
      </c>
      <c r="C39" s="2614" t="s">
        <v>3346</v>
      </c>
      <c r="D39" s="435">
        <v>100</v>
      </c>
      <c r="E39" s="2614" t="s">
        <v>3346</v>
      </c>
      <c r="F39" s="461">
        <f>SUMIF(116:116,E39,117:117)-SUMIF(116:116,C39,117:117)+100</f>
        <v>100</v>
      </c>
      <c r="G39" s="2614" t="s">
        <v>3346</v>
      </c>
      <c r="H39" s="435">
        <f>SUMIF(116:116,G39,117:117)-SUMIF(116:116,C39,117:117)+100</f>
        <v>100</v>
      </c>
      <c r="I39" s="2614" t="s">
        <v>3346</v>
      </c>
      <c r="J39" s="435">
        <f>SUMIF(116:116,I39,117:117)-SUMIF(116:116,C39,117:117)+100</f>
        <v>100</v>
      </c>
      <c r="K39" s="612">
        <v>3</v>
      </c>
      <c r="L39" s="1142"/>
      <c r="M39" s="1133"/>
      <c r="N39" s="1133"/>
      <c r="O39" s="1133"/>
      <c r="P39" s="3351"/>
      <c r="Q39" s="1812" t="str">
        <f t="shared" si="11"/>
        <v>层高</v>
      </c>
      <c r="R39" s="774" t="s">
        <v>17</v>
      </c>
      <c r="S39" s="775">
        <f t="shared" si="12"/>
        <v>100</v>
      </c>
      <c r="T39" s="774" t="s">
        <v>17</v>
      </c>
      <c r="U39" s="775">
        <f t="shared" si="13"/>
        <v>100</v>
      </c>
      <c r="V39" s="774" t="s">
        <v>17</v>
      </c>
      <c r="W39" s="775">
        <f t="shared" si="14"/>
        <v>100</v>
      </c>
      <c r="X39" s="1815"/>
      <c r="Y39" s="3353"/>
      <c r="Z39" s="1816" t="str">
        <f t="shared" si="15"/>
        <v>层高</v>
      </c>
      <c r="AA39" s="1813">
        <f t="shared" si="3"/>
        <v>1</v>
      </c>
      <c r="AB39" s="1813">
        <f t="shared" si="4"/>
        <v>1</v>
      </c>
      <c r="AC39" s="1813">
        <f t="shared" si="5"/>
        <v>1</v>
      </c>
    </row>
    <row r="40" spans="1:29" ht="15">
      <c r="A40" s="472"/>
      <c r="B40" s="422" t="s">
        <v>2660</v>
      </c>
      <c r="C40" s="617"/>
      <c r="D40" s="435">
        <v>100</v>
      </c>
      <c r="E40" s="618">
        <v>105</v>
      </c>
      <c r="F40" s="461">
        <f>SUMIF(118:118,E40,119:119)-SUMIF(118:118,C40,119:119)+100</f>
        <v>100</v>
      </c>
      <c r="G40" s="618">
        <v>63</v>
      </c>
      <c r="H40" s="435">
        <f>SUMIF(118:118,G40,119:119)-SUMIF(118:118,C40,119:119)+100</f>
        <v>100</v>
      </c>
      <c r="I40" s="618">
        <v>83</v>
      </c>
      <c r="J40" s="435">
        <f>SUMIF(118:118,I40,119:119)-SUMIF(118:118,C40,119:119)+100</f>
        <v>100</v>
      </c>
      <c r="K40" s="613"/>
      <c r="L40" s="1142"/>
      <c r="M40" s="1133"/>
      <c r="N40" s="1133"/>
      <c r="O40" s="1133"/>
      <c r="P40" s="3351"/>
      <c r="Q40" s="1812" t="str">
        <f t="shared" si="11"/>
        <v>单套建筑面积</v>
      </c>
      <c r="R40" s="774" t="s">
        <v>17</v>
      </c>
      <c r="S40" s="775">
        <f t="shared" si="12"/>
        <v>100</v>
      </c>
      <c r="T40" s="774" t="s">
        <v>17</v>
      </c>
      <c r="U40" s="775">
        <f t="shared" si="13"/>
        <v>100</v>
      </c>
      <c r="V40" s="774" t="s">
        <v>17</v>
      </c>
      <c r="W40" s="775">
        <f t="shared" si="14"/>
        <v>100</v>
      </c>
      <c r="X40" s="1815"/>
      <c r="Y40" s="3353"/>
      <c r="Z40" s="1816" t="str">
        <f t="shared" si="15"/>
        <v>单套建筑面积</v>
      </c>
      <c r="AA40" s="1813">
        <f t="shared" si="3"/>
        <v>1</v>
      </c>
      <c r="AB40" s="1813">
        <f t="shared" si="4"/>
        <v>1</v>
      </c>
      <c r="AC40" s="1813">
        <f t="shared" si="5"/>
        <v>1</v>
      </c>
    </row>
    <row r="41" spans="1:29" s="471" customFormat="1" ht="15">
      <c r="A41" s="468"/>
      <c r="B41" s="1814"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351"/>
      <c r="Q41" s="776" t="str">
        <f t="shared" si="11"/>
        <v>进深比</v>
      </c>
      <c r="R41" s="777" t="s">
        <v>17</v>
      </c>
      <c r="S41" s="778">
        <f t="shared" si="12"/>
        <v>100</v>
      </c>
      <c r="T41" s="777" t="s">
        <v>17</v>
      </c>
      <c r="U41" s="778">
        <f t="shared" si="13"/>
        <v>100</v>
      </c>
      <c r="V41" s="777" t="s">
        <v>17</v>
      </c>
      <c r="W41" s="778">
        <f t="shared" si="14"/>
        <v>100</v>
      </c>
      <c r="X41" s="779"/>
      <c r="Y41" s="3353"/>
      <c r="Z41" s="780" t="str">
        <f t="shared" si="15"/>
        <v>进深比</v>
      </c>
      <c r="AA41" s="1813">
        <f t="shared" si="3"/>
        <v>1</v>
      </c>
      <c r="AB41" s="1813">
        <f t="shared" si="4"/>
        <v>1</v>
      </c>
      <c r="AC41" s="1813">
        <f t="shared" si="5"/>
        <v>1</v>
      </c>
    </row>
    <row r="42" spans="1:29" ht="15">
      <c r="A42" s="472"/>
      <c r="B42" s="422" t="s">
        <v>2662</v>
      </c>
      <c r="C42" s="2614" t="s">
        <v>3097</v>
      </c>
      <c r="D42" s="435">
        <v>100</v>
      </c>
      <c r="E42" s="2614" t="s">
        <v>3097</v>
      </c>
      <c r="F42" s="461">
        <f>SUMIF(122:122,E42,123:123)-SUMIF(122:122,C42,123:123)+100</f>
        <v>100</v>
      </c>
      <c r="G42" s="2614" t="s">
        <v>3138</v>
      </c>
      <c r="H42" s="435">
        <f>SUMIF(122:122,G42,123:123)-SUMIF(122:122,C42,123:123)+100</f>
        <v>102</v>
      </c>
      <c r="I42" s="2614" t="s">
        <v>3138</v>
      </c>
      <c r="J42" s="435">
        <f>SUMIF(122:122,I42,123:123)-SUMIF(122:122,C42,123:123)+100</f>
        <v>102</v>
      </c>
      <c r="K42" s="612">
        <v>2</v>
      </c>
      <c r="L42" s="1142"/>
      <c r="M42" s="1133"/>
      <c r="N42" s="1133"/>
      <c r="O42" s="1133"/>
      <c r="P42" s="3351"/>
      <c r="Q42" s="1812" t="str">
        <f t="shared" si="11"/>
        <v>内部装修</v>
      </c>
      <c r="R42" s="774" t="s">
        <v>17</v>
      </c>
      <c r="S42" s="775">
        <f t="shared" si="12"/>
        <v>100</v>
      </c>
      <c r="T42" s="774" t="s">
        <v>17</v>
      </c>
      <c r="U42" s="775">
        <f t="shared" si="13"/>
        <v>102</v>
      </c>
      <c r="V42" s="774" t="s">
        <v>17</v>
      </c>
      <c r="W42" s="775">
        <f t="shared" si="14"/>
        <v>102</v>
      </c>
      <c r="X42" s="1815"/>
      <c r="Y42" s="3353"/>
      <c r="Z42" s="1816" t="str">
        <f t="shared" si="15"/>
        <v>内部装修</v>
      </c>
      <c r="AA42" s="1813">
        <f t="shared" si="3"/>
        <v>1</v>
      </c>
      <c r="AB42" s="1813">
        <f t="shared" si="4"/>
        <v>0.98039215686274506</v>
      </c>
      <c r="AC42" s="1813">
        <f t="shared" si="5"/>
        <v>0.98039215686274506</v>
      </c>
    </row>
    <row r="43" spans="1:29" ht="15.75" thickBot="1">
      <c r="A43" s="472"/>
      <c r="B43" s="422" t="s">
        <v>2570</v>
      </c>
      <c r="C43" s="2614" t="s">
        <v>3093</v>
      </c>
      <c r="D43" s="435">
        <v>100</v>
      </c>
      <c r="E43" s="2614" t="s">
        <v>3093</v>
      </c>
      <c r="F43" s="461">
        <f>SUMIF(124:124,E43,125:125)-SUMIF(124:124,C43,125:125)+100</f>
        <v>100</v>
      </c>
      <c r="G43" s="2614" t="s">
        <v>3093</v>
      </c>
      <c r="H43" s="435">
        <f>SUMIF(124:124,G43,125:125)-SUMIF(124:124,C43,125:125)+100</f>
        <v>100</v>
      </c>
      <c r="I43" s="2614" t="s">
        <v>3093</v>
      </c>
      <c r="J43" s="435">
        <f>SUMIF(124:124,I43,125:125)-SUMIF(124:124,C43,125:125)+100</f>
        <v>100</v>
      </c>
      <c r="K43" s="612">
        <v>2</v>
      </c>
      <c r="L43" s="1142"/>
      <c r="M43" s="1133"/>
      <c r="N43" s="1133"/>
      <c r="O43" s="1133"/>
      <c r="P43" s="3351"/>
      <c r="Q43" s="1812" t="str">
        <f t="shared" si="11"/>
        <v>内部装修维护情况</v>
      </c>
      <c r="R43" s="774" t="s">
        <v>17</v>
      </c>
      <c r="S43" s="775">
        <f t="shared" si="12"/>
        <v>100</v>
      </c>
      <c r="T43" s="774" t="s">
        <v>17</v>
      </c>
      <c r="U43" s="775">
        <f t="shared" si="13"/>
        <v>100</v>
      </c>
      <c r="V43" s="774" t="s">
        <v>17</v>
      </c>
      <c r="W43" s="775">
        <f t="shared" si="14"/>
        <v>100</v>
      </c>
      <c r="X43" s="1815"/>
      <c r="Y43" s="3353"/>
      <c r="Z43" s="1816" t="str">
        <f t="shared" si="15"/>
        <v>内部装修维护情况</v>
      </c>
      <c r="AA43" s="1813">
        <f t="shared" si="3"/>
        <v>1</v>
      </c>
      <c r="AB43" s="1813">
        <f t="shared" si="4"/>
        <v>1</v>
      </c>
      <c r="AC43" s="1813">
        <f t="shared" si="5"/>
        <v>1</v>
      </c>
    </row>
    <row r="44" spans="1:29" s="117" customFormat="1" ht="15" hidden="1">
      <c r="A44" s="473"/>
      <c r="B44" s="1388"/>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351"/>
      <c r="Q44" s="1797">
        <f t="shared" si="11"/>
        <v>0</v>
      </c>
      <c r="R44" s="770" t="s">
        <v>17</v>
      </c>
      <c r="S44" s="771">
        <f t="shared" si="12"/>
        <v>100</v>
      </c>
      <c r="T44" s="770" t="s">
        <v>17</v>
      </c>
      <c r="U44" s="771">
        <f t="shared" si="13"/>
        <v>100</v>
      </c>
      <c r="V44" s="770" t="s">
        <v>17</v>
      </c>
      <c r="W44" s="771">
        <f t="shared" si="14"/>
        <v>100</v>
      </c>
      <c r="X44" s="772"/>
      <c r="Y44" s="3353"/>
      <c r="Z44" s="55">
        <f t="shared" si="15"/>
        <v>0</v>
      </c>
      <c r="AA44" s="773">
        <f t="shared" si="3"/>
        <v>1</v>
      </c>
      <c r="AB44" s="773">
        <f t="shared" si="4"/>
        <v>1</v>
      </c>
      <c r="AC44" s="773">
        <f t="shared" si="5"/>
        <v>1</v>
      </c>
    </row>
    <row r="45" spans="1:29" ht="15" hidden="1">
      <c r="A45" s="472"/>
      <c r="B45" s="1388"/>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351"/>
      <c r="Q45" s="1812">
        <f t="shared" si="11"/>
        <v>0</v>
      </c>
      <c r="R45" s="774" t="s">
        <v>17</v>
      </c>
      <c r="S45" s="775">
        <f t="shared" si="12"/>
        <v>100</v>
      </c>
      <c r="T45" s="774" t="s">
        <v>17</v>
      </c>
      <c r="U45" s="775">
        <f t="shared" si="13"/>
        <v>100</v>
      </c>
      <c r="V45" s="774" t="s">
        <v>17</v>
      </c>
      <c r="W45" s="775">
        <f t="shared" si="14"/>
        <v>100</v>
      </c>
      <c r="X45" s="1815"/>
      <c r="Y45" s="3353"/>
      <c r="Z45" s="1816">
        <f t="shared" si="15"/>
        <v>0</v>
      </c>
      <c r="AA45" s="1813">
        <f t="shared" si="3"/>
        <v>1</v>
      </c>
      <c r="AB45" s="1813">
        <f t="shared" si="4"/>
        <v>1</v>
      </c>
      <c r="AC45" s="1813">
        <f t="shared" si="5"/>
        <v>1</v>
      </c>
    </row>
    <row r="46" spans="1:29" ht="15.75" hidden="1" thickBot="1">
      <c r="A46" s="478"/>
      <c r="B46" s="2603"/>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352"/>
      <c r="Q46" s="1812">
        <f t="shared" si="11"/>
        <v>0</v>
      </c>
      <c r="R46" s="774" t="s">
        <v>17</v>
      </c>
      <c r="S46" s="775">
        <f t="shared" si="12"/>
        <v>100</v>
      </c>
      <c r="T46" s="774" t="s">
        <v>17</v>
      </c>
      <c r="U46" s="775">
        <f t="shared" si="13"/>
        <v>100</v>
      </c>
      <c r="V46" s="774" t="s">
        <v>17</v>
      </c>
      <c r="W46" s="775">
        <f t="shared" si="14"/>
        <v>100</v>
      </c>
      <c r="X46" s="1815"/>
      <c r="Y46" s="3354"/>
      <c r="Z46" s="1816">
        <f t="shared" si="15"/>
        <v>0</v>
      </c>
      <c r="AA46" s="1813">
        <f t="shared" si="3"/>
        <v>1</v>
      </c>
      <c r="AB46" s="1813">
        <f t="shared" si="4"/>
        <v>1</v>
      </c>
      <c r="AC46" s="1813">
        <f t="shared" si="5"/>
        <v>1</v>
      </c>
    </row>
    <row r="47" spans="1:29" ht="15">
      <c r="A47" s="479" t="s">
        <v>2571</v>
      </c>
      <c r="B47" s="480"/>
      <c r="C47" s="1409" t="s">
        <v>1</v>
      </c>
      <c r="D47" s="1410"/>
      <c r="E47" s="1411">
        <f>ROUND(140000*0.97,0)</f>
        <v>135800</v>
      </c>
      <c r="F47" s="1412"/>
      <c r="G47" s="1413">
        <f>ROUND(800*10000/63*0.97,0)</f>
        <v>123175</v>
      </c>
      <c r="H47" s="1414"/>
      <c r="I47" s="1413">
        <f>ROUND(1000*10000/83*0.91,0)</f>
        <v>109639</v>
      </c>
      <c r="J47" s="1414"/>
      <c r="K47" s="783"/>
      <c r="L47" s="1145"/>
      <c r="M47" s="1146"/>
      <c r="N47" s="1133"/>
      <c r="O47" s="1146"/>
      <c r="P47" s="3346" t="str">
        <f>A47</f>
        <v>成交单价（元/平方米）</v>
      </c>
      <c r="Q47" s="3346"/>
      <c r="R47" s="3339">
        <f>E47</f>
        <v>135800</v>
      </c>
      <c r="S47" s="3339"/>
      <c r="T47" s="3339">
        <f>G47</f>
        <v>123175</v>
      </c>
      <c r="U47" s="3339"/>
      <c r="V47" s="3339">
        <f>I47</f>
        <v>109639</v>
      </c>
      <c r="W47" s="3339"/>
      <c r="X47" s="759"/>
      <c r="Y47" s="781"/>
      <c r="Z47" s="759"/>
      <c r="AA47" s="759"/>
      <c r="AB47" s="759"/>
      <c r="AC47" s="759"/>
    </row>
    <row r="48" spans="1:29" ht="15.75" thickBot="1">
      <c r="A48" s="486" t="s">
        <v>2663</v>
      </c>
      <c r="B48" s="487"/>
      <c r="C48" s="1415">
        <f>R49</f>
        <v>113867</v>
      </c>
      <c r="D48" s="1416"/>
      <c r="E48" s="1417">
        <f>R48</f>
        <v>108069</v>
      </c>
      <c r="F48" s="1417"/>
      <c r="G48" s="1415">
        <f>T48</f>
        <v>109982</v>
      </c>
      <c r="H48" s="1416"/>
      <c r="I48" s="1417">
        <f>V48</f>
        <v>123551</v>
      </c>
      <c r="J48" s="1416"/>
      <c r="K48" s="784"/>
      <c r="L48" s="1145"/>
      <c r="M48" s="1146"/>
      <c r="N48" s="1133"/>
      <c r="O48" s="1146"/>
      <c r="P48" s="3346" t="str">
        <f>A48</f>
        <v>比较价值（元/平方米）</v>
      </c>
      <c r="Q48" s="3346"/>
      <c r="R48" s="3347">
        <f>IF(F1="售价",ROUND(PRODUCT(R47,AA7:AA46),0),ROUND(PRODUCT(R47,AA7:AA46),1))</f>
        <v>108069</v>
      </c>
      <c r="S48" s="3347"/>
      <c r="T48" s="3347">
        <f>IF(F1="售价",ROUND(PRODUCT(T47,AB7:AB46),0),ROUND(PRODUCT(T47,AB7:AB46),1))</f>
        <v>109982</v>
      </c>
      <c r="U48" s="3347"/>
      <c r="V48" s="3347">
        <f>IF(F1="售价",ROUND(PRODUCT(V47,AC7:AC46),0),ROUND(PRODUCT(V47,AC7:AC46),1))</f>
        <v>123551</v>
      </c>
      <c r="W48" s="3347"/>
      <c r="X48" s="759"/>
      <c r="Y48" s="759"/>
      <c r="Z48" s="759"/>
      <c r="AA48" s="759"/>
      <c r="AB48" s="759"/>
      <c r="AC48" s="759"/>
    </row>
    <row r="49" spans="1:29" ht="15.75" thickBot="1">
      <c r="A49" s="492" t="s">
        <v>2664</v>
      </c>
      <c r="B49" s="493"/>
      <c r="C49" s="1419">
        <f>R49</f>
        <v>113867</v>
      </c>
      <c r="D49" s="1419"/>
      <c r="E49" s="1419"/>
      <c r="F49" s="1419"/>
      <c r="G49" s="1419"/>
      <c r="H49" s="1419"/>
      <c r="I49" s="1419"/>
      <c r="J49" s="1419"/>
      <c r="K49" s="785"/>
      <c r="L49" s="1145"/>
      <c r="M49" s="1146"/>
      <c r="N49" s="1133"/>
      <c r="O49" s="1146"/>
      <c r="P49" s="3343" t="str">
        <f>A49</f>
        <v>估价对象XX用房的比较价值（楼面单价，元/平方米）</v>
      </c>
      <c r="Q49" s="3344"/>
      <c r="R49" s="3345">
        <f>IF(F1="售价",ROUND(AVERAGE(R48:V48),0),ROUND(AVERAGE(R48:V48),1))</f>
        <v>113867</v>
      </c>
      <c r="S49" s="3345"/>
      <c r="T49" s="3345"/>
      <c r="U49" s="3345"/>
      <c r="V49" s="3345"/>
      <c r="W49" s="3345"/>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2665</v>
      </c>
      <c r="D52" s="498"/>
      <c r="E52" s="499">
        <f>IF(E47&lt;E48,E48/E47-1,E47/E48-1)</f>
        <v>0.25660457670562331</v>
      </c>
      <c r="F52" s="500" t="str">
        <f>IF(OR(E52&gt;=0.3,E52&lt;=-0.3),"超过30%","")</f>
        <v/>
      </c>
      <c r="G52" s="499">
        <f>IF(G47&lt;G48,G48/G47-1,G47/G48-1)</f>
        <v>0.11995599279882163</v>
      </c>
      <c r="H52" s="500" t="str">
        <f>IF(OR(G52&gt;=0.3,G52&lt;=-0.3),"超过30%","")</f>
        <v/>
      </c>
      <c r="I52" s="499">
        <f>IF(I47&lt;I48,I48/I47-1,I47/I48-1)</f>
        <v>0.12688915440673476</v>
      </c>
      <c r="J52" s="500" t="str">
        <f>IF(OR(I52&gt;=0.3,I52&lt;=-0.3),"超过30%","")</f>
        <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2666</v>
      </c>
      <c r="D53" s="501"/>
      <c r="E53" s="499">
        <f>IF(E48&lt;G48,G48/E48-1,E48/G48-1)</f>
        <v>1.7701653573179987E-2</v>
      </c>
      <c r="F53" s="500" t="str">
        <f>IF(OR(E53&gt;=0.2,E53&lt;=-0.2),"超过20%","")</f>
        <v/>
      </c>
      <c r="G53" s="499">
        <f>IF(G48&lt;I48,I48/G48-1,G48/I48-1)</f>
        <v>0.12337473404738963</v>
      </c>
      <c r="H53" s="500" t="str">
        <f>IF(OR(G53&gt;=0.2,G53&lt;=-0.2),"超过20%","")</f>
        <v/>
      </c>
      <c r="I53" s="499">
        <f>IF(I48&lt;E48,E48/I48-1,I48/E48-1)</f>
        <v>0.14326032442235981</v>
      </c>
      <c r="J53" s="500" t="str">
        <f>IF(OR(I53&gt;=0.2,I53&lt;=-0.2),"超过20%","")</f>
        <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2667</v>
      </c>
      <c r="D54" s="501"/>
      <c r="E54" s="499">
        <f>IF(E47&lt;G47,G47/E47-1,E47/G47-1)</f>
        <v>0.10249644814288605</v>
      </c>
      <c r="F54" s="500" t="str">
        <f>IF(OR(E54&gt;=0.3,E54&lt;=-0.3),"超过30%","")</f>
        <v/>
      </c>
      <c r="G54" s="499">
        <f>IF(G47&lt;I47,I47/G47-1,G47/I47-1)</f>
        <v>0.1234597178011474</v>
      </c>
      <c r="H54" s="500" t="str">
        <f>IF(OR(G54&gt;=0.3,G54&lt;=-0.3),"超过30%","")</f>
        <v/>
      </c>
      <c r="I54" s="499">
        <f>IF(I47&lt;E47,E47/I47-1,I47/E47-1)</f>
        <v>0.23861034850737428</v>
      </c>
      <c r="J54" s="500" t="str">
        <f>IF(OR(I54&gt;=0.3,I54&lt;=-0.3),"超过30%","")</f>
        <v/>
      </c>
      <c r="K54" s="1150"/>
      <c r="L54" s="1151"/>
      <c r="M54" s="1147"/>
      <c r="N54" s="1147"/>
      <c r="O54" s="1147"/>
      <c r="P54" s="2666"/>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6"/>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3"/>
      <c r="M57" s="1161"/>
      <c r="N57" s="1161"/>
      <c r="O57" s="1161"/>
      <c r="P57" s="2667"/>
      <c r="Q57" s="2668"/>
      <c r="R57" s="759"/>
      <c r="S57" s="759"/>
      <c r="T57" s="759"/>
      <c r="U57" s="759"/>
      <c r="V57" s="759"/>
      <c r="W57" s="759"/>
      <c r="X57" s="759"/>
      <c r="Y57" s="759"/>
      <c r="Z57" s="759"/>
      <c r="AA57" s="759"/>
      <c r="AB57" s="759"/>
      <c r="AC57" s="759"/>
    </row>
    <row r="58" spans="1:29" s="508" customFormat="1" ht="15">
      <c r="A58" s="505" t="s">
        <v>2542</v>
      </c>
      <c r="B58" s="506"/>
      <c r="C58" s="1576" t="str">
        <f>YEAR(C7)&amp;"-"&amp;MONTH(C7)</f>
        <v>2019-1</v>
      </c>
      <c r="D58" s="1577">
        <f>EDATE(C58,-1)</f>
        <v>43435</v>
      </c>
      <c r="E58" s="1577">
        <f t="shared" ref="E58:N58" si="16">EDATE(D58,-1)</f>
        <v>43405</v>
      </c>
      <c r="F58" s="1577">
        <f t="shared" si="16"/>
        <v>43374</v>
      </c>
      <c r="G58" s="1577">
        <f t="shared" si="16"/>
        <v>43344</v>
      </c>
      <c r="H58" s="1577">
        <f t="shared" si="16"/>
        <v>43313</v>
      </c>
      <c r="I58" s="1577">
        <f t="shared" si="16"/>
        <v>43282</v>
      </c>
      <c r="J58" s="1577">
        <f t="shared" si="16"/>
        <v>43252</v>
      </c>
      <c r="K58" s="1577">
        <f t="shared" si="16"/>
        <v>43221</v>
      </c>
      <c r="L58" s="1577">
        <f t="shared" si="16"/>
        <v>43191</v>
      </c>
      <c r="M58" s="1577">
        <f t="shared" si="16"/>
        <v>43160</v>
      </c>
      <c r="N58" s="1577">
        <f t="shared" si="16"/>
        <v>43132</v>
      </c>
      <c r="O58" s="1577">
        <f>EDATE(N58,-1)</f>
        <v>43101</v>
      </c>
      <c r="P58" s="1572"/>
    </row>
    <row r="59" spans="1:29" s="117" customFormat="1" ht="15">
      <c r="A59" s="509"/>
      <c r="B59" s="510"/>
      <c r="C59" s="1575">
        <v>100</v>
      </c>
      <c r="D59" s="512"/>
      <c r="E59" s="512"/>
      <c r="F59" s="512"/>
      <c r="G59" s="512"/>
      <c r="H59" s="512"/>
      <c r="I59" s="512"/>
      <c r="J59" s="512"/>
      <c r="K59" s="512"/>
      <c r="L59" s="512"/>
      <c r="M59" s="513"/>
      <c r="N59" s="512"/>
      <c r="O59" s="513"/>
      <c r="P59" s="2628"/>
    </row>
    <row r="60" spans="1:29" s="117" customFormat="1" ht="15.75" thickBot="1">
      <c r="A60" s="515" t="s">
        <v>2579</v>
      </c>
      <c r="B60" s="516"/>
      <c r="C60" s="517"/>
      <c r="D60" s="518"/>
      <c r="E60" s="518"/>
      <c r="F60" s="518"/>
      <c r="G60" s="518"/>
      <c r="H60" s="518"/>
      <c r="I60" s="518"/>
      <c r="J60" s="518"/>
      <c r="K60" s="518"/>
      <c r="L60" s="518"/>
      <c r="M60" s="519"/>
      <c r="N60" s="518"/>
      <c r="O60" s="519"/>
      <c r="P60" s="2628"/>
      <c r="Q60" s="504"/>
    </row>
    <row r="61" spans="1:29" s="117" customFormat="1" ht="15">
      <c r="A61" s="521" t="s">
        <v>2544</v>
      </c>
      <c r="B61" s="510"/>
      <c r="C61" s="522" t="s">
        <v>2646</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2582</v>
      </c>
      <c r="B63" s="528" t="s">
        <v>2548</v>
      </c>
      <c r="C63" s="529" t="str">
        <f>C9</f>
        <v>商业</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8.5" thickTop="1">
      <c r="A65" s="534"/>
      <c r="B65" s="538" t="s">
        <v>2551</v>
      </c>
      <c r="C65" s="539" t="s">
        <v>2583</v>
      </c>
      <c r="D65" s="539" t="s">
        <v>2584</v>
      </c>
      <c r="E65" s="539" t="s">
        <v>2585</v>
      </c>
      <c r="F65" s="539" t="s">
        <v>2586</v>
      </c>
      <c r="G65" s="539" t="s">
        <v>2587</v>
      </c>
      <c r="H65" s="539" t="s">
        <v>2588</v>
      </c>
      <c r="I65" s="539" t="s">
        <v>2589</v>
      </c>
      <c r="J65" s="539"/>
      <c r="K65" s="540"/>
      <c r="L65" s="541"/>
      <c r="M65" s="542"/>
      <c r="N65" s="1154"/>
      <c r="O65" s="1154"/>
      <c r="P65" s="2630"/>
      <c r="Q65" s="504"/>
    </row>
    <row r="66" spans="1:17" ht="15.75" thickBot="1">
      <c r="A66" s="534"/>
      <c r="B66" s="543"/>
      <c r="C66" s="544" t="s">
        <v>24</v>
      </c>
      <c r="D66" s="544" t="s">
        <v>25</v>
      </c>
      <c r="E66" s="544" t="s">
        <v>26</v>
      </c>
      <c r="F66" s="544">
        <v>100</v>
      </c>
      <c r="G66" s="544">
        <f>F66-$K10</f>
        <v>97</v>
      </c>
      <c r="H66" s="544">
        <f>G66-$K10</f>
        <v>94</v>
      </c>
      <c r="I66" s="544">
        <f>H66-$K10</f>
        <v>91</v>
      </c>
      <c r="J66" s="544"/>
      <c r="K66" s="544"/>
      <c r="L66" s="544"/>
      <c r="M66" s="545"/>
      <c r="N66" s="1155"/>
      <c r="O66" s="1155"/>
      <c r="P66" s="2630"/>
      <c r="Q66" s="504"/>
    </row>
    <row r="67" spans="1:17" ht="15.75" thickTop="1">
      <c r="A67" s="534"/>
      <c r="B67" s="546" t="s">
        <v>2552</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0"/>
      <c r="Q67" s="504"/>
    </row>
    <row r="68" spans="1:17" ht="15">
      <c r="A68" s="534"/>
      <c r="B68" s="548"/>
      <c r="C68" s="549">
        <v>0</v>
      </c>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0"/>
      <c r="Q69" s="504"/>
    </row>
    <row r="70" spans="1:17" s="471" customFormat="1" ht="15.75" hidden="1" thickTop="1">
      <c r="A70" s="553"/>
      <c r="B70" s="538">
        <f>B12</f>
        <v>0</v>
      </c>
      <c r="C70" s="554"/>
      <c r="D70" s="554"/>
      <c r="E70" s="554"/>
      <c r="F70" s="554"/>
      <c r="G70" s="554"/>
      <c r="H70" s="555"/>
      <c r="I70" s="555"/>
      <c r="J70" s="555"/>
      <c r="K70" s="555"/>
      <c r="L70" s="556"/>
      <c r="M70" s="557"/>
      <c r="N70" s="1156"/>
      <c r="O70" s="1156"/>
      <c r="P70" s="2631"/>
      <c r="Q70" s="559"/>
    </row>
    <row r="71" spans="1:17" s="471" customFormat="1" ht="15.75" hidden="1" thickBot="1">
      <c r="A71" s="553"/>
      <c r="B71" s="543"/>
      <c r="C71" s="560"/>
      <c r="D71" s="536"/>
      <c r="E71" s="536"/>
      <c r="F71" s="536"/>
      <c r="G71" s="536"/>
      <c r="H71" s="536"/>
      <c r="I71" s="536"/>
      <c r="J71" s="536"/>
      <c r="K71" s="536"/>
      <c r="L71" s="536"/>
      <c r="M71" s="537"/>
      <c r="N71" s="1155"/>
      <c r="O71" s="1155"/>
      <c r="P71" s="2631"/>
      <c r="Q71" s="559"/>
    </row>
    <row r="72" spans="1:17" s="471" customFormat="1" ht="15.75" hidden="1" thickTop="1">
      <c r="A72" s="553"/>
      <c r="B72" s="538">
        <f>B13</f>
        <v>0</v>
      </c>
      <c r="C72" s="554"/>
      <c r="D72" s="554"/>
      <c r="E72" s="554"/>
      <c r="F72" s="554"/>
      <c r="G72" s="554"/>
      <c r="H72" s="555"/>
      <c r="I72" s="555"/>
      <c r="J72" s="555"/>
      <c r="K72" s="555"/>
      <c r="L72" s="556"/>
      <c r="M72" s="557"/>
      <c r="N72" s="1156"/>
      <c r="O72" s="1156"/>
      <c r="P72" s="2632"/>
      <c r="Q72" s="561"/>
    </row>
    <row r="73" spans="1:17" s="471" customFormat="1" ht="15.75" hidden="1" thickBot="1">
      <c r="A73" s="553"/>
      <c r="B73" s="543"/>
      <c r="C73" s="560"/>
      <c r="D73" s="536"/>
      <c r="E73" s="536"/>
      <c r="F73" s="536"/>
      <c r="G73" s="560"/>
      <c r="H73" s="562"/>
      <c r="I73" s="562"/>
      <c r="J73" s="562"/>
      <c r="K73" s="562"/>
      <c r="L73" s="562"/>
      <c r="M73" s="563"/>
      <c r="N73" s="1156"/>
      <c r="O73" s="1156"/>
      <c r="P73" s="2631"/>
      <c r="Q73" s="559"/>
    </row>
    <row r="74" spans="1:17" s="471" customFormat="1" ht="15.75" hidden="1" thickTop="1">
      <c r="A74" s="553"/>
      <c r="B74" s="546">
        <f>B14</f>
        <v>0</v>
      </c>
      <c r="C74" s="554"/>
      <c r="D74" s="554"/>
      <c r="E74" s="554"/>
      <c r="F74" s="554"/>
      <c r="G74" s="523"/>
      <c r="H74" s="564"/>
      <c r="I74" s="564"/>
      <c r="J74" s="564"/>
      <c r="K74" s="564"/>
      <c r="L74" s="565"/>
      <c r="M74" s="566"/>
      <c r="N74" s="1156"/>
      <c r="O74" s="1156"/>
      <c r="P74" s="2633"/>
      <c r="Q74" s="559"/>
    </row>
    <row r="75" spans="1:17" s="471" customFormat="1" ht="15.75" hidden="1" thickBot="1">
      <c r="A75" s="568"/>
      <c r="B75" s="569"/>
      <c r="C75" s="570"/>
      <c r="D75" s="570"/>
      <c r="E75" s="570"/>
      <c r="F75" s="570"/>
      <c r="G75" s="570"/>
      <c r="H75" s="571"/>
      <c r="I75" s="571"/>
      <c r="J75" s="571"/>
      <c r="K75" s="571"/>
      <c r="L75" s="571"/>
      <c r="M75" s="572"/>
      <c r="N75" s="1156"/>
      <c r="O75" s="1156"/>
      <c r="P75" s="2631"/>
      <c r="Q75" s="559"/>
    </row>
    <row r="76" spans="1:17" ht="15" thickTop="1">
      <c r="A76" s="527" t="s">
        <v>2553</v>
      </c>
      <c r="B76" s="528" t="s">
        <v>2590</v>
      </c>
      <c r="C76" s="573" t="s">
        <v>2591</v>
      </c>
      <c r="D76" s="573" t="s">
        <v>2592</v>
      </c>
      <c r="E76" s="573" t="s">
        <v>2593</v>
      </c>
      <c r="F76" s="573" t="s">
        <v>2594</v>
      </c>
      <c r="G76" s="573" t="s">
        <v>2595</v>
      </c>
      <c r="H76" s="529"/>
      <c r="I76" s="529"/>
      <c r="J76" s="529"/>
      <c r="K76" s="574"/>
      <c r="L76" s="575"/>
      <c r="M76" s="576"/>
      <c r="N76" s="1154"/>
      <c r="O76" s="1154"/>
      <c r="P76" s="2634"/>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5"/>
      <c r="O77" s="1155"/>
      <c r="P77" s="2630"/>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4"/>
      <c r="O78" s="1154"/>
      <c r="P78" s="2630"/>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55"/>
      <c r="O79" s="1155"/>
      <c r="P79" s="2630"/>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4"/>
      <c r="O80" s="1154"/>
      <c r="P80" s="2630"/>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5"/>
      <c r="O81" s="1155"/>
      <c r="P81" s="2630"/>
      <c r="Q81" s="504"/>
    </row>
    <row r="82" spans="1:17" ht="15.75" thickTop="1">
      <c r="A82" s="534"/>
      <c r="B82" s="546" t="s">
        <v>2649</v>
      </c>
      <c r="C82" s="660" t="s">
        <v>2669</v>
      </c>
      <c r="D82" s="660" t="s">
        <v>2670</v>
      </c>
      <c r="E82" s="660" t="s">
        <v>2671</v>
      </c>
      <c r="F82" s="660" t="s">
        <v>2672</v>
      </c>
      <c r="G82" s="660" t="s">
        <v>2673</v>
      </c>
      <c r="H82" s="539"/>
      <c r="I82" s="539"/>
      <c r="J82" s="539"/>
      <c r="K82" s="539"/>
      <c r="L82" s="539"/>
      <c r="M82" s="1384"/>
      <c r="N82" s="1155"/>
      <c r="O82" s="1155"/>
      <c r="P82" s="2630"/>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5"/>
      <c r="O83" s="1155"/>
      <c r="P83" s="2630"/>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4"/>
      <c r="O84" s="1154"/>
      <c r="P84" s="2630"/>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30"/>
      <c r="Q85" s="504"/>
    </row>
    <row r="86" spans="1:17" s="117" customFormat="1" ht="15.75" thickTop="1">
      <c r="A86" s="579"/>
      <c r="B86" s="538" t="s">
        <v>2674</v>
      </c>
      <c r="C86" s="2972" t="s">
        <v>3336</v>
      </c>
      <c r="D86" s="2972" t="s">
        <v>3337</v>
      </c>
      <c r="E86" s="2972" t="s">
        <v>3338</v>
      </c>
      <c r="F86" s="2972" t="s">
        <v>3339</v>
      </c>
      <c r="G86" s="554"/>
      <c r="H86" s="554"/>
      <c r="I86" s="554"/>
      <c r="J86" s="554"/>
      <c r="K86" s="554"/>
      <c r="L86" s="580"/>
      <c r="M86" s="581"/>
      <c r="N86" s="1153"/>
      <c r="O86" s="1153"/>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0"/>
      <c r="Q87" s="504"/>
    </row>
    <row r="88" spans="1:17" s="117" customFormat="1" ht="15.75" thickTop="1">
      <c r="A88" s="579"/>
      <c r="B88" s="538" t="str">
        <f>B26</f>
        <v>平面位置/可视性</v>
      </c>
      <c r="C88" s="554" t="s">
        <v>3103</v>
      </c>
      <c r="D88" s="554" t="s">
        <v>3093</v>
      </c>
      <c r="E88" s="554" t="s">
        <v>3092</v>
      </c>
      <c r="F88" s="2635" t="s">
        <v>3131</v>
      </c>
      <c r="G88" s="554" t="s">
        <v>3132</v>
      </c>
      <c r="H88" s="554"/>
      <c r="I88" s="554"/>
      <c r="J88" s="554"/>
      <c r="K88" s="554"/>
      <c r="L88" s="554"/>
      <c r="M88" s="581"/>
      <c r="N88" s="1153"/>
      <c r="O88" s="1153"/>
      <c r="P88" s="2630"/>
      <c r="Q88" s="504"/>
    </row>
    <row r="89" spans="1:17" s="117" customFormat="1" ht="15.75" thickBot="1">
      <c r="A89" s="579"/>
      <c r="B89" s="543"/>
      <c r="C89" s="560">
        <v>100</v>
      </c>
      <c r="D89" s="536">
        <f>C89-10</f>
        <v>90</v>
      </c>
      <c r="E89" s="536">
        <f t="shared" ref="E89:G89" si="21">D89-10</f>
        <v>80</v>
      </c>
      <c r="F89" s="536">
        <f t="shared" si="21"/>
        <v>70</v>
      </c>
      <c r="G89" s="536">
        <f t="shared" si="21"/>
        <v>60</v>
      </c>
      <c r="H89" s="536"/>
      <c r="I89" s="536"/>
      <c r="J89" s="536"/>
      <c r="K89" s="536"/>
      <c r="L89" s="536"/>
      <c r="M89" s="536"/>
      <c r="N89" s="1155"/>
      <c r="O89" s="1155"/>
      <c r="P89" s="2630"/>
      <c r="Q89" s="504"/>
    </row>
    <row r="90" spans="1:17" s="471" customFormat="1" ht="15.75" thickTop="1">
      <c r="A90" s="553"/>
      <c r="B90" s="538" t="str">
        <f>B27</f>
        <v>人流量</v>
      </c>
      <c r="C90" s="2972" t="s">
        <v>3146</v>
      </c>
      <c r="D90" s="2972" t="s">
        <v>3147</v>
      </c>
      <c r="E90" s="2972" t="s">
        <v>3148</v>
      </c>
      <c r="F90" s="2972" t="s">
        <v>3149</v>
      </c>
      <c r="G90" s="2972" t="s">
        <v>3150</v>
      </c>
      <c r="H90" s="555"/>
      <c r="I90" s="555"/>
      <c r="J90" s="555"/>
      <c r="K90" s="555"/>
      <c r="L90" s="556"/>
      <c r="M90" s="557"/>
      <c r="N90" s="1156"/>
      <c r="O90" s="1156"/>
      <c r="P90" s="2631"/>
      <c r="Q90" s="559"/>
    </row>
    <row r="91" spans="1:17" s="471" customFormat="1" ht="15.75" thickBot="1">
      <c r="A91" s="553"/>
      <c r="B91" s="543"/>
      <c r="C91" s="582">
        <v>100</v>
      </c>
      <c r="D91" s="544">
        <f>C91-$K27</f>
        <v>95</v>
      </c>
      <c r="E91" s="544">
        <f t="shared" ref="E91:M91" si="22">D91-$K27</f>
        <v>90</v>
      </c>
      <c r="F91" s="544">
        <f t="shared" si="22"/>
        <v>85</v>
      </c>
      <c r="G91" s="544">
        <f t="shared" si="22"/>
        <v>80</v>
      </c>
      <c r="H91" s="544">
        <f t="shared" si="22"/>
        <v>75</v>
      </c>
      <c r="I91" s="544">
        <f t="shared" si="22"/>
        <v>70</v>
      </c>
      <c r="J91" s="544">
        <f t="shared" si="22"/>
        <v>65</v>
      </c>
      <c r="K91" s="544">
        <f t="shared" si="22"/>
        <v>60</v>
      </c>
      <c r="L91" s="544">
        <f t="shared" si="22"/>
        <v>55</v>
      </c>
      <c r="M91" s="544">
        <f t="shared" si="22"/>
        <v>50</v>
      </c>
      <c r="N91" s="1156"/>
      <c r="O91" s="1156"/>
      <c r="P91" s="2631"/>
      <c r="Q91" s="559"/>
    </row>
    <row r="92" spans="1:17" ht="15.75" thickTop="1">
      <c r="A92" s="534"/>
      <c r="B92" s="538" t="str">
        <f>B28</f>
        <v>楼层</v>
      </c>
      <c r="C92" s="554" t="s">
        <v>3129</v>
      </c>
      <c r="D92" s="2977" t="s">
        <v>3128</v>
      </c>
      <c r="E92" s="554" t="s">
        <v>3130</v>
      </c>
      <c r="F92" s="554"/>
      <c r="G92" s="554"/>
      <c r="H92" s="554"/>
      <c r="I92" s="554"/>
      <c r="J92" s="554"/>
      <c r="K92" s="554"/>
      <c r="L92" s="580"/>
      <c r="M92" s="581"/>
      <c r="N92" s="1154"/>
      <c r="O92" s="1154"/>
      <c r="P92" s="2630"/>
      <c r="Q92" s="504"/>
    </row>
    <row r="93" spans="1:17" ht="15.75" thickBot="1">
      <c r="A93" s="534"/>
      <c r="B93" s="543"/>
      <c r="C93" s="536">
        <v>100</v>
      </c>
      <c r="D93" s="536">
        <f>C93*'数据-取费表'!V23</f>
        <v>78</v>
      </c>
      <c r="E93" s="536">
        <f>C93*'数据-取费表'!V24</f>
        <v>65</v>
      </c>
      <c r="F93" s="536"/>
      <c r="G93" s="536"/>
      <c r="H93" s="536"/>
      <c r="I93" s="536"/>
      <c r="J93" s="536"/>
      <c r="K93" s="536"/>
      <c r="L93" s="536"/>
      <c r="M93" s="537"/>
      <c r="N93" s="1155"/>
      <c r="O93" s="1155"/>
      <c r="P93" s="2630"/>
      <c r="Q93" s="504"/>
    </row>
    <row r="94" spans="1:17" ht="15.75" hidden="1" thickTop="1">
      <c r="A94" s="534"/>
      <c r="B94" s="538">
        <f>B29</f>
        <v>0</v>
      </c>
      <c r="C94" s="554"/>
      <c r="D94" s="554"/>
      <c r="E94" s="554"/>
      <c r="F94" s="554"/>
      <c r="G94" s="583"/>
      <c r="H94" s="583"/>
      <c r="I94" s="583"/>
      <c r="J94" s="583"/>
      <c r="K94" s="584"/>
      <c r="L94" s="585"/>
      <c r="M94" s="586"/>
      <c r="N94" s="1154"/>
      <c r="O94" s="1154"/>
      <c r="P94" s="2630"/>
      <c r="Q94" s="504"/>
    </row>
    <row r="95" spans="1:17" ht="15.75" hidden="1" thickBot="1">
      <c r="A95" s="534"/>
      <c r="B95" s="543"/>
      <c r="C95" s="560"/>
      <c r="D95" s="536"/>
      <c r="E95" s="536"/>
      <c r="F95" s="536"/>
      <c r="G95" s="536"/>
      <c r="H95" s="536"/>
      <c r="I95" s="536"/>
      <c r="J95" s="536"/>
      <c r="K95" s="536"/>
      <c r="L95" s="536"/>
      <c r="M95" s="537"/>
      <c r="N95" s="1155"/>
      <c r="O95" s="1155"/>
      <c r="P95" s="2630"/>
      <c r="Q95" s="504"/>
    </row>
    <row r="96" spans="1:17" ht="15.75" hidden="1" thickTop="1">
      <c r="A96" s="534"/>
      <c r="B96" s="538">
        <f>B30</f>
        <v>0</v>
      </c>
      <c r="C96" s="554"/>
      <c r="D96" s="554"/>
      <c r="E96" s="554"/>
      <c r="F96" s="554"/>
      <c r="G96" s="583"/>
      <c r="H96" s="583"/>
      <c r="I96" s="583"/>
      <c r="J96" s="583"/>
      <c r="K96" s="584"/>
      <c r="L96" s="585"/>
      <c r="M96" s="586"/>
      <c r="N96" s="1154"/>
      <c r="O96" s="1154"/>
      <c r="P96" s="2630"/>
      <c r="Q96" s="504"/>
    </row>
    <row r="97" spans="1:17" ht="15.75" hidden="1" thickBot="1">
      <c r="A97" s="534"/>
      <c r="B97" s="543"/>
      <c r="C97" s="560"/>
      <c r="D97" s="536"/>
      <c r="E97" s="536"/>
      <c r="F97" s="536"/>
      <c r="G97" s="536"/>
      <c r="H97" s="536"/>
      <c r="I97" s="536"/>
      <c r="J97" s="536"/>
      <c r="K97" s="536"/>
      <c r="L97" s="536"/>
      <c r="M97" s="537"/>
      <c r="N97" s="1155"/>
      <c r="O97" s="1155"/>
      <c r="P97" s="2630"/>
      <c r="Q97" s="504"/>
    </row>
    <row r="98" spans="1:17" ht="15.75" hidden="1" thickTop="1">
      <c r="A98" s="534"/>
      <c r="B98" s="546">
        <f>B31</f>
        <v>0</v>
      </c>
      <c r="C98" s="554"/>
      <c r="D98" s="554"/>
      <c r="E98" s="554"/>
      <c r="F98" s="554"/>
      <c r="G98" s="587"/>
      <c r="H98" s="587"/>
      <c r="I98" s="587"/>
      <c r="J98" s="587"/>
      <c r="K98" s="588"/>
      <c r="L98" s="589"/>
      <c r="M98" s="590"/>
      <c r="N98" s="1154"/>
      <c r="O98" s="1154"/>
      <c r="P98" s="2630"/>
      <c r="Q98" s="504"/>
    </row>
    <row r="99" spans="1:17" ht="15.75" hidden="1" thickBot="1">
      <c r="A99" s="2636"/>
      <c r="B99" s="569"/>
      <c r="C99" s="570"/>
      <c r="D99" s="570"/>
      <c r="E99" s="570"/>
      <c r="F99" s="570"/>
      <c r="G99" s="591"/>
      <c r="H99" s="591"/>
      <c r="I99" s="591"/>
      <c r="J99" s="591"/>
      <c r="K99" s="591"/>
      <c r="L99" s="591"/>
      <c r="M99" s="592"/>
      <c r="N99" s="1155"/>
      <c r="O99" s="1155"/>
      <c r="P99" s="2630"/>
      <c r="Q99" s="504"/>
    </row>
    <row r="100" spans="1:17" ht="27.75" thickTop="1">
      <c r="A100" s="527" t="s">
        <v>2557</v>
      </c>
      <c r="B100" s="528" t="s">
        <v>2675</v>
      </c>
      <c r="C100" s="2974" t="s">
        <v>3340</v>
      </c>
      <c r="D100" s="2974" t="s">
        <v>3342</v>
      </c>
      <c r="E100" s="2974" t="s">
        <v>3344</v>
      </c>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3">C101-$K32</f>
        <v>97</v>
      </c>
      <c r="E101" s="544">
        <f t="shared" si="23"/>
        <v>94</v>
      </c>
      <c r="F101" s="544">
        <f t="shared" si="23"/>
        <v>91</v>
      </c>
      <c r="G101" s="544">
        <f t="shared" si="23"/>
        <v>88</v>
      </c>
      <c r="H101" s="544">
        <f t="shared" si="23"/>
        <v>85</v>
      </c>
      <c r="I101" s="544">
        <f t="shared" si="23"/>
        <v>82</v>
      </c>
      <c r="J101" s="544">
        <f t="shared" si="23"/>
        <v>79</v>
      </c>
      <c r="K101" s="544">
        <f t="shared" si="23"/>
        <v>76</v>
      </c>
      <c r="L101" s="544">
        <f t="shared" si="23"/>
        <v>73</v>
      </c>
      <c r="M101" s="545">
        <f t="shared" si="23"/>
        <v>70</v>
      </c>
      <c r="N101" s="1155"/>
      <c r="O101" s="1155"/>
      <c r="P101" s="2630"/>
      <c r="Q101" s="504"/>
    </row>
    <row r="102" spans="1:17" ht="15.75" thickTop="1">
      <c r="A102" s="534"/>
      <c r="B102" s="538" t="s">
        <v>2607</v>
      </c>
      <c r="C102" s="578" t="str">
        <f>C103&amp;"(含)"&amp;"-"&amp;D103</f>
        <v>0(含)-</v>
      </c>
      <c r="D102" s="578" t="str">
        <f t="shared" ref="D102:L102" si="24">D103&amp;"(含)"&amp;"-"&amp;E103</f>
        <v>(含)-</v>
      </c>
      <c r="E102" s="578" t="str">
        <f t="shared" si="24"/>
        <v>(含)-</v>
      </c>
      <c r="F102" s="578" t="str">
        <f t="shared" si="24"/>
        <v>(含)-</v>
      </c>
      <c r="G102" s="578" t="str">
        <f t="shared" si="24"/>
        <v>(含)-</v>
      </c>
      <c r="H102" s="578" t="str">
        <f t="shared" si="24"/>
        <v>(含)-</v>
      </c>
      <c r="I102" s="578" t="str">
        <f t="shared" si="24"/>
        <v>(含)-</v>
      </c>
      <c r="J102" s="578" t="str">
        <f t="shared" si="24"/>
        <v>(含)-</v>
      </c>
      <c r="K102" s="578" t="str">
        <f t="shared" si="24"/>
        <v>(含)-</v>
      </c>
      <c r="L102" s="578" t="str">
        <f t="shared" si="24"/>
        <v>(含)-</v>
      </c>
      <c r="M102" s="622" t="str">
        <f>M103&amp;"(含)"&amp;"-"&amp;P103</f>
        <v>(含)-</v>
      </c>
      <c r="N102" s="1153"/>
      <c r="O102" s="1153"/>
      <c r="P102" s="2630"/>
      <c r="Q102" s="504"/>
    </row>
    <row r="103" spans="1:17" s="471" customFormat="1">
      <c r="A103" s="593"/>
      <c r="B103" s="594"/>
      <c r="C103" s="595">
        <v>0</v>
      </c>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1"/>
      <c r="Q104" s="559"/>
    </row>
    <row r="105" spans="1:17" ht="15" thickTop="1">
      <c r="A105" s="599"/>
      <c r="B105" s="538" t="s">
        <v>2608</v>
      </c>
      <c r="C105" s="2972" t="s">
        <v>3133</v>
      </c>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5">
        <f t="shared" si="25"/>
        <v>80</v>
      </c>
      <c r="N106" s="1155"/>
      <c r="O106" s="1155"/>
      <c r="P106" s="2630"/>
      <c r="Q106" s="504"/>
    </row>
    <row r="107" spans="1:17" ht="15" thickTop="1">
      <c r="A107" s="599"/>
      <c r="B107" s="538" t="s">
        <v>2610</v>
      </c>
      <c r="C107" s="2972" t="s">
        <v>3134</v>
      </c>
      <c r="D107" s="554"/>
      <c r="E107" s="554"/>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6">C108-$K35</f>
        <v>98</v>
      </c>
      <c r="E108" s="544">
        <f t="shared" si="26"/>
        <v>96</v>
      </c>
      <c r="F108" s="544">
        <f t="shared" si="26"/>
        <v>94</v>
      </c>
      <c r="G108" s="544">
        <f t="shared" si="26"/>
        <v>92</v>
      </c>
      <c r="H108" s="544">
        <f t="shared" si="26"/>
        <v>90</v>
      </c>
      <c r="I108" s="544">
        <f t="shared" si="26"/>
        <v>88</v>
      </c>
      <c r="J108" s="544">
        <f t="shared" si="26"/>
        <v>86</v>
      </c>
      <c r="K108" s="544">
        <f t="shared" si="26"/>
        <v>84</v>
      </c>
      <c r="L108" s="544">
        <f t="shared" si="26"/>
        <v>82</v>
      </c>
      <c r="M108" s="545">
        <f t="shared" si="26"/>
        <v>80</v>
      </c>
      <c r="N108" s="1155"/>
      <c r="O108" s="1155"/>
      <c r="P108" s="2630"/>
      <c r="Q108" s="504"/>
    </row>
    <row r="109" spans="1:17" ht="29.2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0"/>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0"/>
      <c r="Q110" s="504"/>
    </row>
    <row r="111" spans="1:17" ht="15.75" thickBot="1">
      <c r="A111" s="534"/>
      <c r="B111" s="543"/>
      <c r="C111" s="582">
        <v>100</v>
      </c>
      <c r="D111" s="544">
        <f>C111+$K36</f>
        <v>100</v>
      </c>
      <c r="E111" s="544">
        <f t="shared" ref="E111:M111" si="27">D111+$K36</f>
        <v>100</v>
      </c>
      <c r="F111" s="544">
        <f t="shared" si="27"/>
        <v>100</v>
      </c>
      <c r="G111" s="544">
        <f t="shared" si="27"/>
        <v>100</v>
      </c>
      <c r="H111" s="544">
        <f t="shared" si="27"/>
        <v>100</v>
      </c>
      <c r="I111" s="544">
        <f t="shared" si="27"/>
        <v>100</v>
      </c>
      <c r="J111" s="544">
        <f t="shared" si="27"/>
        <v>100</v>
      </c>
      <c r="K111" s="544">
        <f t="shared" si="27"/>
        <v>100</v>
      </c>
      <c r="L111" s="544">
        <f t="shared" si="27"/>
        <v>100</v>
      </c>
      <c r="M111" s="544">
        <f t="shared" si="27"/>
        <v>100</v>
      </c>
      <c r="N111" s="1155"/>
      <c r="O111" s="1155"/>
      <c r="P111" s="2630"/>
      <c r="Q111" s="504"/>
    </row>
    <row r="112" spans="1:17" s="471" customFormat="1" ht="15" thickTop="1">
      <c r="A112" s="593"/>
      <c r="B112" s="538" t="s">
        <v>2612</v>
      </c>
      <c r="C112" s="2972" t="s">
        <v>3135</v>
      </c>
      <c r="D112" s="554"/>
      <c r="E112" s="554"/>
      <c r="F112" s="554"/>
      <c r="G112" s="554"/>
      <c r="H112" s="583"/>
      <c r="I112" s="583"/>
      <c r="J112" s="583"/>
      <c r="K112" s="584"/>
      <c r="L112" s="585"/>
      <c r="M112" s="586"/>
      <c r="N112" s="1156"/>
      <c r="O112" s="1156"/>
      <c r="P112" s="2631"/>
      <c r="Q112" s="559"/>
    </row>
    <row r="113" spans="1:17" s="471" customFormat="1" ht="15.75" thickBot="1">
      <c r="A113" s="553"/>
      <c r="B113" s="543"/>
      <c r="C113" s="544">
        <v>100</v>
      </c>
      <c r="D113" s="544">
        <f>C113-$K37</f>
        <v>100</v>
      </c>
      <c r="E113" s="544">
        <f t="shared" ref="E113:M113" si="28">D113-$K37</f>
        <v>100</v>
      </c>
      <c r="F113" s="544">
        <f t="shared" si="28"/>
        <v>100</v>
      </c>
      <c r="G113" s="544">
        <f t="shared" si="28"/>
        <v>100</v>
      </c>
      <c r="H113" s="544">
        <f t="shared" si="28"/>
        <v>100</v>
      </c>
      <c r="I113" s="544">
        <f t="shared" si="28"/>
        <v>100</v>
      </c>
      <c r="J113" s="544">
        <f t="shared" si="28"/>
        <v>100</v>
      </c>
      <c r="K113" s="544">
        <f t="shared" si="28"/>
        <v>100</v>
      </c>
      <c r="L113" s="544">
        <f t="shared" si="28"/>
        <v>100</v>
      </c>
      <c r="M113" s="544">
        <f t="shared" si="28"/>
        <v>100</v>
      </c>
      <c r="N113" s="1156"/>
      <c r="O113" s="1156"/>
      <c r="P113" s="2631"/>
      <c r="Q113" s="559"/>
    </row>
    <row r="114" spans="1:17" ht="15" thickTop="1">
      <c r="A114" s="599"/>
      <c r="B114" s="538" t="s">
        <v>2676</v>
      </c>
      <c r="C114" s="2972" t="s">
        <v>3136</v>
      </c>
      <c r="D114" s="2972" t="s">
        <v>3137</v>
      </c>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29">C115-$K38</f>
        <v>100</v>
      </c>
      <c r="E115" s="544">
        <f t="shared" si="29"/>
        <v>100</v>
      </c>
      <c r="F115" s="544">
        <f t="shared" si="29"/>
        <v>100</v>
      </c>
      <c r="G115" s="544">
        <f t="shared" si="29"/>
        <v>100</v>
      </c>
      <c r="H115" s="544">
        <f t="shared" si="29"/>
        <v>100</v>
      </c>
      <c r="I115" s="544">
        <f t="shared" si="29"/>
        <v>100</v>
      </c>
      <c r="J115" s="544">
        <f t="shared" si="29"/>
        <v>100</v>
      </c>
      <c r="K115" s="544">
        <f t="shared" si="29"/>
        <v>100</v>
      </c>
      <c r="L115" s="544">
        <f t="shared" si="29"/>
        <v>100</v>
      </c>
      <c r="M115" s="545">
        <f t="shared" si="29"/>
        <v>100</v>
      </c>
      <c r="N115" s="1155"/>
      <c r="O115" s="1155"/>
      <c r="P115" s="2630"/>
      <c r="Q115" s="504"/>
    </row>
    <row r="116" spans="1:17" ht="15" thickTop="1">
      <c r="A116" s="599"/>
      <c r="B116" s="538" t="s">
        <v>2677</v>
      </c>
      <c r="C116" s="554" t="s">
        <v>3345</v>
      </c>
      <c r="D116" s="2972" t="s">
        <v>3347</v>
      </c>
      <c r="E116" s="2972" t="s">
        <v>3348</v>
      </c>
      <c r="F116" s="554"/>
      <c r="G116" s="554"/>
      <c r="H116" s="583"/>
      <c r="I116" s="583"/>
      <c r="J116" s="583"/>
      <c r="K116" s="584"/>
      <c r="L116" s="585"/>
      <c r="M116" s="586"/>
      <c r="N116" s="1154"/>
      <c r="O116" s="1154"/>
      <c r="P116" s="2630"/>
      <c r="Q116" s="504"/>
    </row>
    <row r="117" spans="1:17" ht="15.75" thickBot="1">
      <c r="A117" s="534"/>
      <c r="B117" s="543"/>
      <c r="C117" s="544">
        <v>100</v>
      </c>
      <c r="D117" s="544">
        <f>C117-$K39</f>
        <v>97</v>
      </c>
      <c r="E117" s="544">
        <f>D117-$K39</f>
        <v>94</v>
      </c>
      <c r="F117" s="544">
        <f>E117-$K39</f>
        <v>91</v>
      </c>
      <c r="G117" s="544">
        <f>F117-$K39</f>
        <v>88</v>
      </c>
      <c r="H117" s="544"/>
      <c r="I117" s="544"/>
      <c r="J117" s="544"/>
      <c r="K117" s="544"/>
      <c r="L117" s="544"/>
      <c r="M117" s="545"/>
      <c r="N117" s="1155"/>
      <c r="O117" s="1155"/>
      <c r="P117" s="2630"/>
      <c r="Q117" s="504"/>
    </row>
    <row r="118" spans="1:17" ht="15" thickTop="1">
      <c r="A118" s="599"/>
      <c r="B118" s="538" t="s">
        <v>2678</v>
      </c>
      <c r="C118" s="627"/>
      <c r="D118" s="627"/>
      <c r="E118" s="627"/>
      <c r="F118" s="627"/>
      <c r="G118" s="627"/>
      <c r="H118" s="555"/>
      <c r="I118" s="555"/>
      <c r="J118" s="555"/>
      <c r="K118" s="555"/>
      <c r="L118" s="556"/>
      <c r="M118" s="557"/>
      <c r="N118" s="1154"/>
      <c r="O118" s="1154"/>
      <c r="P118" s="2630"/>
      <c r="Q118" s="504"/>
    </row>
    <row r="119" spans="1:17" ht="15.75" thickBot="1">
      <c r="A119" s="534"/>
      <c r="B119" s="543"/>
      <c r="C119" s="560"/>
      <c r="D119" s="536"/>
      <c r="E119" s="536"/>
      <c r="F119" s="536"/>
      <c r="G119" s="536"/>
      <c r="H119" s="536"/>
      <c r="I119" s="536"/>
      <c r="J119" s="536"/>
      <c r="K119" s="536"/>
      <c r="L119" s="536"/>
      <c r="M119" s="537"/>
      <c r="N119" s="1155"/>
      <c r="O119" s="1155"/>
      <c r="P119" s="2630"/>
      <c r="Q119" s="504"/>
    </row>
    <row r="120" spans="1:17" s="471" customFormat="1" ht="15" thickTop="1">
      <c r="A120" s="593"/>
      <c r="B120" s="538" t="s">
        <v>2679</v>
      </c>
      <c r="C120" s="583"/>
      <c r="D120" s="583"/>
      <c r="E120" s="583"/>
      <c r="F120" s="583"/>
      <c r="G120" s="555"/>
      <c r="H120" s="555"/>
      <c r="I120" s="555"/>
      <c r="J120" s="555"/>
      <c r="K120" s="555"/>
      <c r="L120" s="556"/>
      <c r="M120" s="557"/>
      <c r="N120" s="1156"/>
      <c r="O120" s="1156"/>
      <c r="P120" s="2631"/>
      <c r="Q120" s="559"/>
    </row>
    <row r="121" spans="1:17" s="471" customFormat="1" ht="15.75" thickBot="1">
      <c r="A121" s="553"/>
      <c r="B121" s="535"/>
      <c r="C121" s="582">
        <v>100</v>
      </c>
      <c r="D121" s="544">
        <f>C121-$K41</f>
        <v>100</v>
      </c>
      <c r="E121" s="544">
        <f t="shared" ref="E121:M121" si="30">D121-$K41</f>
        <v>100</v>
      </c>
      <c r="F121" s="544">
        <f t="shared" si="30"/>
        <v>100</v>
      </c>
      <c r="G121" s="544">
        <f t="shared" si="30"/>
        <v>100</v>
      </c>
      <c r="H121" s="544">
        <f t="shared" si="30"/>
        <v>100</v>
      </c>
      <c r="I121" s="544">
        <f t="shared" si="30"/>
        <v>100</v>
      </c>
      <c r="J121" s="544">
        <f t="shared" si="30"/>
        <v>100</v>
      </c>
      <c r="K121" s="544">
        <f t="shared" si="30"/>
        <v>100</v>
      </c>
      <c r="L121" s="544">
        <f t="shared" si="30"/>
        <v>100</v>
      </c>
      <c r="M121" s="545">
        <f t="shared" si="30"/>
        <v>100</v>
      </c>
      <c r="N121" s="1156"/>
      <c r="O121" s="1156"/>
      <c r="P121" s="2631"/>
      <c r="Q121" s="559"/>
    </row>
    <row r="122" spans="1:17" ht="15" thickTop="1">
      <c r="A122" s="599"/>
      <c r="B122" s="538" t="s">
        <v>2614</v>
      </c>
      <c r="C122" s="2972" t="s">
        <v>3140</v>
      </c>
      <c r="D122" s="2972" t="s">
        <v>3141</v>
      </c>
      <c r="E122" s="2972" t="s">
        <v>3139</v>
      </c>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1">C123-$K42</f>
        <v>98</v>
      </c>
      <c r="E123" s="544">
        <f t="shared" si="31"/>
        <v>96</v>
      </c>
      <c r="F123" s="544">
        <f t="shared" si="31"/>
        <v>94</v>
      </c>
      <c r="G123" s="544">
        <f t="shared" si="31"/>
        <v>92</v>
      </c>
      <c r="H123" s="544">
        <f t="shared" si="31"/>
        <v>90</v>
      </c>
      <c r="I123" s="544">
        <f t="shared" si="31"/>
        <v>88</v>
      </c>
      <c r="J123" s="544">
        <f t="shared" si="31"/>
        <v>86</v>
      </c>
      <c r="K123" s="544">
        <f t="shared" si="31"/>
        <v>84</v>
      </c>
      <c r="L123" s="544">
        <f t="shared" si="31"/>
        <v>82</v>
      </c>
      <c r="M123" s="545">
        <f t="shared" si="31"/>
        <v>80</v>
      </c>
      <c r="N123" s="1155"/>
      <c r="O123" s="1155"/>
      <c r="P123" s="2630"/>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4"/>
      <c r="O124" s="1154"/>
      <c r="P124" s="2631"/>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5"/>
      <c r="O125" s="1155"/>
      <c r="P125" s="2630"/>
      <c r="Q125" s="504"/>
    </row>
    <row r="126" spans="1:17" s="471" customFormat="1" ht="15" hidden="1" thickTop="1">
      <c r="A126" s="593"/>
      <c r="B126" s="538">
        <f>B44</f>
        <v>0</v>
      </c>
      <c r="C126" s="554"/>
      <c r="D126" s="554"/>
      <c r="E126" s="554"/>
      <c r="F126" s="554"/>
      <c r="G126" s="554"/>
      <c r="H126" s="555"/>
      <c r="I126" s="555"/>
      <c r="J126" s="555"/>
      <c r="K126" s="555"/>
      <c r="L126" s="556"/>
      <c r="M126" s="557"/>
      <c r="N126" s="1156"/>
      <c r="O126" s="1156"/>
      <c r="P126" s="2631"/>
      <c r="Q126" s="559"/>
    </row>
    <row r="127" spans="1:17" s="471" customFormat="1" ht="15.75" hidden="1" thickBot="1">
      <c r="A127" s="553"/>
      <c r="B127" s="543"/>
      <c r="C127" s="560"/>
      <c r="D127" s="536"/>
      <c r="E127" s="536"/>
      <c r="F127" s="536"/>
      <c r="G127" s="560"/>
      <c r="H127" s="562"/>
      <c r="I127" s="562"/>
      <c r="J127" s="562"/>
      <c r="K127" s="562"/>
      <c r="L127" s="562"/>
      <c r="M127" s="563"/>
      <c r="N127" s="1156"/>
      <c r="O127" s="1156"/>
      <c r="P127" s="2631"/>
      <c r="Q127" s="559"/>
    </row>
    <row r="128" spans="1:17" ht="15" hidden="1" thickTop="1">
      <c r="A128" s="599"/>
      <c r="B128" s="538">
        <f>B45</f>
        <v>0</v>
      </c>
      <c r="C128" s="554"/>
      <c r="D128" s="554"/>
      <c r="E128" s="554"/>
      <c r="F128" s="554"/>
      <c r="G128" s="583"/>
      <c r="H128" s="583"/>
      <c r="I128" s="583"/>
      <c r="J128" s="583"/>
      <c r="K128" s="584"/>
      <c r="L128" s="585"/>
      <c r="M128" s="586"/>
      <c r="N128" s="1154"/>
      <c r="O128" s="1154"/>
      <c r="P128" s="2630"/>
      <c r="Q128" s="504"/>
    </row>
    <row r="129" spans="1:17" ht="15.75" hidden="1" thickBot="1">
      <c r="A129" s="534"/>
      <c r="B129" s="543"/>
      <c r="C129" s="560"/>
      <c r="D129" s="536"/>
      <c r="E129" s="536"/>
      <c r="F129" s="536"/>
      <c r="G129" s="536"/>
      <c r="H129" s="536"/>
      <c r="I129" s="536"/>
      <c r="J129" s="536"/>
      <c r="K129" s="536"/>
      <c r="L129" s="536"/>
      <c r="M129" s="537"/>
      <c r="N129" s="1155"/>
      <c r="O129" s="1155"/>
      <c r="P129" s="2630"/>
      <c r="Q129" s="504"/>
    </row>
    <row r="130" spans="1:17" ht="15" hidden="1" thickTop="1">
      <c r="A130" s="599"/>
      <c r="B130" s="546">
        <f>B46</f>
        <v>0</v>
      </c>
      <c r="C130" s="554"/>
      <c r="D130" s="554"/>
      <c r="E130" s="554"/>
      <c r="F130" s="554"/>
      <c r="G130" s="587"/>
      <c r="H130" s="587"/>
      <c r="I130" s="587"/>
      <c r="J130" s="587"/>
      <c r="K130" s="523"/>
      <c r="L130" s="524"/>
      <c r="M130" s="590"/>
      <c r="N130" s="1154"/>
      <c r="O130" s="1154"/>
      <c r="P130" s="2630"/>
      <c r="Q130" s="504"/>
    </row>
    <row r="131" spans="1:17" ht="15.75" hidden="1" thickBot="1">
      <c r="A131" s="2636"/>
      <c r="B131" s="569"/>
      <c r="C131" s="570"/>
      <c r="D131" s="570"/>
      <c r="E131" s="570"/>
      <c r="F131" s="570"/>
      <c r="G131" s="591"/>
      <c r="H131" s="591"/>
      <c r="I131" s="591"/>
      <c r="J131" s="591"/>
      <c r="K131" s="591"/>
      <c r="L131" s="591"/>
      <c r="M131" s="592"/>
      <c r="N131" s="1155"/>
      <c r="O131" s="1155"/>
      <c r="P131" s="2630"/>
      <c r="Q131" s="504"/>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49" priority="17" stopIfTrue="1" operator="containsText" text="超过">
      <formula>NOT(ISERROR(SEARCH("超过",F52)))</formula>
    </cfRule>
  </conditionalFormatting>
  <conditionalFormatting sqref="H54">
    <cfRule type="containsText" dxfId="48" priority="15" stopIfTrue="1" operator="containsText" text="超过">
      <formula>NOT(ISERROR(SEARCH("超过",H54)))</formula>
    </cfRule>
  </conditionalFormatting>
  <conditionalFormatting sqref="F54">
    <cfRule type="containsText" dxfId="47" priority="14" stopIfTrue="1" operator="containsText" text="超过">
      <formula>NOT(ISERROR(SEARCH("超过",F54)))</formula>
    </cfRule>
  </conditionalFormatting>
  <conditionalFormatting sqref="F53 H53">
    <cfRule type="containsText" dxfId="46" priority="13" stopIfTrue="1" operator="containsText" text="超过">
      <formula>NOT(ISERROR(SEARCH("超过",F53)))</formula>
    </cfRule>
  </conditionalFormatting>
  <conditionalFormatting sqref="E52">
    <cfRule type="expression" dxfId="45" priority="12" stopIfTrue="1">
      <formula>$F$52="超过30%"</formula>
    </cfRule>
  </conditionalFormatting>
  <conditionalFormatting sqref="E53">
    <cfRule type="expression" dxfId="44" priority="11" stopIfTrue="1">
      <formula>$F$53="超过20%"</formula>
    </cfRule>
  </conditionalFormatting>
  <conditionalFormatting sqref="E54">
    <cfRule type="expression" dxfId="43" priority="10" stopIfTrue="1">
      <formula>$F$54="超过30%"</formula>
    </cfRule>
  </conditionalFormatting>
  <conditionalFormatting sqref="G54">
    <cfRule type="expression" dxfId="42" priority="9" stopIfTrue="1">
      <formula>$H$54="超过30%"</formula>
    </cfRule>
  </conditionalFormatting>
  <conditionalFormatting sqref="G52">
    <cfRule type="expression" dxfId="41" priority="8" stopIfTrue="1">
      <formula>$H$52="超过30%"</formula>
    </cfRule>
  </conditionalFormatting>
  <conditionalFormatting sqref="G53">
    <cfRule type="expression" dxfId="40" priority="7" stopIfTrue="1">
      <formula>$H$53="超过20%"</formula>
    </cfRule>
  </conditionalFormatting>
  <conditionalFormatting sqref="J52">
    <cfRule type="containsText" dxfId="39" priority="6" stopIfTrue="1" operator="containsText" text="超过">
      <formula>NOT(ISERROR(SEARCH("超过",J52)))</formula>
    </cfRule>
  </conditionalFormatting>
  <conditionalFormatting sqref="J54">
    <cfRule type="containsText" dxfId="38" priority="5" stopIfTrue="1" operator="containsText" text="超过">
      <formula>NOT(ISERROR(SEARCH("超过",J54)))</formula>
    </cfRule>
  </conditionalFormatting>
  <conditionalFormatting sqref="J53">
    <cfRule type="containsText" dxfId="37" priority="4" stopIfTrue="1" operator="containsText" text="超过">
      <formula>NOT(ISERROR(SEARCH("超过",J53)))</formula>
    </cfRule>
  </conditionalFormatting>
  <conditionalFormatting sqref="I52">
    <cfRule type="expression" dxfId="36" priority="3" stopIfTrue="1">
      <formula>$J$52="超过30%"</formula>
    </cfRule>
  </conditionalFormatting>
  <conditionalFormatting sqref="I53">
    <cfRule type="expression" dxfId="35" priority="2" stopIfTrue="1">
      <formula>$J$53="超过20%"</formula>
    </cfRule>
  </conditionalFormatting>
  <conditionalFormatting sqref="I54">
    <cfRule type="expression" dxfId="3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topLeftCell="A4" zoomScale="80" zoomScaleNormal="80" zoomScaleSheetLayoutView="90" zoomScalePageLayoutView="70" workbookViewId="0">
      <selection activeCell="I39" sqref="I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7" customWidth="1"/>
    <col min="12" max="12" width="16.375" style="302" customWidth="1"/>
    <col min="13" max="13" width="13" style="302" customWidth="1"/>
    <col min="14" max="14" width="13.875" style="1844" customWidth="1"/>
    <col min="15" max="15" width="5.125" style="1844" customWidth="1"/>
    <col min="16" max="16" width="25.875" style="1844" customWidth="1"/>
    <col min="17" max="17" width="13.875" style="1844" customWidth="1"/>
    <col min="18" max="18" width="20.5" style="1844" customWidth="1"/>
    <col min="19" max="19" width="13.125" style="1844" customWidth="1"/>
    <col min="20" max="37" width="9" style="1844"/>
    <col min="38" max="16384" width="9" style="302"/>
  </cols>
  <sheetData>
    <row r="1" spans="1:37" s="337" customFormat="1" ht="21">
      <c r="A1" s="1835" t="s">
        <v>1585</v>
      </c>
      <c r="B1" s="782"/>
      <c r="C1" s="1839" t="s">
        <v>1373</v>
      </c>
      <c r="D1" s="1822" t="s">
        <v>70</v>
      </c>
      <c r="E1" s="1823" t="s">
        <v>1383</v>
      </c>
      <c r="F1" s="1285">
        <f ca="1">J53</f>
        <v>37.39</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22414</v>
      </c>
      <c r="C2" s="1847" t="s">
        <v>1512</v>
      </c>
      <c r="D2" s="1847"/>
      <c r="E2" s="1848"/>
      <c r="F2" s="1849"/>
      <c r="G2" s="1850"/>
      <c r="H2" s="1842"/>
      <c r="I2" s="1842"/>
      <c r="J2" s="1842"/>
      <c r="K2" s="1843"/>
      <c r="L2" s="1842"/>
      <c r="M2" s="1842"/>
    </row>
    <row r="3" spans="1:37" ht="18" customHeight="1" thickBot="1">
      <c r="A3" s="1851" t="s">
        <v>1513</v>
      </c>
      <c r="B3" s="1852">
        <f ca="1">IF(ISERROR(B2*10000/F43),0,ROUND(B2*10000/F43,0))</f>
        <v>46408</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1321</v>
      </c>
      <c r="D5" s="1824" t="s">
        <v>1398</v>
      </c>
      <c r="E5" s="1295"/>
      <c r="F5" s="1296"/>
      <c r="G5" s="1853"/>
      <c r="H5" s="344">
        <v>1</v>
      </c>
      <c r="I5" s="345" t="s">
        <v>1397</v>
      </c>
      <c r="J5" s="1294">
        <f ca="1">J6+J10+J12</f>
        <v>0</v>
      </c>
      <c r="K5" s="1824" t="s">
        <v>1398</v>
      </c>
      <c r="L5" s="1295"/>
      <c r="M5" s="1296"/>
    </row>
    <row r="6" spans="1:37" ht="18" customHeight="1">
      <c r="A6" s="1293" t="s">
        <v>1032</v>
      </c>
      <c r="B6" s="3359" t="s">
        <v>1399</v>
      </c>
      <c r="C6" s="1298">
        <f ca="1">ROUND(F6*F8*F7*(1-F9)/10000,0)</f>
        <v>1321</v>
      </c>
      <c r="D6" s="164" t="s">
        <v>3028</v>
      </c>
      <c r="E6" s="347" t="s">
        <v>1401</v>
      </c>
      <c r="F6" s="348">
        <f ca="1">INDIRECT("'数据-取费表'!u"&amp;$G$1)</f>
        <v>240</v>
      </c>
      <c r="G6" s="1853"/>
      <c r="H6" s="1293" t="s">
        <v>1032</v>
      </c>
      <c r="I6" s="3359" t="s">
        <v>1399</v>
      </c>
      <c r="J6" s="346">
        <f ca="1">ROUND(M6*M8*M7*(1-M9)/10000,0)</f>
        <v>0</v>
      </c>
      <c r="K6" s="164" t="s">
        <v>3027</v>
      </c>
      <c r="L6" s="347" t="s">
        <v>1401</v>
      </c>
      <c r="M6" s="348">
        <f ca="1">INDIRECT("'数据-取费表'!z"&amp;$G$1)</f>
        <v>0</v>
      </c>
    </row>
    <row r="7" spans="1:37" ht="18" customHeight="1">
      <c r="A7" s="1297"/>
      <c r="B7" s="3360"/>
      <c r="C7" s="1299"/>
      <c r="D7" s="352"/>
      <c r="E7" s="2961" t="s">
        <v>1402</v>
      </c>
      <c r="F7" s="348">
        <f ca="1">IF(INDIRECT("'数据-取费表'!ah"&amp;$G$1)="",INDIRECT("'数据-取费表'!k"&amp;$G$1),INDIRECT("'数据-取费表'!ah"&amp;$G$1))</f>
        <v>4829.75</v>
      </c>
      <c r="G7" s="1853"/>
      <c r="H7" s="349"/>
      <c r="I7" s="3360"/>
      <c r="J7" s="351"/>
      <c r="K7" s="352"/>
      <c r="L7" s="347" t="s">
        <v>1402</v>
      </c>
      <c r="M7" s="348">
        <f ca="1">F7</f>
        <v>4829.75</v>
      </c>
    </row>
    <row r="8" spans="1:37" ht="18" customHeight="1">
      <c r="A8" s="349"/>
      <c r="B8" s="3360"/>
      <c r="C8" s="351"/>
      <c r="D8" s="352"/>
      <c r="E8" s="347" t="s">
        <v>1403</v>
      </c>
      <c r="F8" s="348">
        <f ca="1">INDIRECT("'数据-取费表'!ai"&amp;$G$1)</f>
        <v>12</v>
      </c>
      <c r="G8" s="1853"/>
      <c r="H8" s="349"/>
      <c r="I8" s="3360"/>
      <c r="J8" s="351"/>
      <c r="K8" s="352"/>
      <c r="L8" s="347" t="s">
        <v>1403</v>
      </c>
      <c r="M8" s="348">
        <f ca="1">INDIRECT("'数据-取费表'!ai"&amp;$G$1)</f>
        <v>12</v>
      </c>
    </row>
    <row r="9" spans="1:37" ht="18" customHeight="1">
      <c r="A9" s="349"/>
      <c r="B9" s="3361"/>
      <c r="C9" s="351"/>
      <c r="D9" s="352"/>
      <c r="E9" s="347" t="s">
        <v>1404</v>
      </c>
      <c r="F9" s="357">
        <f ca="1">INDIRECT("'数据-取费表'!w"&amp;$G$1)</f>
        <v>0.05</v>
      </c>
      <c r="G9" s="1853"/>
      <c r="H9" s="349"/>
      <c r="I9" s="3361"/>
      <c r="J9" s="351"/>
      <c r="K9" s="352"/>
      <c r="L9" s="358" t="s">
        <v>1404</v>
      </c>
      <c r="M9" s="359">
        <f ca="1">INDIRECT("'数据-取费表'!ab"&amp;$G$1)</f>
        <v>0</v>
      </c>
    </row>
    <row r="10" spans="1:37" ht="18" customHeight="1">
      <c r="A10" s="1293" t="s">
        <v>1036</v>
      </c>
      <c r="B10" s="1825" t="s">
        <v>1405</v>
      </c>
      <c r="C10" s="361">
        <f ca="1">ROUND(IF(F10="押一",C6/12*F11,IF(F10="押二",C6/12*2*F11,IF(F10="押三",C6/12*3*F11,C11*F11))),0)</f>
        <v>0</v>
      </c>
      <c r="D10" s="1826" t="s">
        <v>3037</v>
      </c>
      <c r="E10" s="358" t="s">
        <v>1406</v>
      </c>
      <c r="F10" s="1368"/>
      <c r="G10" s="1853"/>
      <c r="H10" s="1293" t="s">
        <v>1036</v>
      </c>
      <c r="I10" s="1825" t="s">
        <v>1405</v>
      </c>
      <c r="J10" s="346">
        <f ca="1">ROUND(IF(M10="押一",J6/12*M11,IF(M10="押二",J6/12*2*M11,IF(M10="押三",J6/12*3*M11,J11*M11))),0)</f>
        <v>0</v>
      </c>
      <c r="K10" s="1826" t="s">
        <v>3036</v>
      </c>
      <c r="L10" s="358" t="s">
        <v>1406</v>
      </c>
      <c r="M10" s="1368" t="s">
        <v>1407</v>
      </c>
    </row>
    <row r="11" spans="1:37" ht="18" customHeight="1">
      <c r="A11" s="353"/>
      <c r="B11" s="1827" t="s">
        <v>1384</v>
      </c>
      <c r="C11" s="1180"/>
      <c r="D11" s="1828"/>
      <c r="E11" s="358" t="s">
        <v>1408</v>
      </c>
      <c r="F11" s="359">
        <f ca="1">'数据-取费表'!B39</f>
        <v>1.4999999999999999E-2</v>
      </c>
      <c r="G11" s="1853"/>
      <c r="H11" s="1301"/>
      <c r="I11" s="1827" t="s">
        <v>1384</v>
      </c>
      <c r="J11" s="1180"/>
      <c r="K11" s="748"/>
      <c r="L11" s="358"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3615</v>
      </c>
      <c r="D13" s="1333" t="s">
        <v>1411</v>
      </c>
      <c r="E13" s="1333" t="s">
        <v>1412</v>
      </c>
      <c r="F13" s="1334">
        <f ca="1">INDIRECT("'数据-取费表'!y"&amp;$G$1)</f>
        <v>1</v>
      </c>
      <c r="G13" s="1853"/>
      <c r="H13" s="1331">
        <v>2</v>
      </c>
      <c r="I13" s="1332" t="s">
        <v>1410</v>
      </c>
      <c r="J13" s="1292">
        <f ca="1">ROUND(J14*J15,0)</f>
        <v>0</v>
      </c>
      <c r="K13" s="1339" t="s">
        <v>1411</v>
      </c>
      <c r="L13" s="1854"/>
      <c r="M13" s="1855"/>
    </row>
    <row r="14" spans="1:37" ht="18" customHeight="1">
      <c r="A14" s="1203" t="s">
        <v>1031</v>
      </c>
      <c r="B14" s="347" t="s">
        <v>1413</v>
      </c>
      <c r="C14" s="363">
        <f ca="1">INDIRECT("'数据-取费表'!m"&amp;$G$1)+INDIRECT("'数据-取费表'!t"&amp;$G$1)</f>
        <v>2415</v>
      </c>
      <c r="D14" s="2948" t="s">
        <v>1414</v>
      </c>
      <c r="E14" s="2943"/>
      <c r="F14" s="364"/>
      <c r="G14" s="1853"/>
      <c r="H14" s="1203" t="s">
        <v>1032</v>
      </c>
      <c r="I14" s="347" t="s">
        <v>1415</v>
      </c>
      <c r="J14" s="24">
        <f ca="1">C29</f>
        <v>3615</v>
      </c>
      <c r="K14" s="2960"/>
      <c r="L14" s="981"/>
      <c r="M14" s="982"/>
    </row>
    <row r="15" spans="1:37" s="1860" customFormat="1" ht="18" customHeight="1" thickBot="1">
      <c r="A15" s="1203" t="s">
        <v>1033</v>
      </c>
      <c r="B15" s="347" t="s">
        <v>1416</v>
      </c>
      <c r="C15" s="24">
        <f ca="1">ROUND(C14*F15,0)</f>
        <v>72</v>
      </c>
      <c r="D15" s="365" t="s">
        <v>1417</v>
      </c>
      <c r="E15" s="365" t="s">
        <v>1418</v>
      </c>
      <c r="F15" s="366">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1419</v>
      </c>
      <c r="C16" s="24">
        <f ca="1">ROUND(INDIRECT("'数据-取费表'!m"&amp;$G$1)*F16,0)</f>
        <v>0</v>
      </c>
      <c r="D16" s="347" t="s">
        <v>1417</v>
      </c>
      <c r="E16" s="347" t="s">
        <v>1418</v>
      </c>
      <c r="F16" s="367">
        <f ca="1">IF(INDIRECT("'数据-取费表'!c"&amp;$G$1)="住宅",'数据-取费表'!B34,0)</f>
        <v>0</v>
      </c>
      <c r="G16" s="1853"/>
      <c r="H16" s="1331" t="s">
        <v>1027</v>
      </c>
      <c r="I16" s="1332" t="s">
        <v>1420</v>
      </c>
      <c r="J16" s="355">
        <f ca="1">ROUND(J17+J22+J23+J24,0)</f>
        <v>85</v>
      </c>
      <c r="K16" s="1339" t="s">
        <v>1421</v>
      </c>
      <c r="L16" s="2950"/>
      <c r="M16" s="1296"/>
    </row>
    <row r="17" spans="1:37" s="1860" customFormat="1" ht="18" customHeight="1">
      <c r="A17" s="1203" t="s">
        <v>1386</v>
      </c>
      <c r="B17" s="347" t="s">
        <v>1422</v>
      </c>
      <c r="C17" s="24">
        <f ca="1">ROUND(F17*(F43+INDIRECT("'数据-取费表'!S"&amp;$G$1))/10000,0)</f>
        <v>97</v>
      </c>
      <c r="D17" s="347" t="s">
        <v>1423</v>
      </c>
      <c r="E17" s="347" t="s">
        <v>1424</v>
      </c>
      <c r="F17" s="26">
        <f>'数据-取费表'!B35</f>
        <v>200</v>
      </c>
      <c r="G17" s="1856"/>
      <c r="H17" s="1203" t="s">
        <v>1032</v>
      </c>
      <c r="I17" s="347" t="s">
        <v>1425</v>
      </c>
      <c r="J17" s="24">
        <f ca="1">ROUND(IF(项目基本情况!B11="自然人",J5*M17,J18+J19+J20),1)</f>
        <v>30.6</v>
      </c>
      <c r="K17" s="2948" t="s">
        <v>1426</v>
      </c>
      <c r="L17" s="2946"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1428</v>
      </c>
      <c r="C18" s="24">
        <f ca="1">ROUND(C14*F18,0)</f>
        <v>36</v>
      </c>
      <c r="D18" s="347" t="s">
        <v>1417</v>
      </c>
      <c r="E18" s="347" t="s">
        <v>1418</v>
      </c>
      <c r="F18" s="367">
        <f>'数据-取费表'!B36</f>
        <v>1.4999999999999999E-2</v>
      </c>
      <c r="G18" s="1856"/>
      <c r="H18" s="1203" t="s">
        <v>1031</v>
      </c>
      <c r="I18" s="347" t="s">
        <v>1429</v>
      </c>
      <c r="J18" s="24">
        <f ca="1">ROUND(J5*M18/(1+'数据-取费表'!C42),2)</f>
        <v>0</v>
      </c>
      <c r="K18" s="2946"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7" t="s">
        <v>1431</v>
      </c>
      <c r="C19" s="24">
        <f ca="1">SUM(C14:C18)</f>
        <v>2620</v>
      </c>
      <c r="D19" s="140" t="s">
        <v>1432</v>
      </c>
      <c r="E19" s="2958"/>
      <c r="F19" s="26"/>
      <c r="G19" s="1853"/>
      <c r="H19" s="1203" t="s">
        <v>1033</v>
      </c>
      <c r="I19" s="347" t="s">
        <v>1433</v>
      </c>
      <c r="J19" s="24">
        <f ca="1">IF(K19="按租金收入计税",ROUND(J5*M19,2),ROUND(C29*M19*0.7,2))</f>
        <v>30.37</v>
      </c>
      <c r="K19" s="1830" t="s">
        <v>1434</v>
      </c>
      <c r="L19" s="347" t="s">
        <v>1418</v>
      </c>
      <c r="M19" s="367">
        <f>IF(K19="按租金收入计税",'数据-取费表'!B51,'数据-取费表'!B50)</f>
        <v>1.2E-2</v>
      </c>
    </row>
    <row r="20" spans="1:37" s="1860" customFormat="1" ht="18" customHeight="1">
      <c r="A20" s="1203" t="s">
        <v>1036</v>
      </c>
      <c r="B20" s="347" t="s">
        <v>1435</v>
      </c>
      <c r="C20" s="24">
        <f ca="1">ROUND(C19*F20,0)</f>
        <v>52</v>
      </c>
      <c r="D20" s="369" t="s">
        <v>1436</v>
      </c>
      <c r="E20" s="347" t="s">
        <v>1418</v>
      </c>
      <c r="F20" s="367">
        <f>'数据-取费表'!B37</f>
        <v>0.02</v>
      </c>
      <c r="G20" s="1856"/>
      <c r="H20" s="1203" t="s">
        <v>1385</v>
      </c>
      <c r="I20" s="164" t="s">
        <v>1437</v>
      </c>
      <c r="J20" s="25">
        <f ca="1">ROUND(M20*M21/10000,2)</f>
        <v>0.26</v>
      </c>
      <c r="K20" s="370" t="s">
        <v>1438</v>
      </c>
      <c r="L20" s="347" t="s">
        <v>1439</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7" t="s">
        <v>1440</v>
      </c>
      <c r="C21" s="24" t="s">
        <v>1</v>
      </c>
      <c r="D21" s="369" t="s">
        <v>1441</v>
      </c>
      <c r="E21" s="347" t="s">
        <v>1442</v>
      </c>
      <c r="F21" s="367">
        <f>'数据-取费表'!B38</f>
        <v>0.02</v>
      </c>
      <c r="G21" s="1856"/>
      <c r="H21" s="372"/>
      <c r="I21" s="356"/>
      <c r="J21" s="29"/>
      <c r="K21" s="373"/>
      <c r="L21" s="347" t="s">
        <v>1443</v>
      </c>
      <c r="M21" s="348">
        <f ca="1">INDIRECT("'数据-取费表'!r"&amp;$G$1)</f>
        <v>867.36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1444</v>
      </c>
      <c r="C22" s="24"/>
      <c r="D22" s="140" t="str">
        <f>IF(F23&lt;=1,"单利计息。","复利计息。")&amp;"建造成本、管理费用、销售费用产生的利息。"</f>
        <v>复利计息。建造成本、管理费用、销售费用产生的利息。</v>
      </c>
      <c r="E22" s="2958"/>
      <c r="F22" s="26"/>
      <c r="G22" s="1853"/>
      <c r="H22" s="1203" t="s">
        <v>1036</v>
      </c>
      <c r="I22" s="347" t="s">
        <v>1445</v>
      </c>
      <c r="J22" s="24">
        <f ca="1">ROUND(J14*M22,1)</f>
        <v>54.2</v>
      </c>
      <c r="K22" s="2946" t="s">
        <v>1446</v>
      </c>
      <c r="L22" s="347" t="s">
        <v>1418</v>
      </c>
      <c r="M22" s="374">
        <f ca="1">INDIRECT("'数据-取费表'!Ak"&amp;$G$1)</f>
        <v>1.4999999999999999E-2</v>
      </c>
    </row>
    <row r="23" spans="1:37" s="1860" customFormat="1" ht="18" customHeight="1">
      <c r="A23" s="1203" t="s">
        <v>1031</v>
      </c>
      <c r="B23" s="347" t="s">
        <v>1447</v>
      </c>
      <c r="C23" s="24">
        <f ca="1">IF('数据-取费表'!B22&lt;=1,ROUND(C19*F24*F23/2,0)+ROUND(C20*F24*F23/2,0),ROUND(C19*(POWER((1+F24),F23/2)-1),0)+ROUND(C20*(POWER((1+F24),F23/2)-1),0))</f>
        <v>126</v>
      </c>
      <c r="D23" s="375" t="str">
        <f>IF(F23&lt;=1,"(建造成本+管理费用)×利率×(建设周期÷2)","(建造成本+管理费用)×((1+利率)^(建设周期÷2)-1)")</f>
        <v>(建造成本+管理费用)×((1+利率)^(建设周期÷2)-1)</v>
      </c>
      <c r="E23" s="347" t="s">
        <v>1448</v>
      </c>
      <c r="F23" s="371">
        <f>'数据-取费表'!B20</f>
        <v>2</v>
      </c>
      <c r="G23" s="1856"/>
      <c r="H23" s="1203" t="s">
        <v>1072</v>
      </c>
      <c r="I23" s="347" t="s">
        <v>1449</v>
      </c>
      <c r="J23" s="24">
        <f ca="1">ROUND(J13*M23,1)</f>
        <v>0</v>
      </c>
      <c r="K23" s="2946" t="s">
        <v>1450</v>
      </c>
      <c r="L23" s="347" t="s">
        <v>1418</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1" t="s">
        <v>1389</v>
      </c>
      <c r="I24" s="1342" t="s">
        <v>1435</v>
      </c>
      <c r="J24" s="1343">
        <f ca="1">ROUND(J5*M24,1)</f>
        <v>0</v>
      </c>
      <c r="K24" s="1344" t="s">
        <v>1455</v>
      </c>
      <c r="L24" s="1342" t="s">
        <v>1418</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1456</v>
      </c>
      <c r="B25" s="347" t="s">
        <v>1457</v>
      </c>
      <c r="C25" s="24"/>
      <c r="D25" s="140" t="s">
        <v>1458</v>
      </c>
      <c r="E25" s="2958"/>
      <c r="F25" s="26"/>
      <c r="G25" s="1853"/>
      <c r="H25" s="1331" t="s">
        <v>1028</v>
      </c>
      <c r="I25" s="1346" t="s">
        <v>1459</v>
      </c>
      <c r="J25" s="355">
        <f ca="1">J5-J16</f>
        <v>-85</v>
      </c>
      <c r="K25" s="1347" t="s">
        <v>1460</v>
      </c>
      <c r="L25" s="1348"/>
      <c r="M25" s="1349"/>
    </row>
    <row r="26" spans="1:37">
      <c r="A26" s="1203" t="s">
        <v>1031</v>
      </c>
      <c r="B26" s="347" t="s">
        <v>1461</v>
      </c>
      <c r="C26" s="24">
        <f ca="1">ROUND((C19+C20)*F26,0)</f>
        <v>534</v>
      </c>
      <c r="D26" s="369" t="s">
        <v>1462</v>
      </c>
      <c r="E26" s="358" t="s">
        <v>1463</v>
      </c>
      <c r="F26" s="357">
        <f ca="1">INDIRECT("'数据-取费表'!q"&amp;$G$1)</f>
        <v>0.2</v>
      </c>
      <c r="G26" s="1853"/>
      <c r="H26" s="344" t="s">
        <v>1029</v>
      </c>
      <c r="I26" s="345" t="s">
        <v>1464</v>
      </c>
      <c r="J26" s="346">
        <f ca="1">IF(J5&lt;&gt;0,ROUND(J25*(1-((1+M28)/(1+M26))^M27)/(M26-M28),0),0)</f>
        <v>0</v>
      </c>
      <c r="K26" s="370" t="s">
        <v>1465</v>
      </c>
      <c r="L26" s="347" t="s">
        <v>1466</v>
      </c>
      <c r="M26" s="357">
        <f ca="1">INDIRECT("'数据-取费表'!I"&amp;$G$1)</f>
        <v>0.06</v>
      </c>
    </row>
    <row r="27" spans="1:37" ht="18" customHeight="1">
      <c r="A27" s="1203" t="s">
        <v>1033</v>
      </c>
      <c r="B27" s="347" t="s">
        <v>1467</v>
      </c>
      <c r="C27" s="24">
        <f ca="1">ROUND(F21*F26,4)</f>
        <v>4.0000000000000001E-3</v>
      </c>
      <c r="D27" s="369" t="s">
        <v>1468</v>
      </c>
      <c r="E27" s="365"/>
      <c r="F27" s="366"/>
      <c r="G27" s="1853"/>
      <c r="H27" s="349"/>
      <c r="I27" s="350"/>
      <c r="J27" s="351"/>
      <c r="K27" s="378" t="s">
        <v>1469</v>
      </c>
      <c r="L27" s="347" t="s">
        <v>1470</v>
      </c>
      <c r="M27" s="379">
        <f ca="1">INDIRECT("'数据-取费表'!ag"&amp;$G$1)</f>
        <v>0</v>
      </c>
    </row>
    <row r="28" spans="1:37" s="1860" customFormat="1" ht="18" customHeight="1">
      <c r="A28" s="1203"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3615</v>
      </c>
      <c r="D29" s="1344"/>
      <c r="E29" s="1342"/>
      <c r="F29" s="1345"/>
      <c r="G29" s="1856"/>
      <c r="H29" s="380" t="s">
        <v>1030</v>
      </c>
      <c r="I29" s="381" t="s">
        <v>1475</v>
      </c>
      <c r="J29" s="382">
        <f ca="1">ROUND(J26/(1+F40)^F41,0)</f>
        <v>0</v>
      </c>
      <c r="K29" s="383" t="s">
        <v>1476</v>
      </c>
      <c r="L29" s="384"/>
      <c r="M29" s="385">
        <f ca="1">INDIRECT("'数据-取费表'!k"&amp;$G$1)</f>
        <v>4829.75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302</v>
      </c>
      <c r="D30" s="1339" t="s">
        <v>1421</v>
      </c>
      <c r="E30" s="2950"/>
      <c r="F30" s="1296"/>
      <c r="G30" s="1853"/>
      <c r="H30" s="745"/>
      <c r="I30" s="746"/>
      <c r="J30" s="747"/>
      <c r="K30" s="748"/>
      <c r="L30" s="749"/>
      <c r="M30" s="750"/>
    </row>
    <row r="31" spans="1:37" ht="18" customHeight="1">
      <c r="A31" s="1203" t="s">
        <v>1032</v>
      </c>
      <c r="B31" s="347" t="s">
        <v>1425</v>
      </c>
      <c r="C31" s="24">
        <f ca="1">ROUND(IF(项目基本情况!B11="自然人",C5*F31,C32+C33+C34),1)</f>
        <v>229.2</v>
      </c>
      <c r="D31" s="2948" t="s">
        <v>1426</v>
      </c>
      <c r="E31" s="2946"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1031</v>
      </c>
      <c r="B32" s="347" t="s">
        <v>1429</v>
      </c>
      <c r="C32" s="24">
        <f ca="1">IF(项目基本情况!B11="自然人","——",ROUND(C5*F32/(1+'数据-取费表'!C42),2))</f>
        <v>70.45</v>
      </c>
      <c r="D32" s="2946" t="s">
        <v>1430</v>
      </c>
      <c r="E32" s="347" t="s">
        <v>1418</v>
      </c>
      <c r="F32" s="377">
        <f>'数据-取费表'!B41</f>
        <v>5.6000000000000001E-2</v>
      </c>
      <c r="G32" s="1853"/>
      <c r="H32" s="745"/>
      <c r="I32" s="746"/>
      <c r="J32" s="747"/>
      <c r="K32" s="748"/>
      <c r="L32" s="749"/>
      <c r="M32" s="750"/>
    </row>
    <row r="33" spans="1:18" ht="18" customHeight="1">
      <c r="A33" s="1203" t="s">
        <v>1033</v>
      </c>
      <c r="B33" s="347" t="s">
        <v>1433</v>
      </c>
      <c r="C33" s="24">
        <f ca="1">IF(项目基本情况!B11="自然人","——",IF(D33="按租金收入计税",ROUND(C5*F33,2),IF(D33="按房产原值计税",ROUND(C29*F33*0.7,2),INDIRECT("'数据-取费表'!Aj"&amp;$G$1))))</f>
        <v>158.52000000000001</v>
      </c>
      <c r="D33" s="1830" t="s">
        <v>3086</v>
      </c>
      <c r="E33" s="347" t="s">
        <v>1418</v>
      </c>
      <c r="F33" s="367">
        <f>IF(D33="按票据","——",IF(D33="按租金收入计税",'数据-取费表'!B51,'数据-取费表'!B50))</f>
        <v>0.12</v>
      </c>
      <c r="G33" s="1853"/>
      <c r="H33" s="1861"/>
      <c r="I33" s="1862"/>
      <c r="J33" s="1863"/>
      <c r="K33" s="1864"/>
      <c r="L33" s="1861"/>
      <c r="M33" s="1861"/>
    </row>
    <row r="34" spans="1:18" ht="18" customHeight="1">
      <c r="A34" s="1293" t="s">
        <v>1385</v>
      </c>
      <c r="B34" s="164" t="s">
        <v>1437</v>
      </c>
      <c r="C34" s="25">
        <f ca="1">IF(项目基本情况!B11="自然人","——",ROUND(F34*F35/10000,2))</f>
        <v>0.26</v>
      </c>
      <c r="D34" s="370" t="s">
        <v>1438</v>
      </c>
      <c r="E34" s="347" t="s">
        <v>1439</v>
      </c>
      <c r="F34" s="371">
        <f>'数据-取费表'!B52</f>
        <v>3</v>
      </c>
      <c r="G34" s="1853"/>
      <c r="H34" s="745"/>
      <c r="I34" s="1862"/>
      <c r="J34" s="1863"/>
      <c r="K34" s="1865"/>
      <c r="L34" s="1866"/>
      <c r="M34" s="1866"/>
    </row>
    <row r="35" spans="1:18" ht="18" customHeight="1">
      <c r="A35" s="1355"/>
      <c r="B35" s="1353"/>
      <c r="C35" s="29"/>
      <c r="D35" s="373"/>
      <c r="E35" s="347" t="s">
        <v>1443</v>
      </c>
      <c r="F35" s="348">
        <f ca="1">INDIRECT("'数据-取费表'!r"&amp;$G$1)</f>
        <v>867.36</v>
      </c>
      <c r="G35" s="1853"/>
      <c r="H35" s="745"/>
      <c r="I35" s="1862"/>
      <c r="J35" s="1863"/>
      <c r="K35" s="1864"/>
      <c r="L35" s="1861"/>
      <c r="M35" s="1861"/>
    </row>
    <row r="36" spans="1:18" ht="18" customHeight="1">
      <c r="A36" s="1354" t="s">
        <v>1036</v>
      </c>
      <c r="B36" s="347" t="s">
        <v>1445</v>
      </c>
      <c r="C36" s="24">
        <f ca="1">ROUND(C29*F36,1)</f>
        <v>54.2</v>
      </c>
      <c r="D36" s="2946" t="s">
        <v>1478</v>
      </c>
      <c r="E36" s="347" t="s">
        <v>1418</v>
      </c>
      <c r="F36" s="374">
        <f ca="1">INDIRECT("'数据-取费表'!Ak"&amp;$G$1)</f>
        <v>1.4999999999999999E-2</v>
      </c>
      <c r="G36" s="1853"/>
      <c r="H36" s="1861"/>
      <c r="I36" s="1862"/>
      <c r="J36" s="1863"/>
      <c r="K36" s="751"/>
      <c r="L36" s="1861"/>
      <c r="M36" s="1861"/>
    </row>
    <row r="37" spans="1:18" ht="18" customHeight="1">
      <c r="A37" s="1203" t="s">
        <v>1072</v>
      </c>
      <c r="B37" s="347" t="s">
        <v>1449</v>
      </c>
      <c r="C37" s="24">
        <f ca="1">ROUND(C13*F37,1)</f>
        <v>5.4</v>
      </c>
      <c r="D37" s="2946" t="s">
        <v>1450</v>
      </c>
      <c r="E37" s="347" t="s">
        <v>1418</v>
      </c>
      <c r="F37" s="376">
        <f ca="1">INDIRECT("'数据-取费表'!Al"&amp;$G$1)</f>
        <v>1.5E-3</v>
      </c>
      <c r="G37" s="1853"/>
      <c r="H37" s="1861"/>
      <c r="I37" s="1862"/>
      <c r="J37" s="1863"/>
      <c r="K37" s="751"/>
      <c r="L37" s="1861"/>
      <c r="M37" s="1861"/>
    </row>
    <row r="38" spans="1:18" ht="18" customHeight="1" thickBot="1">
      <c r="A38" s="1341" t="s">
        <v>1389</v>
      </c>
      <c r="B38" s="1342" t="s">
        <v>1435</v>
      </c>
      <c r="C38" s="1343">
        <f ca="1">ROUND(C5*F38,1)</f>
        <v>13.2</v>
      </c>
      <c r="D38" s="1344" t="s">
        <v>1455</v>
      </c>
      <c r="E38" s="1342" t="s">
        <v>1418</v>
      </c>
      <c r="F38" s="1338">
        <f ca="1">INDIRECT("'数据-取费表'!Am"&amp;$G$1)</f>
        <v>0.01</v>
      </c>
      <c r="G38" s="1853"/>
      <c r="H38" s="1861"/>
      <c r="I38" s="1862"/>
      <c r="J38" s="1863"/>
      <c r="K38" s="1867"/>
      <c r="L38" s="1861"/>
      <c r="M38" s="1861"/>
    </row>
    <row r="39" spans="1:18" ht="24.6" customHeight="1" thickTop="1">
      <c r="A39" s="1331" t="s">
        <v>1028</v>
      </c>
      <c r="B39" s="1346" t="s">
        <v>1459</v>
      </c>
      <c r="C39" s="355">
        <f ca="1">C5-C30</f>
        <v>1019</v>
      </c>
      <c r="D39" s="1347" t="s">
        <v>1460</v>
      </c>
      <c r="E39" s="1348"/>
      <c r="F39" s="1349"/>
      <c r="G39" s="1853"/>
      <c r="H39" s="1861"/>
      <c r="I39" s="1862"/>
      <c r="J39" s="1863"/>
      <c r="K39" s="1867"/>
      <c r="L39" s="1861"/>
      <c r="M39" s="1861"/>
    </row>
    <row r="40" spans="1:18" ht="18" customHeight="1">
      <c r="A40" s="344" t="s">
        <v>1029</v>
      </c>
      <c r="B40" s="345" t="s">
        <v>1481</v>
      </c>
      <c r="C40" s="346">
        <f ca="1">ROUND(C39*(1-((1+F42)/(1+F40))^F41)/(F40-F42),0)</f>
        <v>22356</v>
      </c>
      <c r="D40" s="370" t="s">
        <v>1465</v>
      </c>
      <c r="E40" s="347" t="s">
        <v>1466</v>
      </c>
      <c r="F40" s="357">
        <f ca="1">INDIRECT("'数据-取费表'!I"&amp;$G$1)</f>
        <v>0.06</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37.39</v>
      </c>
      <c r="G41" s="1853"/>
      <c r="H41" s="732"/>
      <c r="I41" s="1862"/>
      <c r="J41" s="1863"/>
      <c r="K41" s="751"/>
      <c r="L41" s="732"/>
      <c r="M41" s="732"/>
    </row>
    <row r="42" spans="1:18" ht="18" customHeight="1">
      <c r="A42" s="353"/>
      <c r="B42" s="354"/>
      <c r="C42" s="355"/>
      <c r="D42" s="373"/>
      <c r="E42" s="347" t="s">
        <v>1473</v>
      </c>
      <c r="F42" s="357">
        <f ca="1">INDIRECT("'数据-取费表'!v"&amp;$G$1)</f>
        <v>0.03</v>
      </c>
      <c r="G42" s="1853"/>
      <c r="H42" s="732"/>
      <c r="I42" s="1862"/>
      <c r="J42" s="1863"/>
      <c r="K42" s="751"/>
      <c r="L42" s="732"/>
      <c r="M42" s="732"/>
    </row>
    <row r="43" spans="1:18" ht="18" customHeight="1" thickBot="1">
      <c r="A43" s="380" t="s">
        <v>1030</v>
      </c>
      <c r="B43" s="381" t="s">
        <v>1483</v>
      </c>
      <c r="C43" s="382">
        <f ca="1">ROUND(C40*10000/F43,0)</f>
        <v>46288</v>
      </c>
      <c r="D43" s="383" t="s">
        <v>1484</v>
      </c>
      <c r="E43" s="384" t="s">
        <v>1485</v>
      </c>
      <c r="F43" s="385">
        <f ca="1">INDIRECT("'数据-取费表'!k"&amp;$G$1)</f>
        <v>4829.75</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f ca="1">C68-C40</f>
        <v>-27736</v>
      </c>
      <c r="D46" s="1874" t="str">
        <f>C2</f>
        <v>万元</v>
      </c>
      <c r="E46" s="1868"/>
      <c r="F46" s="1868"/>
      <c r="I46" s="1875" t="s">
        <v>1517</v>
      </c>
      <c r="J46" s="1876"/>
      <c r="K46" s="1877"/>
      <c r="L46" s="1878">
        <f ca="1">IF(M47="住宅",0,IF(L48&gt;J51,L60,J60))</f>
        <v>58</v>
      </c>
      <c r="O46" s="1879" t="s">
        <v>1518</v>
      </c>
      <c r="P46" s="1880" t="s">
        <v>1519</v>
      </c>
      <c r="Q46" s="1881" t="s">
        <v>1520</v>
      </c>
      <c r="R46" s="1881" t="s">
        <v>1521</v>
      </c>
    </row>
    <row r="47" spans="1:18" s="1844" customFormat="1" ht="13.5" thickBot="1">
      <c r="A47" s="1167" t="s">
        <v>1392</v>
      </c>
      <c r="B47" s="1199" t="s">
        <v>1393</v>
      </c>
      <c r="C47" s="1369" t="s">
        <v>1394</v>
      </c>
      <c r="D47" s="1199" t="s">
        <v>1395</v>
      </c>
      <c r="E47" s="1281" t="s">
        <v>1396</v>
      </c>
      <c r="F47" s="1282"/>
      <c r="G47" s="792"/>
      <c r="I47" s="1882" t="s">
        <v>1522</v>
      </c>
      <c r="J47" s="1883" t="s">
        <v>3087</v>
      </c>
      <c r="K47" s="1884" t="s">
        <v>1523</v>
      </c>
      <c r="L47" s="1885">
        <f ca="1">INDIRECT("'数据-取费表'!d"&amp;$G$1)</f>
        <v>40</v>
      </c>
      <c r="M47" s="1840" t="str">
        <f>IF(ISNUMBER(FIND("住宅",C1)),"住宅","非住宅")</f>
        <v>非住宅</v>
      </c>
      <c r="O47" s="1886" t="s">
        <v>1037</v>
      </c>
      <c r="P47" s="1887" t="s">
        <v>1524</v>
      </c>
      <c r="Q47" s="1888">
        <f ca="1">C40+J29</f>
        <v>22356</v>
      </c>
      <c r="R47" s="1888" t="s">
        <v>1525</v>
      </c>
    </row>
    <row r="48" spans="1:18" s="1844" customFormat="1" ht="28.5" thickBot="1">
      <c r="A48" s="1362" t="s">
        <v>1132</v>
      </c>
      <c r="B48" s="345" t="s">
        <v>1397</v>
      </c>
      <c r="C48" s="2957">
        <f ca="1">C49+C53+C55</f>
        <v>0</v>
      </c>
      <c r="D48" s="1364"/>
      <c r="E48" s="1365"/>
      <c r="F48" s="1183"/>
      <c r="G48" s="792"/>
      <c r="H48" s="793"/>
      <c r="I48" s="1889" t="s">
        <v>1526</v>
      </c>
      <c r="J48" s="1890" t="s">
        <v>3088</v>
      </c>
      <c r="K48" s="1891" t="s">
        <v>1527</v>
      </c>
      <c r="L48" s="1892">
        <f ca="1">INDIRECT("'数据-取费表'!f"&amp;$G$1)</f>
        <v>37.39</v>
      </c>
      <c r="O48" s="1886" t="s">
        <v>1038</v>
      </c>
      <c r="P48" s="1887" t="s">
        <v>1528</v>
      </c>
      <c r="Q48" s="1888">
        <f ca="1">J60</f>
        <v>58</v>
      </c>
      <c r="R48" s="1888" t="s">
        <v>1529</v>
      </c>
    </row>
    <row r="49" spans="1:18" s="1844" customFormat="1" ht="13.5" thickBot="1">
      <c r="A49" s="1196" t="s">
        <v>1133</v>
      </c>
      <c r="B49" s="1831" t="s">
        <v>1486</v>
      </c>
      <c r="C49" s="1366">
        <f ca="1">ROUND(F49*F51*F50*(1-F52)/10000,0)</f>
        <v>0</v>
      </c>
      <c r="D49" s="1278" t="s">
        <v>3027</v>
      </c>
      <c r="E49" s="1832" t="s">
        <v>1487</v>
      </c>
      <c r="F49" s="1283"/>
      <c r="G49" s="1893"/>
      <c r="H49" s="793"/>
      <c r="I49" s="1889" t="s">
        <v>1530</v>
      </c>
      <c r="J49" s="1894">
        <v>2019</v>
      </c>
      <c r="K49" s="1891" t="s">
        <v>1531</v>
      </c>
      <c r="L49" s="1895"/>
      <c r="O49" s="1896" t="s">
        <v>1039</v>
      </c>
      <c r="P49" s="1887" t="s">
        <v>1532</v>
      </c>
      <c r="Q49" s="1888">
        <f ca="1">C29</f>
        <v>3615</v>
      </c>
      <c r="R49" s="1888" t="s">
        <v>1525</v>
      </c>
    </row>
    <row r="50" spans="1:18" s="1844" customFormat="1" ht="13.5" thickBot="1">
      <c r="A50" s="1197"/>
      <c r="B50" s="1200"/>
      <c r="C50" s="1370"/>
      <c r="D50" s="1174"/>
      <c r="E50" s="1279" t="s">
        <v>1402</v>
      </c>
      <c r="F50" s="1280">
        <f ca="1">F7</f>
        <v>4829.75</v>
      </c>
      <c r="H50" s="793"/>
      <c r="I50" s="1889" t="s">
        <v>1533</v>
      </c>
      <c r="J50" s="1897">
        <f>SUMPRODUCT((I63:I65=J47)*(J62:L62=J48)*(J63:L65))</f>
        <v>60</v>
      </c>
      <c r="K50" s="1891" t="s">
        <v>1534</v>
      </c>
      <c r="L50" s="1895"/>
      <c r="M50" s="1898"/>
      <c r="O50" s="1896" t="s">
        <v>1040</v>
      </c>
      <c r="P50" s="1887" t="s">
        <v>1535</v>
      </c>
      <c r="Q50" s="1899">
        <f ca="1">J58</f>
        <v>0.4</v>
      </c>
      <c r="R50" s="1888"/>
    </row>
    <row r="51" spans="1:18" s="1844" customFormat="1" ht="13.5" thickBot="1">
      <c r="A51" s="1198"/>
      <c r="B51" s="1200"/>
      <c r="C51" s="1201"/>
      <c r="D51" s="1174"/>
      <c r="E51" s="1202" t="s">
        <v>1403</v>
      </c>
      <c r="F51" s="348">
        <f ca="1">F8</f>
        <v>12</v>
      </c>
      <c r="I51" s="1900" t="s">
        <v>1536</v>
      </c>
      <c r="J51" s="1901">
        <f>IF(J49="",J50,J49+J50-YEAR('数据-取费表'!B2))</f>
        <v>60</v>
      </c>
      <c r="K51" s="1902" t="s">
        <v>1537</v>
      </c>
      <c r="L51" s="1903">
        <f ca="1">ROUND(-PV(INDIRECT("'数据-取费表'!h"&amp;$G$1),L48,(C39-C13*C76),0),0)</f>
        <v>11938</v>
      </c>
      <c r="M51" s="1904"/>
      <c r="O51" s="1896" t="s">
        <v>1041</v>
      </c>
      <c r="P51" s="1887" t="s">
        <v>1538</v>
      </c>
      <c r="Q51" s="1899">
        <f>J52</f>
        <v>0.09</v>
      </c>
      <c r="R51" s="1888"/>
    </row>
    <row r="52" spans="1:18" s="1844" customFormat="1" ht="13.5" thickBot="1">
      <c r="A52" s="1198"/>
      <c r="B52" s="1200"/>
      <c r="C52" s="1201"/>
      <c r="D52" s="1174"/>
      <c r="E52" s="1202" t="s">
        <v>1404</v>
      </c>
      <c r="F52" s="1277"/>
      <c r="I52" s="1905" t="s">
        <v>1539</v>
      </c>
      <c r="J52" s="1906">
        <v>0.09</v>
      </c>
      <c r="K52" s="1905" t="s">
        <v>1540</v>
      </c>
      <c r="L52" s="1906"/>
      <c r="O52" s="1896" t="s">
        <v>1042</v>
      </c>
      <c r="P52" s="1887" t="s">
        <v>1541</v>
      </c>
      <c r="Q52" s="1888">
        <f ca="1">J53</f>
        <v>37.39</v>
      </c>
      <c r="R52" s="1888" t="s">
        <v>1542</v>
      </c>
    </row>
    <row r="53" spans="1:18" s="1844" customFormat="1" ht="24.75" thickBot="1">
      <c r="A53" s="1407" t="s">
        <v>1134</v>
      </c>
      <c r="B53" s="1833" t="s">
        <v>1405</v>
      </c>
      <c r="C53" s="361">
        <f ca="1">ROUND(IF(F53="押一",C49/12*F11,IF(F53="押二",C49/12*2*F11,IF(F53="押三",C49/12*3*F11,C54*F11))),0)</f>
        <v>0</v>
      </c>
      <c r="D53" s="1826" t="s">
        <v>3036</v>
      </c>
      <c r="E53" s="358"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37.39</v>
      </c>
      <c r="K53" s="3357" t="s">
        <v>1544</v>
      </c>
      <c r="L53" s="3358"/>
      <c r="O53" s="1886" t="s">
        <v>1043</v>
      </c>
      <c r="P53" s="1887" t="s">
        <v>1545</v>
      </c>
      <c r="Q53" s="1888">
        <f ca="1">Q47+Q48</f>
        <v>22414</v>
      </c>
      <c r="R53" s="1888" t="s">
        <v>1044</v>
      </c>
    </row>
    <row r="54" spans="1:18" s="1844" customFormat="1" ht="13.5" thickBot="1">
      <c r="A54" s="1408"/>
      <c r="B54" s="1827" t="s">
        <v>1384</v>
      </c>
      <c r="C54" s="1180"/>
      <c r="D54" s="1826"/>
      <c r="E54" s="2953"/>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5" t="s">
        <v>1072</v>
      </c>
      <c r="B55" s="1829" t="s">
        <v>1409</v>
      </c>
      <c r="C55" s="1336"/>
      <c r="D55" s="1826"/>
      <c r="E55" s="2953"/>
      <c r="F55" s="1909"/>
      <c r="I55" s="1912" t="s">
        <v>1547</v>
      </c>
      <c r="J55" s="1913">
        <f ca="1">ROUND(IF(J47="钢混",J57/J50,1-(1-2%)*(J50-J57)/J50),3)</f>
        <v>0.377</v>
      </c>
      <c r="K55" s="1914" t="s">
        <v>1548</v>
      </c>
      <c r="L55" s="1915" t="s">
        <v>1549</v>
      </c>
      <c r="O55" s="1879" t="s">
        <v>1518</v>
      </c>
      <c r="P55" s="1880" t="s">
        <v>1519</v>
      </c>
      <c r="Q55" s="1881" t="s">
        <v>1520</v>
      </c>
      <c r="R55" s="1881" t="s">
        <v>1521</v>
      </c>
    </row>
    <row r="56" spans="1:18" s="1844" customFormat="1" ht="25.5" thickTop="1" thickBot="1">
      <c r="A56" s="1178">
        <v>2</v>
      </c>
      <c r="B56" s="1179" t="s">
        <v>1410</v>
      </c>
      <c r="C56" s="276">
        <f ca="1">C13</f>
        <v>3615</v>
      </c>
      <c r="D56" s="1916"/>
      <c r="E56" s="1917"/>
      <c r="F56" s="1909"/>
      <c r="I56" s="1918" t="s">
        <v>1550</v>
      </c>
      <c r="J56" s="1919" t="s">
        <v>3085</v>
      </c>
      <c r="K56" s="1889" t="s">
        <v>1551</v>
      </c>
      <c r="L56" s="1892" t="str">
        <f ca="1">IF(L48&lt;J51,"——",L48-J53)</f>
        <v>——</v>
      </c>
      <c r="O56" s="1886" t="s">
        <v>1037</v>
      </c>
      <c r="P56" s="1887" t="s">
        <v>1524</v>
      </c>
      <c r="Q56" s="1888">
        <f ca="1">C40+J29</f>
        <v>22356</v>
      </c>
      <c r="R56" s="1888" t="s">
        <v>1525</v>
      </c>
    </row>
    <row r="57" spans="1:18" s="1844" customFormat="1" ht="24.75" thickBot="1">
      <c r="A57" s="1920"/>
      <c r="B57" s="1171" t="s">
        <v>1474</v>
      </c>
      <c r="C57" s="282">
        <f ca="1">C29</f>
        <v>3615</v>
      </c>
      <c r="D57" s="1921"/>
      <c r="E57" s="1922"/>
      <c r="F57" s="1923"/>
      <c r="I57" s="1924" t="s">
        <v>1552</v>
      </c>
      <c r="J57" s="1925">
        <f ca="1">IF(OR(M47="住宅",J51&lt;L48,J56="是"),"——",J51-L48)</f>
        <v>22.61</v>
      </c>
      <c r="K57" s="1889" t="s">
        <v>1553</v>
      </c>
      <c r="L57" s="1892" t="str">
        <f ca="1">IF(L48&lt;J51,"——",IF(L55="比较法",L49,IF(L55="基准地价",L50,L51)))</f>
        <v>——</v>
      </c>
      <c r="O57" s="1886" t="s">
        <v>1038</v>
      </c>
      <c r="P57" s="1887" t="s">
        <v>1554</v>
      </c>
      <c r="Q57" s="1888">
        <f ca="1">L60</f>
        <v>0</v>
      </c>
      <c r="R57" s="1888" t="s">
        <v>1555</v>
      </c>
    </row>
    <row r="58" spans="1:18" s="1844" customFormat="1" ht="24.75" thickBot="1">
      <c r="A58" s="360" t="s">
        <v>1027</v>
      </c>
      <c r="B58" s="1179" t="s">
        <v>1420</v>
      </c>
      <c r="C58" s="361">
        <f ca="1">ROUND(C59+C64+C65+C66,0)</f>
        <v>364</v>
      </c>
      <c r="D58" s="1181" t="s">
        <v>1421</v>
      </c>
      <c r="E58" s="1182"/>
      <c r="F58" s="1183"/>
      <c r="I58" s="1924" t="s">
        <v>1556</v>
      </c>
      <c r="J58" s="1926">
        <f ca="1">IF(J55&lt;0.4,0.4,J55)</f>
        <v>0.4</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4">
        <f ca="1">ROUND(IF(项目基本情况!B11="自然人",C48*F59,C60+C61+C62),1)</f>
        <v>303.89999999999998</v>
      </c>
      <c r="D59" s="1184" t="s">
        <v>1426</v>
      </c>
      <c r="E59" s="1185" t="s">
        <v>1427</v>
      </c>
      <c r="F59" s="368" t="str">
        <f ca="1">IF(项目基本情况!B11="企业","",IF(INDIRECT("'数据-取费表'!c"&amp;$G$1)="住宅",5%,IF(F49*F50*F51/12/(1+'数据-取费表'!C42)&gt;20000,12%,7%)))</f>
        <v/>
      </c>
      <c r="I59" s="1924" t="s">
        <v>1559</v>
      </c>
      <c r="J59" s="1925">
        <f ca="1">IF(OR(M47="住宅",J51&lt;L48,J56="是"),"——",ROUND(C29*J58,0))</f>
        <v>1446</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4">
        <f ca="1">IF(项目基本情况!B11="自然人","——",ROUND(C48*F60/(1+'数据-取费表'!C42),2))</f>
        <v>0</v>
      </c>
      <c r="D60" s="1185" t="s">
        <v>1430</v>
      </c>
      <c r="E60" s="1171" t="s">
        <v>1418</v>
      </c>
      <c r="F60" s="377">
        <f t="shared" ref="F60:F66" si="0">F32</f>
        <v>5.6000000000000001E-2</v>
      </c>
      <c r="I60" s="1927" t="s">
        <v>1561</v>
      </c>
      <c r="J60" s="1928">
        <f ca="1">IF(OR(M47="住宅",J51&lt;L48,J56="是"),"0",ROUND(J59/(1+J52)^J53,0))</f>
        <v>58</v>
      </c>
      <c r="K60" s="1929" t="s">
        <v>1562</v>
      </c>
      <c r="L60" s="1928">
        <f ca="1">IF(OR(M47="住宅",L48&lt;J51),0,ROUND(L57*(L58/L59-1),0))</f>
        <v>0</v>
      </c>
      <c r="O60" s="1896" t="s">
        <v>1041</v>
      </c>
      <c r="P60" s="1887" t="s">
        <v>1563</v>
      </c>
      <c r="Q60" s="1888" t="e">
        <f ca="1">L58</f>
        <v>#DIV/0!</v>
      </c>
      <c r="R60" s="1888" t="s">
        <v>1564</v>
      </c>
    </row>
    <row r="61" spans="1:18" s="1844" customFormat="1" ht="13.5" thickBot="1">
      <c r="A61" s="1203" t="s">
        <v>1488</v>
      </c>
      <c r="B61" s="1171" t="s">
        <v>1433</v>
      </c>
      <c r="C61" s="24">
        <f ca="1">IF(项目基本情况!B11="自然人","——",IF(D61="按租金收入计税",ROUND(C48*F61,2),IF(D61="按房产原值计税",ROUND(C57*F61*0.7,2),INDIRECT("'数据-取费表'!Aj"&amp;$G$1))))</f>
        <v>303.66000000000003</v>
      </c>
      <c r="D61" s="1830" t="s">
        <v>1434</v>
      </c>
      <c r="E61" s="1171" t="s">
        <v>1490</v>
      </c>
      <c r="F61" s="367">
        <f t="shared" si="0"/>
        <v>0.12</v>
      </c>
      <c r="I61" s="1930"/>
      <c r="J61" s="1930"/>
      <c r="K61" s="1930"/>
      <c r="L61" s="1930"/>
      <c r="O61" s="1896" t="s">
        <v>1042</v>
      </c>
      <c r="P61" s="1887" t="str">
        <f>K59</f>
        <v>建筑物剩余耐用年限下的土地年期修正系数Kn</v>
      </c>
      <c r="Q61" s="1888" t="e">
        <f ca="1">L59</f>
        <v>#DIV/0!</v>
      </c>
      <c r="R61" s="1888" t="s">
        <v>1565</v>
      </c>
    </row>
    <row r="62" spans="1:18" s="1844" customFormat="1" ht="13.5" thickBot="1">
      <c r="A62" s="1203" t="s">
        <v>1491</v>
      </c>
      <c r="B62" s="1170" t="s">
        <v>1437</v>
      </c>
      <c r="C62" s="25">
        <f ca="1">IF(项目基本情况!B11="自然人","——",ROUND(F62*F63/10000,2))</f>
        <v>0.26</v>
      </c>
      <c r="D62" s="1186" t="s">
        <v>1493</v>
      </c>
      <c r="E62" s="1171" t="s">
        <v>1494</v>
      </c>
      <c r="F62" s="371">
        <f t="shared" si="0"/>
        <v>3</v>
      </c>
      <c r="I62" s="1931" t="s">
        <v>1566</v>
      </c>
      <c r="J62" s="1932" t="s">
        <v>1567</v>
      </c>
      <c r="K62" s="1932" t="s">
        <v>1568</v>
      </c>
      <c r="L62" s="1932" t="s">
        <v>1569</v>
      </c>
      <c r="M62" s="1933" t="s">
        <v>1570</v>
      </c>
      <c r="O62" s="1886" t="s">
        <v>1043</v>
      </c>
      <c r="P62" s="1887" t="s">
        <v>1545</v>
      </c>
      <c r="Q62" s="1888">
        <f ca="1">Q56+Q57</f>
        <v>22356</v>
      </c>
      <c r="R62" s="1888" t="s">
        <v>1044</v>
      </c>
    </row>
    <row r="63" spans="1:18" s="1844" customFormat="1" ht="13.5" thickBot="1">
      <c r="A63" s="372"/>
      <c r="B63" s="1177"/>
      <c r="C63" s="29"/>
      <c r="D63" s="1187"/>
      <c r="E63" s="1171" t="s">
        <v>1443</v>
      </c>
      <c r="F63" s="348">
        <f t="shared" ca="1" si="0"/>
        <v>867.36</v>
      </c>
      <c r="I63" s="1931" t="s">
        <v>1572</v>
      </c>
      <c r="J63" s="1932">
        <v>70</v>
      </c>
      <c r="K63" s="1932">
        <v>50</v>
      </c>
      <c r="L63" s="1932">
        <v>80</v>
      </c>
      <c r="M63" s="1934">
        <v>0.02</v>
      </c>
      <c r="O63" s="1871" t="s">
        <v>1573</v>
      </c>
      <c r="P63" s="1841"/>
      <c r="Q63" s="1841"/>
      <c r="R63" s="1841"/>
    </row>
    <row r="64" spans="1:18" s="1844" customFormat="1" ht="13.5" thickBot="1">
      <c r="A64" s="1203" t="s">
        <v>1036</v>
      </c>
      <c r="B64" s="1171" t="s">
        <v>1445</v>
      </c>
      <c r="C64" s="24">
        <f ca="1">ROUND(C57*F64,1)</f>
        <v>54.2</v>
      </c>
      <c r="D64" s="1185" t="s">
        <v>1498</v>
      </c>
      <c r="E64" s="1171" t="s">
        <v>1490</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4">
        <f ca="1">ROUND(C56*F65,1)</f>
        <v>5.4</v>
      </c>
      <c r="D65" s="1185" t="s">
        <v>1450</v>
      </c>
      <c r="E65" s="1171" t="s">
        <v>1418</v>
      </c>
      <c r="F65" s="376">
        <f t="shared" ca="1" si="0"/>
        <v>1.5E-3</v>
      </c>
      <c r="I65" s="1931" t="s">
        <v>1575</v>
      </c>
      <c r="J65" s="1932">
        <v>40</v>
      </c>
      <c r="K65" s="1932">
        <v>30</v>
      </c>
      <c r="L65" s="1932">
        <v>50</v>
      </c>
      <c r="M65" s="1934">
        <v>0.02</v>
      </c>
      <c r="O65" s="1886" t="s">
        <v>1037</v>
      </c>
      <c r="P65" s="1887" t="s">
        <v>1524</v>
      </c>
      <c r="Q65" s="1888">
        <f ca="1">C40+J29</f>
        <v>22356</v>
      </c>
      <c r="R65" s="1888" t="s">
        <v>1525</v>
      </c>
    </row>
    <row r="66" spans="1:18" s="1844" customFormat="1" ht="16.5" thickBot="1">
      <c r="A66" s="1203" t="s">
        <v>1500</v>
      </c>
      <c r="B66" s="1171" t="s">
        <v>1435</v>
      </c>
      <c r="C66" s="24">
        <f ca="1">ROUND(C48*F66,1)</f>
        <v>0</v>
      </c>
      <c r="D66" s="1185" t="s">
        <v>1501</v>
      </c>
      <c r="E66" s="1171" t="s">
        <v>1418</v>
      </c>
      <c r="F66" s="357">
        <f t="shared" ca="1" si="0"/>
        <v>0.01</v>
      </c>
      <c r="O66" s="1886" t="s">
        <v>1038</v>
      </c>
      <c r="P66" s="1887" t="s">
        <v>1554</v>
      </c>
      <c r="Q66" s="1888">
        <f ca="1">L60</f>
        <v>0</v>
      </c>
      <c r="R66" s="1888" t="s">
        <v>1577</v>
      </c>
    </row>
    <row r="67" spans="1:18" s="1844" customFormat="1" ht="16.5" thickBot="1">
      <c r="A67" s="1178" t="s">
        <v>1028</v>
      </c>
      <c r="B67" s="1188" t="s">
        <v>1459</v>
      </c>
      <c r="C67" s="361">
        <f ca="1">C48-C58</f>
        <v>-364</v>
      </c>
      <c r="D67" s="1184" t="s">
        <v>1460</v>
      </c>
      <c r="E67" s="1189"/>
      <c r="F67" s="1190"/>
      <c r="O67" s="1896" t="s">
        <v>1039</v>
      </c>
      <c r="P67" s="1887" t="s">
        <v>1558</v>
      </c>
      <c r="Q67" s="1935">
        <f ca="1">L51</f>
        <v>11938</v>
      </c>
      <c r="R67" s="1888" t="s">
        <v>1578</v>
      </c>
    </row>
    <row r="68" spans="1:18" s="1844" customFormat="1" ht="16.5" thickBot="1">
      <c r="A68" s="1168" t="s">
        <v>1029</v>
      </c>
      <c r="B68" s="1169" t="s">
        <v>1481</v>
      </c>
      <c r="C68" s="346">
        <f ca="1">ROUND(C67*(1-((1+F70)/(1+F68))^F69)/(F68-F70),0)</f>
        <v>-5380</v>
      </c>
      <c r="D68" s="1186" t="s">
        <v>1465</v>
      </c>
      <c r="E68" s="1171" t="s">
        <v>1466</v>
      </c>
      <c r="F68" s="357">
        <f ca="1">F40</f>
        <v>0.06</v>
      </c>
      <c r="O68" s="1896" t="s">
        <v>1040</v>
      </c>
      <c r="P68" s="1936" t="s">
        <v>1579</v>
      </c>
      <c r="Q68" s="1888">
        <f ca="1">ROUND(Q69-Q70*Q71,0)</f>
        <v>712</v>
      </c>
      <c r="R68" s="1888" t="s">
        <v>1048</v>
      </c>
    </row>
    <row r="69" spans="1:18" s="1844" customFormat="1" ht="13.5" thickBot="1">
      <c r="A69" s="1172"/>
      <c r="B69" s="1173"/>
      <c r="C69" s="351"/>
      <c r="D69" s="1191" t="s">
        <v>1469</v>
      </c>
      <c r="E69" s="1171" t="s">
        <v>1470</v>
      </c>
      <c r="F69" s="379">
        <f ca="1">F41</f>
        <v>37.39</v>
      </c>
      <c r="O69" s="1896" t="s">
        <v>1045</v>
      </c>
      <c r="P69" s="1936" t="s">
        <v>1580</v>
      </c>
      <c r="Q69" s="1888">
        <f ca="1">C39</f>
        <v>1019</v>
      </c>
      <c r="R69" s="1888" t="s">
        <v>1525</v>
      </c>
    </row>
    <row r="70" spans="1:18" s="1844" customFormat="1" ht="13.5" thickBot="1">
      <c r="A70" s="1175"/>
      <c r="B70" s="1176"/>
      <c r="C70" s="355"/>
      <c r="D70" s="1187"/>
      <c r="E70" s="1171" t="s">
        <v>1473</v>
      </c>
      <c r="F70" s="1277"/>
      <c r="O70" s="1896" t="s">
        <v>1046</v>
      </c>
      <c r="P70" s="1936" t="s">
        <v>1581</v>
      </c>
      <c r="Q70" s="1888">
        <f ca="1">C13</f>
        <v>3615</v>
      </c>
      <c r="R70" s="1888" t="s">
        <v>1525</v>
      </c>
    </row>
    <row r="71" spans="1:18" s="1844" customFormat="1" ht="13.5" thickBot="1">
      <c r="A71" s="1192" t="s">
        <v>1030</v>
      </c>
      <c r="B71" s="1193" t="s">
        <v>1483</v>
      </c>
      <c r="C71" s="382">
        <f ca="1">ROUND(C68*10000/F71,0)</f>
        <v>-11139</v>
      </c>
      <c r="D71" s="1194" t="s">
        <v>1484</v>
      </c>
      <c r="E71" s="1195" t="s">
        <v>1485</v>
      </c>
      <c r="F71" s="385">
        <f ca="1">F43</f>
        <v>4829.75</v>
      </c>
      <c r="O71" s="1896" t="s">
        <v>1047</v>
      </c>
      <c r="P71" s="1936" t="s">
        <v>1582</v>
      </c>
      <c r="Q71" s="1899">
        <f ca="1">C76</f>
        <v>8.5000000000000006E-2</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建筑物剩余耐用年限下的土地年期修正系数Kn</v>
      </c>
      <c r="Q74" s="1888" t="e">
        <f ca="1">L59</f>
        <v>#DIV/0!</v>
      </c>
      <c r="R74" s="1888" t="s">
        <v>1565</v>
      </c>
    </row>
    <row r="75" spans="1:18" ht="13.5" thickBot="1">
      <c r="A75" s="1844"/>
      <c r="B75" s="386" t="s">
        <v>1502</v>
      </c>
      <c r="C75" s="387">
        <f ca="1">ROUND(C13*C76,0)</f>
        <v>307</v>
      </c>
      <c r="D75" s="1844"/>
      <c r="E75" s="1844"/>
      <c r="F75" s="1844"/>
      <c r="K75" s="1870"/>
      <c r="L75" s="1844"/>
      <c r="O75" s="1886" t="s">
        <v>1043</v>
      </c>
      <c r="P75" s="1887" t="s">
        <v>1545</v>
      </c>
      <c r="Q75" s="1888">
        <f ca="1">Q65+Q66</f>
        <v>22356</v>
      </c>
      <c r="R75" s="1888" t="s">
        <v>1044</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0.69900000000000007</v>
      </c>
    </row>
    <row r="80" spans="1:18">
      <c r="B80" s="386" t="s">
        <v>1507</v>
      </c>
      <c r="C80" s="318">
        <f ca="1">ROUND(C75/C39,3)</f>
        <v>0.30099999999999999</v>
      </c>
    </row>
    <row r="81" spans="2:3">
      <c r="B81" s="314" t="s">
        <v>1508</v>
      </c>
      <c r="C81" s="282"/>
    </row>
    <row r="82" spans="2:3">
      <c r="B82" s="317" t="s">
        <v>1509</v>
      </c>
      <c r="C82" s="319">
        <f ca="1">1-C83</f>
        <v>0.83799999999999997</v>
      </c>
    </row>
    <row r="83" spans="2:3">
      <c r="B83" s="317" t="s">
        <v>1510</v>
      </c>
      <c r="C83" s="318">
        <f ca="1">ROUND(C13/C40,3)</f>
        <v>0.16200000000000001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3" priority="4">
      <formula>$L$48&gt;$J$51</formula>
    </cfRule>
  </conditionalFormatting>
  <conditionalFormatting sqref="I55 I60">
    <cfRule type="expression" dxfId="32" priority="5">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23" sqref="A23:S26"/>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A3" sqref="A3"/>
    </sheetView>
  </sheetViews>
  <sheetFormatPr defaultRowHeight="13.5"/>
  <cols>
    <col min="1" max="2" width="12" style="3092" customWidth="1"/>
    <col min="3" max="3" width="20.125" style="3092" customWidth="1"/>
    <col min="13" max="13" width="9.375" customWidth="1"/>
  </cols>
  <sheetData>
    <row r="1" spans="1:3">
      <c r="A1" s="3091"/>
      <c r="B1" s="3091" t="s">
        <v>3407</v>
      </c>
      <c r="C1" s="3091" t="s">
        <v>3408</v>
      </c>
    </row>
    <row r="2" spans="1:3">
      <c r="A2" s="3091" t="s">
        <v>3405</v>
      </c>
      <c r="B2" s="3093" t="s">
        <v>3406</v>
      </c>
      <c r="C2" s="3092">
        <f>60000/300</f>
        <v>200</v>
      </c>
    </row>
    <row r="3" spans="1:3">
      <c r="A3" s="3091"/>
      <c r="B3" s="3093" t="s">
        <v>3410</v>
      </c>
      <c r="C3" s="3092">
        <v>280</v>
      </c>
    </row>
    <row r="4" spans="1:3">
      <c r="A4" s="3091"/>
      <c r="B4" s="3093" t="s">
        <v>3410</v>
      </c>
      <c r="C4" s="3092">
        <v>280</v>
      </c>
    </row>
    <row r="5" spans="1:3">
      <c r="A5" s="3091" t="s">
        <v>3409</v>
      </c>
      <c r="B5" s="3091" t="s">
        <v>3410</v>
      </c>
      <c r="C5" s="3092">
        <v>500</v>
      </c>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0000"/>
  </sheetPr>
  <dimension ref="A1:AI512"/>
  <sheetViews>
    <sheetView view="pageBreakPreview" zoomScaleSheetLayoutView="100" workbookViewId="0">
      <selection activeCell="F35" sqref="F35"/>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2111</v>
      </c>
      <c r="B1" s="2417"/>
      <c r="C1" s="2418" t="s">
        <v>3077</v>
      </c>
      <c r="D1" s="2417"/>
      <c r="E1" s="2417"/>
      <c r="F1" s="2419" t="s">
        <v>2112</v>
      </c>
      <c r="G1" s="2070" t="s">
        <v>3082</v>
      </c>
      <c r="H1" s="2420" t="str">
        <f>IF(G1="现房","——","估价对象范围")</f>
        <v>——</v>
      </c>
      <c r="I1" s="2421" t="s">
        <v>3083</v>
      </c>
    </row>
    <row r="2" spans="1:12" ht="21.75" customHeight="1" thickBot="1">
      <c r="A2" s="3281" t="str">
        <f>项目基本情况!S2</f>
        <v>广东省深圳市龙华新区民治街道腾龙路与建设路交汇处“金茂府”居住项目房地产</v>
      </c>
      <c r="B2" s="3282"/>
      <c r="C2" s="3282"/>
      <c r="D2" s="3282"/>
      <c r="E2" s="3282"/>
      <c r="F2" s="3282"/>
      <c r="G2" s="3282"/>
      <c r="H2" s="3282"/>
      <c r="I2" s="3283"/>
    </row>
    <row r="3" spans="1:12" ht="12.75">
      <c r="A3" s="3284" t="s">
        <v>2113</v>
      </c>
      <c r="B3" s="3285"/>
      <c r="C3" s="3285"/>
      <c r="D3" s="3285"/>
      <c r="E3" s="3285"/>
      <c r="F3" s="3285"/>
      <c r="G3" s="3285"/>
      <c r="H3" s="3285"/>
      <c r="I3" s="3285"/>
    </row>
    <row r="4" spans="1:12" ht="14.25">
      <c r="A4" s="2424" t="s">
        <v>2114</v>
      </c>
      <c r="B4" s="2425" t="s">
        <v>2115</v>
      </c>
      <c r="C4" s="2426" t="s">
        <v>3101</v>
      </c>
      <c r="D4" s="2426" t="s">
        <v>3102</v>
      </c>
      <c r="E4" s="3265" t="s">
        <v>2116</v>
      </c>
      <c r="F4" s="3278"/>
      <c r="G4" s="3278"/>
      <c r="H4" s="3278"/>
      <c r="I4" s="3266"/>
      <c r="K4" s="2427" t="str">
        <f>IF(ISNUMBER(FIND("比较法",'结果表 (公寓)'!C4)),"比较法",IF(ISNUMBER(FIND("成本法",'结果表 (公寓)'!C4)),"成本法",IF(ISNUMBER(FIND("假设开发法",'结果表 (公寓)'!C4)),"假设开发法",IF(ISNUMBER(FIND("收益法",'结果表 (公寓)'!C4)),"收益法","基准地价系数修正法"))))</f>
        <v>比较法</v>
      </c>
      <c r="L4" s="2427" t="str">
        <f>IF(ISNUMBER(FIND("比较法",'结果表 (公寓)'!D4)),"比较法",IF(ISNUMBER(FIND("成本法",'结果表 (公寓)'!D4)),"成本法",IF(ISNUMBER(FIND("假设开发法",'结果表 (公寓)'!D4)),"假设开发法",IF(ISNUMBER(FIND("收益法",'结果表 (公寓)'!D4)),"收益法","基准地价系数修正法"))))</f>
        <v>收益法</v>
      </c>
    </row>
    <row r="5" spans="1:12" ht="12.75">
      <c r="A5" s="3256" t="s">
        <v>2117</v>
      </c>
      <c r="B5" s="3160">
        <v>25</v>
      </c>
      <c r="C5" s="3286"/>
      <c r="D5" s="3274"/>
      <c r="E5" s="140" t="s">
        <v>2118</v>
      </c>
      <c r="F5" s="2428"/>
      <c r="G5" s="2428"/>
      <c r="H5" s="2428"/>
      <c r="I5" s="1833"/>
    </row>
    <row r="6" spans="1:12" ht="12.75">
      <c r="A6" s="3256"/>
      <c r="B6" s="3160"/>
      <c r="C6" s="3288"/>
      <c r="D6" s="3274"/>
      <c r="E6" s="140" t="s">
        <v>2119</v>
      </c>
      <c r="F6" s="2428"/>
      <c r="G6" s="2428"/>
      <c r="H6" s="2428"/>
      <c r="I6" s="1833"/>
    </row>
    <row r="7" spans="1:12" ht="12.75">
      <c r="A7" s="3256"/>
      <c r="B7" s="3160"/>
      <c r="C7" s="3287"/>
      <c r="D7" s="3274"/>
      <c r="E7" s="140" t="s">
        <v>2120</v>
      </c>
      <c r="F7" s="2428"/>
      <c r="G7" s="2428"/>
      <c r="H7" s="2428"/>
      <c r="I7" s="1833"/>
    </row>
    <row r="8" spans="1:12" ht="12.75">
      <c r="A8" s="3256" t="s">
        <v>2121</v>
      </c>
      <c r="B8" s="3160">
        <v>15</v>
      </c>
      <c r="C8" s="3286"/>
      <c r="D8" s="3274"/>
      <c r="E8" s="140" t="s">
        <v>2122</v>
      </c>
      <c r="F8" s="2428"/>
      <c r="G8" s="2428"/>
      <c r="H8" s="2428"/>
      <c r="I8" s="1833"/>
    </row>
    <row r="9" spans="1:12" ht="12.75">
      <c r="A9" s="3256"/>
      <c r="B9" s="3160"/>
      <c r="C9" s="3287"/>
      <c r="D9" s="3274"/>
      <c r="E9" s="140" t="s">
        <v>2123</v>
      </c>
      <c r="F9" s="2428"/>
      <c r="G9" s="2428"/>
      <c r="H9" s="2428"/>
      <c r="I9" s="1833"/>
    </row>
    <row r="10" spans="1:12" ht="12.75">
      <c r="A10" s="3256" t="s">
        <v>2124</v>
      </c>
      <c r="B10" s="3160">
        <v>15</v>
      </c>
      <c r="C10" s="3286"/>
      <c r="D10" s="3274"/>
      <c r="E10" s="140" t="s">
        <v>2125</v>
      </c>
      <c r="F10" s="2428"/>
      <c r="G10" s="2428"/>
      <c r="H10" s="2428"/>
      <c r="I10" s="1833"/>
    </row>
    <row r="11" spans="1:12" ht="12.75">
      <c r="A11" s="3256"/>
      <c r="B11" s="3160"/>
      <c r="C11" s="3287"/>
      <c r="D11" s="3274"/>
      <c r="E11" s="140" t="s">
        <v>2126</v>
      </c>
      <c r="F11" s="2428"/>
      <c r="G11" s="2428"/>
      <c r="H11" s="2428"/>
      <c r="I11" s="1833"/>
    </row>
    <row r="12" spans="1:12" ht="12.75">
      <c r="A12" s="3256" t="s">
        <v>2127</v>
      </c>
      <c r="B12" s="3160">
        <v>15</v>
      </c>
      <c r="C12" s="3286"/>
      <c r="D12" s="3274"/>
      <c r="E12" s="140" t="s">
        <v>2128</v>
      </c>
      <c r="F12" s="2428"/>
      <c r="G12" s="2428"/>
      <c r="H12" s="2428"/>
      <c r="I12" s="1833"/>
    </row>
    <row r="13" spans="1:12" ht="12.75">
      <c r="A13" s="3256"/>
      <c r="B13" s="3160"/>
      <c r="C13" s="3287"/>
      <c r="D13" s="3274"/>
      <c r="E13" s="140" t="s">
        <v>2129</v>
      </c>
      <c r="F13" s="2428"/>
      <c r="G13" s="2428"/>
      <c r="H13" s="2428"/>
      <c r="I13" s="1833"/>
    </row>
    <row r="14" spans="1:12" ht="12.75">
      <c r="A14" s="3256" t="s">
        <v>2130</v>
      </c>
      <c r="B14" s="3160">
        <v>30</v>
      </c>
      <c r="C14" s="3286">
        <f>'结果表（住宅）'!C14:C16</f>
        <v>7</v>
      </c>
      <c r="D14" s="3274">
        <f>'结果表（住宅）'!D14:D16</f>
        <v>3</v>
      </c>
      <c r="E14" s="140" t="s">
        <v>2131</v>
      </c>
      <c r="F14" s="2428"/>
      <c r="G14" s="2428"/>
      <c r="H14" s="2428"/>
      <c r="I14" s="1833"/>
    </row>
    <row r="15" spans="1:12" ht="12.75">
      <c r="A15" s="3256"/>
      <c r="B15" s="3160"/>
      <c r="C15" s="3288"/>
      <c r="D15" s="3274"/>
      <c r="E15" s="140" t="s">
        <v>2132</v>
      </c>
      <c r="F15" s="2428"/>
      <c r="G15" s="2428"/>
      <c r="H15" s="2428"/>
      <c r="I15" s="1833"/>
    </row>
    <row r="16" spans="1:12" ht="12.75">
      <c r="A16" s="3256"/>
      <c r="B16" s="3160"/>
      <c r="C16" s="3287"/>
      <c r="D16" s="3274"/>
      <c r="E16" s="140" t="s">
        <v>2133</v>
      </c>
      <c r="F16" s="2428"/>
      <c r="G16" s="2428"/>
      <c r="H16" s="2428"/>
      <c r="I16" s="1833"/>
    </row>
    <row r="17" spans="1:35" ht="15">
      <c r="A17" s="2429" t="s">
        <v>2134</v>
      </c>
      <c r="B17" s="64"/>
      <c r="C17" s="141">
        <f>SUM(C5:C16)</f>
        <v>7</v>
      </c>
      <c r="D17" s="141">
        <f>SUM(D5:D16)</f>
        <v>3</v>
      </c>
      <c r="E17" s="138"/>
      <c r="F17" s="138"/>
      <c r="G17" s="138"/>
      <c r="H17" s="138"/>
      <c r="I17" s="138"/>
      <c r="K17" s="2427"/>
      <c r="L17" s="2430" t="s">
        <v>2135</v>
      </c>
      <c r="M17" s="2430" t="s">
        <v>2136</v>
      </c>
    </row>
    <row r="18" spans="1:35" ht="15.75" thickBot="1">
      <c r="A18" s="2431" t="s">
        <v>2137</v>
      </c>
      <c r="B18" s="2432"/>
      <c r="C18" s="142">
        <f>ROUND(C17/SUM(C17:D17),2)</f>
        <v>0.7</v>
      </c>
      <c r="D18" s="142">
        <f>1-C18</f>
        <v>0.30000000000000004</v>
      </c>
      <c r="E18" s="138"/>
      <c r="F18" s="138"/>
      <c r="G18" s="138"/>
      <c r="H18" s="138"/>
      <c r="I18" s="138"/>
      <c r="K18" s="2427" t="s">
        <v>2138</v>
      </c>
      <c r="L18" s="2427">
        <f>IF(C1="",'数据-汇总表'!E3,SUMIF(项目类型,C1,'数据-汇总表'!E17:E26)+SUMIF(项目类型,C1,'数据-汇总表'!I17:I26))</f>
        <v>2377.56</v>
      </c>
      <c r="M18" s="2427">
        <f>IF(C1="",'数据-汇总表'!E3,SUMIF(项目类型,C1,'数据-汇总表'!E17:E26))</f>
        <v>2377.56</v>
      </c>
    </row>
    <row r="19" spans="1:35" ht="15">
      <c r="A19" s="2433" t="s">
        <v>2139</v>
      </c>
      <c r="B19" s="2434" t="s">
        <v>2140</v>
      </c>
      <c r="C19" s="143">
        <f ca="1">SUMIF(INDIRECT("'"&amp;C4&amp;"'"&amp;"!A:A"),'结果表 (公寓)'!B19,INDIRECT("'"&amp;C4&amp;"'"&amp;"!B:B"))</f>
        <v>17695</v>
      </c>
      <c r="D19" s="144">
        <f ca="1">SUMIF(INDIRECT("'"&amp;D4&amp;"'"&amp;"!A:A"),'结果表 (公寓)'!B19,INDIRECT("'"&amp;D4&amp;"'"&amp;"!B:B"))</f>
        <v>5549</v>
      </c>
      <c r="E19" s="2433" t="s">
        <v>2141</v>
      </c>
      <c r="F19" s="2434" t="s">
        <v>2140</v>
      </c>
      <c r="G19" s="145">
        <f ca="1">ROUND(C19*$C$18+D19*$D$18,0)</f>
        <v>14051</v>
      </c>
      <c r="H19" s="2435" t="s">
        <v>2142</v>
      </c>
      <c r="I19" s="138"/>
      <c r="K19" s="2427" t="s">
        <v>2143</v>
      </c>
      <c r="L19" s="2427">
        <f>IF(C1="",'数据-汇总表'!D3,SUMIF(项目类型,C1,'数据-汇总表'!D17:D26)+SUMIF(项目类型,C1,'数据-汇总表'!H17:H27))</f>
        <v>426.98</v>
      </c>
      <c r="M19" s="2427">
        <f>IF(C1="",'数据-汇总表'!D3,SUMIF(项目类型,C1,'数据-汇总表'!D17:D26))</f>
        <v>426.98</v>
      </c>
    </row>
    <row r="20" spans="1:35" ht="15">
      <c r="A20" s="2436"/>
      <c r="B20" s="1249" t="s">
        <v>2144</v>
      </c>
      <c r="C20" s="146">
        <f ca="1">SUMIF(INDIRECT("'"&amp;C4&amp;"'"&amp;"!A:A"),'结果表 (公寓)'!B20,INDIRECT("'"&amp;C4&amp;"'"&amp;"!B:B"))</f>
        <v>74425</v>
      </c>
      <c r="D20" s="147">
        <f ca="1">SUMIF(INDIRECT("'"&amp;D4&amp;"'"&amp;"!A:A"),'结果表 (公寓)'!B20,INDIRECT("'"&amp;D4&amp;"'"&amp;"!B:B"))</f>
        <v>23339</v>
      </c>
      <c r="E20" s="2436"/>
      <c r="F20" s="1249" t="s">
        <v>2144</v>
      </c>
      <c r="G20" s="148">
        <f ca="1">ROUND(C20*$C$18+D20*$D$18,0)</f>
        <v>59099</v>
      </c>
      <c r="H20" s="982" t="s">
        <v>2145</v>
      </c>
      <c r="I20" s="138"/>
    </row>
    <row r="21" spans="1:35" ht="15" customHeight="1" thickBot="1">
      <c r="A21" s="1002"/>
      <c r="B21" s="2437" t="s">
        <v>2146</v>
      </c>
      <c r="C21" s="789">
        <f ca="1">ROUND(C19*10000/L19,0)</f>
        <v>414422</v>
      </c>
      <c r="D21" s="790">
        <f ca="1">ROUND(D19*10000/L19,0)</f>
        <v>129959</v>
      </c>
      <c r="E21" s="1002"/>
      <c r="F21" s="2437" t="s">
        <v>2146</v>
      </c>
      <c r="G21" s="149">
        <f ca="1">ROUND(G19*10000/L19,0)</f>
        <v>329079</v>
      </c>
      <c r="H21" s="2438" t="s">
        <v>2145</v>
      </c>
      <c r="I21" s="138"/>
    </row>
    <row r="22" spans="1:35" ht="15" thickBot="1">
      <c r="A22" s="2279" t="s">
        <v>2147</v>
      </c>
      <c r="B22" s="2439"/>
      <c r="C22" s="2440"/>
      <c r="D22" s="791">
        <f ca="1">IF(C19&lt;D19,D19/C19-1,C19/D19-1)</f>
        <v>2.1888628581726439</v>
      </c>
      <c r="E22" s="138"/>
      <c r="F22" s="138"/>
      <c r="G22" s="138"/>
      <c r="H22" s="138"/>
      <c r="I22" s="138"/>
    </row>
    <row r="23" spans="1:35" ht="13.5" thickBot="1">
      <c r="A23" s="2417"/>
      <c r="B23" s="2417"/>
      <c r="C23" s="2417"/>
      <c r="D23" s="2417"/>
      <c r="E23" s="138"/>
      <c r="F23" s="138"/>
      <c r="G23" s="138"/>
      <c r="H23" s="138"/>
      <c r="I23" s="138"/>
    </row>
    <row r="24" spans="1:35" ht="14.25">
      <c r="A24" s="3295" t="s">
        <v>2148</v>
      </c>
      <c r="B24" s="2434" t="s">
        <v>2140</v>
      </c>
      <c r="C24" s="145">
        <f>IF(B30=0,0,D30)</f>
        <v>0</v>
      </c>
      <c r="D24" s="2441"/>
      <c r="E24" s="138"/>
      <c r="F24" s="138"/>
      <c r="G24" s="138"/>
      <c r="H24" s="138"/>
      <c r="I24" s="138"/>
    </row>
    <row r="25" spans="1:35" ht="14.25">
      <c r="A25" s="3296"/>
      <c r="B25" s="1249" t="s">
        <v>2144</v>
      </c>
      <c r="C25" s="150">
        <f>IF(B30=0,0,C30)</f>
        <v>0</v>
      </c>
      <c r="D25" s="2442"/>
      <c r="E25" s="138"/>
      <c r="F25" s="138"/>
      <c r="G25" s="138"/>
      <c r="H25" s="138"/>
      <c r="I25" s="138"/>
    </row>
    <row r="26" spans="1:35" ht="13.5" customHeight="1">
      <c r="A26" s="2443" t="s">
        <v>2149</v>
      </c>
      <c r="B26" s="151" t="s">
        <v>2150</v>
      </c>
      <c r="C26" s="151" t="s">
        <v>2151</v>
      </c>
      <c r="D26" s="152" t="s">
        <v>2152</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2153</v>
      </c>
      <c r="B30" s="151"/>
      <c r="C30" s="151"/>
      <c r="D30" s="151"/>
      <c r="E30" s="2923" t="s">
        <v>3032</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2154</v>
      </c>
      <c r="B32" s="2447"/>
      <c r="C32" s="153">
        <f ca="1">IF(D32="总价",G19-C24,G20-C25)</f>
        <v>14051</v>
      </c>
      <c r="D32" s="2448" t="s">
        <v>2155</v>
      </c>
      <c r="E32" s="138"/>
      <c r="F32" s="138"/>
      <c r="G32" s="138"/>
      <c r="H32" s="138"/>
      <c r="I32" s="138"/>
    </row>
    <row r="33" spans="1:15" ht="15">
      <c r="A33" s="959" t="s">
        <v>2156</v>
      </c>
      <c r="B33" s="2449"/>
      <c r="C33" s="2450" t="s">
        <v>3084</v>
      </c>
      <c r="D33" s="2451" t="s">
        <v>3102</v>
      </c>
      <c r="E33" s="2452" t="s">
        <v>2157</v>
      </c>
      <c r="F33" s="2941" t="str">
        <f>IF(D32="楼面单价","取值（单价）","取值（总价）")</f>
        <v>取值（总价）</v>
      </c>
      <c r="G33" s="138"/>
      <c r="H33" s="138"/>
      <c r="I33" s="138"/>
    </row>
    <row r="34" spans="1:15" ht="15">
      <c r="A34" s="2454"/>
      <c r="B34" s="2455" t="s">
        <v>2158</v>
      </c>
      <c r="C34" s="157">
        <f ca="1">IF(C33="自定义",F34,C32-C35)</f>
        <v>4047</v>
      </c>
      <c r="D34" s="1057">
        <f ca="1">IF(C33="自定义",ROUND(C34/C32,3),IF(C33="收益比率",SUMIF(INDIRECT("'"&amp;D33&amp;"'"&amp;"!b:b"),"土地收益比率",INDIRECT("'"&amp;D33&amp;"'"&amp;"!c:c")),SUMIF(INDIRECT("'"&amp;D33&amp;"'"&amp;"!b:b"),"土地成本比率",INDIRECT("'"&amp;D33&amp;"'"&amp;"!c:c"))))</f>
        <v>0.28800000000000003</v>
      </c>
      <c r="E34" s="2456" t="s">
        <v>2159</v>
      </c>
      <c r="F34" s="1738"/>
      <c r="G34" s="138"/>
      <c r="H34" s="138"/>
      <c r="I34" s="138"/>
    </row>
    <row r="35" spans="1:15" ht="15.75" thickBot="1">
      <c r="A35" s="2457"/>
      <c r="B35" s="2458" t="s">
        <v>2160</v>
      </c>
      <c r="C35" s="1443">
        <f ca="1">IF(C33="自定义",F35,ROUND(C32*D35,0))</f>
        <v>10004</v>
      </c>
      <c r="D35" s="1444">
        <f ca="1">IF(C33="自定义",ROUND(C35/C32,3),IF(C33="收益比率",SUMIF(INDIRECT("'"&amp;D33&amp;"'"&amp;"!b:b"),"建筑物收益比率",INDIRECT("'"&amp;D33&amp;"'"&amp;"!c:c")),SUMIF(INDIRECT("'"&amp;D33&amp;"'"&amp;"!b:b"),"建筑物成本比率",INDIRECT("'"&amp;D33&amp;"'"&amp;"!c:c"))))</f>
        <v>0.71199999999999997</v>
      </c>
      <c r="E35" s="2459" t="s">
        <v>2161</v>
      </c>
      <c r="F35" s="163"/>
      <c r="G35" s="138"/>
      <c r="H35" s="138"/>
      <c r="I35" s="138"/>
    </row>
    <row r="36" spans="1:15" ht="15.75" thickBot="1">
      <c r="A36" s="3275" t="s">
        <v>2162</v>
      </c>
      <c r="B36" s="2460" t="s">
        <v>2163</v>
      </c>
      <c r="C36" s="154"/>
      <c r="D36" s="2461"/>
      <c r="E36" s="2462"/>
      <c r="F36" s="2463"/>
      <c r="G36" s="138"/>
      <c r="H36" s="138"/>
      <c r="I36" s="138"/>
    </row>
    <row r="37" spans="1:15" ht="15.75" thickBot="1">
      <c r="A37" s="3276"/>
      <c r="B37" s="2265" t="s">
        <v>2164</v>
      </c>
      <c r="C37" s="156"/>
      <c r="D37" s="1394"/>
      <c r="E37" s="1394"/>
      <c r="F37" s="2463"/>
      <c r="G37" s="138"/>
      <c r="H37" s="138"/>
      <c r="I37" s="138"/>
    </row>
    <row r="38" spans="1:15" ht="15.75" thickBot="1">
      <c r="A38" s="3277"/>
      <c r="B38" s="2464" t="s">
        <v>2165</v>
      </c>
      <c r="C38" s="727"/>
      <c r="D38" s="2465" t="s">
        <v>2166</v>
      </c>
      <c r="E38" s="1394"/>
      <c r="F38" s="2463"/>
      <c r="G38" s="138"/>
      <c r="H38" s="138"/>
      <c r="I38" s="138"/>
    </row>
    <row r="39" spans="1:15" ht="15">
      <c r="A39" s="2436" t="s">
        <v>2167</v>
      </c>
      <c r="B39" s="2466" t="s">
        <v>2168</v>
      </c>
      <c r="C39" s="2467" t="s">
        <v>2151</v>
      </c>
      <c r="D39" s="2467" t="s">
        <v>2170</v>
      </c>
      <c r="E39" s="2468" t="s">
        <v>2152</v>
      </c>
      <c r="F39" s="2463"/>
      <c r="G39" s="138"/>
      <c r="H39" s="138"/>
      <c r="I39" s="138"/>
    </row>
    <row r="40" spans="1:15" ht="14.25">
      <c r="A40" s="2469" t="s">
        <v>2172</v>
      </c>
      <c r="B40" s="158"/>
      <c r="C40" s="159"/>
      <c r="D40" s="159"/>
      <c r="E40" s="160"/>
      <c r="F40" s="2463"/>
      <c r="G40" s="138"/>
      <c r="H40" s="138"/>
      <c r="I40" s="138"/>
    </row>
    <row r="41" spans="1:15" ht="14.25">
      <c r="A41" s="2469" t="s">
        <v>2173</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2174</v>
      </c>
      <c r="B44" s="2474"/>
      <c r="C44" s="2474"/>
      <c r="D44" s="2475"/>
      <c r="E44" s="2475"/>
      <c r="F44" s="2476"/>
      <c r="G44" s="2476"/>
      <c r="H44" s="2476"/>
      <c r="I44" s="2476"/>
      <c r="J44" s="2477" t="s">
        <v>2175</v>
      </c>
      <c r="K44" s="2478"/>
      <c r="L44" s="2478"/>
      <c r="M44" s="2478"/>
      <c r="N44" s="2478"/>
      <c r="O44" s="2478"/>
    </row>
    <row r="45" spans="1:15" ht="14.25" customHeight="1" thickBot="1">
      <c r="A45" s="3292" t="s">
        <v>2176</v>
      </c>
      <c r="B45" s="3293"/>
      <c r="C45" s="3294"/>
      <c r="D45" s="164">
        <f ca="1">ROUND(H101*F45,0)</f>
        <v>14051</v>
      </c>
      <c r="E45" s="165" t="s">
        <v>2177</v>
      </c>
      <c r="F45" s="166">
        <v>1</v>
      </c>
      <c r="G45" s="167" t="s">
        <v>2178</v>
      </c>
      <c r="H45" s="138"/>
      <c r="I45" s="138"/>
      <c r="J45" s="3211" t="s">
        <v>2179</v>
      </c>
      <c r="K45" s="3211"/>
      <c r="L45" s="3211"/>
      <c r="M45" s="3211"/>
      <c r="N45" s="3211"/>
      <c r="O45" s="3211"/>
    </row>
    <row r="46" spans="1:15" ht="14.25" customHeight="1">
      <c r="A46" s="3289" t="s">
        <v>2180</v>
      </c>
      <c r="B46" s="3290"/>
      <c r="C46" s="3290"/>
      <c r="D46" s="3290"/>
      <c r="E46" s="3290"/>
      <c r="F46" s="3290"/>
      <c r="G46" s="3291"/>
      <c r="H46" s="2479"/>
      <c r="I46" s="168"/>
      <c r="J46" s="2955">
        <v>1</v>
      </c>
      <c r="K46" s="3211" t="s">
        <v>2181</v>
      </c>
      <c r="L46" s="3211"/>
      <c r="M46" s="3212"/>
      <c r="N46" s="3212"/>
      <c r="O46" s="3212"/>
    </row>
    <row r="47" spans="1:15" ht="12" customHeight="1">
      <c r="A47" s="169" t="s">
        <v>2182</v>
      </c>
      <c r="B47" s="170"/>
      <c r="C47" s="171"/>
      <c r="D47" s="172" t="s">
        <v>2183</v>
      </c>
      <c r="E47" s="24" t="s">
        <v>2184</v>
      </c>
      <c r="F47" s="173" t="s">
        <v>2185</v>
      </c>
      <c r="G47" s="174" t="s">
        <v>2186</v>
      </c>
      <c r="H47" s="2479"/>
      <c r="I47" s="168"/>
      <c r="J47" s="2955">
        <v>2</v>
      </c>
      <c r="K47" s="3211" t="s">
        <v>2187</v>
      </c>
      <c r="L47" s="3211"/>
      <c r="M47" s="3213">
        <f>'数据-取费表'!B2</f>
        <v>43482</v>
      </c>
      <c r="N47" s="3213"/>
      <c r="O47" s="3213"/>
    </row>
    <row r="48" spans="1:15" ht="25.5">
      <c r="A48" s="3279" t="s">
        <v>2188</v>
      </c>
      <c r="B48" s="3280"/>
      <c r="C48" s="3280"/>
      <c r="D48" s="140">
        <f>IF(H48="情况1",0,IF(H48="情况2",D52,IF(H48="情况3",D53,IF(H48="情况4",D54))))</f>
        <v>0</v>
      </c>
      <c r="E48" s="2946" t="str">
        <f>IF(H48="情况4","(销售额-原购置价)×税（费）率","销售额×税（费）率")</f>
        <v>销售额×税（费）率</v>
      </c>
      <c r="F48" s="175" t="str">
        <f>IF(H48="情况1","免征",'数据-取费表'!B41)</f>
        <v>免征</v>
      </c>
      <c r="G48" s="2480" t="s">
        <v>2189</v>
      </c>
      <c r="H48" s="2481" t="s">
        <v>2190</v>
      </c>
      <c r="I48" s="2479"/>
      <c r="J48" s="2955">
        <v>3</v>
      </c>
      <c r="K48" s="3211" t="s">
        <v>2191</v>
      </c>
      <c r="L48" s="3211"/>
      <c r="M48" s="3214">
        <f ca="1">H101</f>
        <v>14051</v>
      </c>
      <c r="N48" s="3214"/>
      <c r="O48" s="3214"/>
    </row>
    <row r="49" spans="1:35" ht="25.5" customHeight="1">
      <c r="A49" s="176" t="s">
        <v>2192</v>
      </c>
      <c r="B49" s="3259" t="s">
        <v>2193</v>
      </c>
      <c r="C49" s="3259"/>
      <c r="D49" s="177">
        <v>0</v>
      </c>
      <c r="E49" s="23" t="s">
        <v>2194</v>
      </c>
      <c r="F49" s="28" t="s">
        <v>34</v>
      </c>
      <c r="G49" s="3240"/>
      <c r="H49" s="138"/>
      <c r="I49" s="2482"/>
      <c r="J49" s="2955">
        <v>4</v>
      </c>
      <c r="K49" s="3211" t="str">
        <f>IF(项目基本情况!E8="房地产抵押价值","房地产抵押价值","抵押担保权已注销时的房地产抵押价值")</f>
        <v>房地产抵押价值</v>
      </c>
      <c r="L49" s="3211"/>
      <c r="M49" s="3214">
        <f ca="1">IF(项目基本情况!E8="房地产抵押价值",H107,H109)</f>
        <v>14051</v>
      </c>
      <c r="N49" s="3214"/>
      <c r="O49" s="3214"/>
    </row>
    <row r="50" spans="1:35" ht="25.5" customHeight="1">
      <c r="A50" s="178"/>
      <c r="B50" s="3259" t="s">
        <v>2195</v>
      </c>
      <c r="C50" s="3259"/>
      <c r="D50" s="179"/>
      <c r="E50" s="31"/>
      <c r="F50" s="180"/>
      <c r="G50" s="3241"/>
      <c r="H50" s="138"/>
      <c r="I50" s="2482"/>
      <c r="J50" s="3211" t="s">
        <v>2196</v>
      </c>
      <c r="K50" s="3211"/>
      <c r="L50" s="3211"/>
      <c r="M50" s="3211"/>
      <c r="N50" s="3211"/>
      <c r="O50" s="3211"/>
    </row>
    <row r="51" spans="1:35" ht="12" customHeight="1">
      <c r="A51" s="181"/>
      <c r="B51" s="3259" t="s">
        <v>2197</v>
      </c>
      <c r="C51" s="3259"/>
      <c r="D51" s="182"/>
      <c r="E51" s="30"/>
      <c r="F51" s="180"/>
      <c r="G51" s="3242"/>
      <c r="H51" s="138"/>
      <c r="I51" s="2482"/>
      <c r="J51" s="2954" t="s">
        <v>2198</v>
      </c>
      <c r="K51" s="3211" t="s">
        <v>2199</v>
      </c>
      <c r="L51" s="3211"/>
      <c r="M51" s="2954" t="s">
        <v>2200</v>
      </c>
      <c r="N51" s="2954" t="s">
        <v>2201</v>
      </c>
      <c r="O51" s="2954" t="s">
        <v>2202</v>
      </c>
    </row>
    <row r="52" spans="1:35" ht="24" customHeight="1">
      <c r="A52" s="183" t="s">
        <v>2203</v>
      </c>
      <c r="B52" s="3259" t="s">
        <v>2204</v>
      </c>
      <c r="C52" s="3259"/>
      <c r="D52" s="182">
        <f ca="1">ROUND(D45*'数据-取费表'!B41/(1+'数据-取费表'!C42),0)</f>
        <v>749</v>
      </c>
      <c r="E52" s="11" t="s">
        <v>2205</v>
      </c>
      <c r="F52" s="184">
        <f>'数据-取费表'!B41</f>
        <v>5.6000000000000001E-2</v>
      </c>
      <c r="G52" s="2484"/>
      <c r="H52" s="138"/>
      <c r="I52" s="2482"/>
      <c r="J52" s="2955">
        <v>1</v>
      </c>
      <c r="K52" s="3234" t="s">
        <v>2206</v>
      </c>
      <c r="L52" s="3234"/>
      <c r="M52" s="1753">
        <f>D48</f>
        <v>0</v>
      </c>
      <c r="N52" s="2955" t="str">
        <f>E48</f>
        <v>销售额×税（费）率</v>
      </c>
      <c r="O52" s="1754" t="str">
        <f>F48</f>
        <v>免征</v>
      </c>
    </row>
    <row r="53" spans="1:35" ht="12" customHeight="1">
      <c r="A53" s="183" t="s">
        <v>2207</v>
      </c>
      <c r="B53" s="3260" t="s">
        <v>2208</v>
      </c>
      <c r="C53" s="3261"/>
      <c r="D53" s="182">
        <f ca="1">ROUND(D45*'数据-取费表'!B41/(1+'数据-取费表'!C42),0)</f>
        <v>749</v>
      </c>
      <c r="E53" s="11" t="s">
        <v>2205</v>
      </c>
      <c r="F53" s="184">
        <f>'数据-取费表'!B41</f>
        <v>5.6000000000000001E-2</v>
      </c>
      <c r="G53" s="2484"/>
      <c r="H53" s="138"/>
      <c r="I53" s="2482"/>
      <c r="J53" s="2955">
        <v>2</v>
      </c>
      <c r="K53" s="3234" t="s">
        <v>2209</v>
      </c>
      <c r="L53" s="3234"/>
      <c r="M53" s="1753">
        <f t="shared" ref="M53:O54" ca="1" si="0">D55</f>
        <v>7</v>
      </c>
      <c r="N53" s="2955" t="str">
        <f t="shared" si="0"/>
        <v>销售额×税（费）率</v>
      </c>
      <c r="O53" s="1754">
        <f t="shared" si="0"/>
        <v>5.0000000000000001E-4</v>
      </c>
    </row>
    <row r="54" spans="1:35" ht="12" customHeight="1">
      <c r="A54" s="183" t="s">
        <v>2210</v>
      </c>
      <c r="B54" s="3260" t="s">
        <v>2211</v>
      </c>
      <c r="C54" s="3261"/>
      <c r="D54" s="182">
        <f ca="1">C68</f>
        <v>749</v>
      </c>
      <c r="E54" s="30" t="s">
        <v>2212</v>
      </c>
      <c r="F54" s="184">
        <f>'数据-取费表'!B41</f>
        <v>5.6000000000000001E-2</v>
      </c>
      <c r="G54" s="2484"/>
      <c r="H54" s="2485"/>
      <c r="I54" s="2482"/>
      <c r="J54" s="2955">
        <v>3</v>
      </c>
      <c r="K54" s="3234" t="s">
        <v>2213</v>
      </c>
      <c r="L54" s="3234"/>
      <c r="M54" s="1753">
        <f t="shared" ca="1" si="0"/>
        <v>7953</v>
      </c>
      <c r="N54" s="2955" t="str">
        <f t="shared" si="0"/>
        <v>增值额×税（费）率</v>
      </c>
      <c r="O54" s="1755" t="str">
        <f t="shared" si="0"/>
        <v>——</v>
      </c>
    </row>
    <row r="55" spans="1:35" ht="24" customHeight="1">
      <c r="A55" s="3298" t="s">
        <v>2214</v>
      </c>
      <c r="B55" s="3280"/>
      <c r="C55" s="3280"/>
      <c r="D55" s="185">
        <f ca="1">IF(H55="个人住宅",0,ROUND(D45*I55,0))</f>
        <v>7</v>
      </c>
      <c r="E55" s="11" t="s">
        <v>2215</v>
      </c>
      <c r="F55" s="184">
        <f>IF(H55="正常",I55,"免征")</f>
        <v>5.0000000000000001E-4</v>
      </c>
      <c r="G55" s="2484"/>
      <c r="H55" s="2481" t="s">
        <v>2216</v>
      </c>
      <c r="I55" s="186">
        <f>'数据-取费表'!B49</f>
        <v>5.0000000000000001E-4</v>
      </c>
      <c r="J55" s="2955" t="str">
        <f>IF(H59="非个人房产","",4)</f>
        <v/>
      </c>
      <c r="K55" s="3234" t="str">
        <f>IF(H59="非个人房产","——","个人所得税")</f>
        <v>——</v>
      </c>
      <c r="L55" s="3234"/>
      <c r="M55" s="1756" t="str">
        <f>D59</f>
        <v>——</v>
      </c>
      <c r="N55" s="2956" t="str">
        <f>E59</f>
        <v>——</v>
      </c>
      <c r="O55" s="1757" t="str">
        <f>F59</f>
        <v>——</v>
      </c>
    </row>
    <row r="56" spans="1:35" ht="24.75">
      <c r="A56" s="3298" t="s">
        <v>2217</v>
      </c>
      <c r="B56" s="3280"/>
      <c r="C56" s="3280"/>
      <c r="D56" s="185">
        <f ca="1">IF(H56="个人住宅",D57,D58)</f>
        <v>7953</v>
      </c>
      <c r="E56" s="11" t="s">
        <v>2218</v>
      </c>
      <c r="F56" s="184" t="str">
        <f>IF(H56="正常",F58,"免征")</f>
        <v>——</v>
      </c>
      <c r="G56" s="2486" t="s">
        <v>2219</v>
      </c>
      <c r="H56" s="2487" t="s">
        <v>2216</v>
      </c>
      <c r="I56" s="2488"/>
      <c r="J56" s="2955" t="str">
        <f>IF(项目基本情况!K6="上海银行",IF(J55="",4,J55+1),"")</f>
        <v/>
      </c>
      <c r="K56" s="3217" t="str">
        <f>IF(项目基本情况!K6="上海银行","其他处置费用","")</f>
        <v/>
      </c>
      <c r="L56" s="3218"/>
      <c r="M56" s="1753" t="str">
        <f>IF(项目基本情况!K6="上海银行",M69,"")</f>
        <v/>
      </c>
      <c r="N56" s="3220" t="str">
        <f>IF(项目基本情况!K6="上海银行","包含处置中涉及的律师、诉讼、拍卖、评估等费用","")</f>
        <v/>
      </c>
      <c r="O56" s="3221"/>
    </row>
    <row r="57" spans="1:35" ht="12.75">
      <c r="A57" s="183" t="s">
        <v>2192</v>
      </c>
      <c r="B57" s="3265" t="s">
        <v>2220</v>
      </c>
      <c r="C57" s="3266"/>
      <c r="D57" s="187">
        <v>0</v>
      </c>
      <c r="E57" s="23" t="s">
        <v>2194</v>
      </c>
      <c r="F57" s="155"/>
      <c r="G57" s="2484"/>
      <c r="H57" s="2488"/>
      <c r="I57" s="2488"/>
      <c r="J57" s="3234">
        <f>IF(AND(J55="",J56=""),4,IF(项目基本情况!K6="上海银行",'结果表 (公寓)'!J56+1,'结果表 (公寓)'!J55+1))</f>
        <v>4</v>
      </c>
      <c r="K57" s="3234" t="s">
        <v>2221</v>
      </c>
      <c r="L57" s="2489" t="s">
        <v>2222</v>
      </c>
      <c r="M57" s="1758"/>
      <c r="N57" s="1759">
        <f ca="1">SUMIF(M52:M56,"&lt;9e307")</f>
        <v>7960</v>
      </c>
      <c r="O57" s="2490"/>
      <c r="P57" s="1752">
        <f ca="1">N57/M49</f>
        <v>0.56650772187032949</v>
      </c>
    </row>
    <row r="58" spans="1:35" ht="24.75">
      <c r="A58" s="183" t="s">
        <v>2203</v>
      </c>
      <c r="B58" s="3265" t="s">
        <v>2223</v>
      </c>
      <c r="C58" s="3278"/>
      <c r="D58" s="185">
        <f ca="1">IF(H58="转让取得",C81,C97)</f>
        <v>7953</v>
      </c>
      <c r="E58" s="11" t="s">
        <v>2218</v>
      </c>
      <c r="F58" s="24" t="s">
        <v>34</v>
      </c>
      <c r="G58" s="2484"/>
      <c r="H58" s="2487" t="s">
        <v>2224</v>
      </c>
      <c r="I58" s="2488"/>
      <c r="J58" s="3234"/>
      <c r="K58" s="3234"/>
      <c r="L58" s="2489" t="s">
        <v>2225</v>
      </c>
      <c r="M58" s="1760"/>
      <c r="N58" s="2491" t="str">
        <f ca="1">NUMBERSTRING(INT(N57*10000),2)&amp;"元整"</f>
        <v>柒仟玖佰陆拾万元整</v>
      </c>
      <c r="O58" s="2492"/>
    </row>
    <row r="59" spans="1:35" ht="24.75" thickBot="1">
      <c r="A59" s="3238" t="s">
        <v>2226</v>
      </c>
      <c r="B59" s="3239"/>
      <c r="C59" s="3239"/>
      <c r="D59" s="188" t="str">
        <f>IF(H59="非个人房产","——",IF(H59="个人住宅",0,ROUND(D45*I59,0)))</f>
        <v>——</v>
      </c>
      <c r="E59" s="189" t="str">
        <f>IF(H59="非个人房产","——","销售额×税（费）率")</f>
        <v>——</v>
      </c>
      <c r="F59" s="190" t="str">
        <f>IF(H59="非个人房产","——",IF(H59="个人住宅","免征",I59))</f>
        <v>——</v>
      </c>
      <c r="G59" s="2493" t="s">
        <v>2219</v>
      </c>
      <c r="H59" s="2487" t="s">
        <v>2227</v>
      </c>
      <c r="I59" s="191">
        <v>0.01</v>
      </c>
      <c r="J59" s="3236">
        <f>J57+1</f>
        <v>5</v>
      </c>
      <c r="K59" s="3234" t="s">
        <v>2228</v>
      </c>
      <c r="L59" s="2955" t="s">
        <v>2222</v>
      </c>
      <c r="M59" s="1761"/>
      <c r="N59" s="1762">
        <f ca="1">M49-N57</f>
        <v>6091</v>
      </c>
      <c r="O59" s="2494"/>
    </row>
    <row r="60" spans="1:35" ht="12" customHeight="1">
      <c r="A60" s="2495"/>
      <c r="B60" s="2417"/>
      <c r="C60" s="2417"/>
      <c r="D60" s="2417"/>
      <c r="E60" s="2165"/>
      <c r="F60" s="2488"/>
      <c r="G60" s="2488"/>
      <c r="H60" s="2496"/>
      <c r="I60" s="138"/>
      <c r="J60" s="3237"/>
      <c r="K60" s="3234"/>
      <c r="L60" s="2489" t="s">
        <v>2225</v>
      </c>
      <c r="M60" s="1760"/>
      <c r="N60" s="2491" t="str">
        <f ca="1">NUMBERSTRING(INT(N59*10000),2)&amp;"元整"</f>
        <v>陆仟零玖拾壹万元整</v>
      </c>
      <c r="O60" s="2492"/>
    </row>
    <row r="61" spans="1:35" ht="13.5" thickBot="1">
      <c r="A61" s="3297" t="s">
        <v>2229</v>
      </c>
      <c r="B61" s="3297"/>
      <c r="C61" s="3297"/>
      <c r="D61" s="3297"/>
      <c r="E61" s="3297"/>
      <c r="F61" s="2488"/>
      <c r="G61" s="2488"/>
      <c r="H61" s="2496"/>
      <c r="I61" s="138"/>
      <c r="J61" s="2955">
        <f>J59+1</f>
        <v>6</v>
      </c>
      <c r="K61" s="3234" t="s">
        <v>2230</v>
      </c>
      <c r="L61" s="3234"/>
      <c r="M61" s="1763"/>
      <c r="N61" s="1764">
        <f ca="1">ROUND(N59*10000/'数据-汇总表'!E3,0)</f>
        <v>443</v>
      </c>
      <c r="O61" s="2497"/>
    </row>
    <row r="62" spans="1:35" ht="12.75">
      <c r="A62" s="3254" t="s">
        <v>2231</v>
      </c>
      <c r="B62" s="3255"/>
      <c r="C62" s="2949"/>
      <c r="D62" s="2949" t="s">
        <v>2232</v>
      </c>
      <c r="E62" s="192" t="s">
        <v>2233</v>
      </c>
      <c r="F62" s="2488"/>
      <c r="G62" s="2488"/>
      <c r="H62" s="2496"/>
      <c r="I62" s="138"/>
    </row>
    <row r="63" spans="1:35" ht="12.75">
      <c r="A63" s="203" t="s">
        <v>775</v>
      </c>
      <c r="B63" s="193" t="s">
        <v>2234</v>
      </c>
      <c r="C63" s="194">
        <f ca="1">ROUND((C64+C65)/(1+'数据-取费表'!C42),0)</f>
        <v>13382</v>
      </c>
      <c r="D63" s="195"/>
      <c r="E63" s="196"/>
      <c r="F63" s="2488"/>
      <c r="G63" s="2488"/>
      <c r="H63" s="2496"/>
      <c r="I63" s="138"/>
      <c r="J63" s="3219" t="s">
        <v>2235</v>
      </c>
      <c r="K63" s="2959" t="s">
        <v>2236</v>
      </c>
      <c r="L63" s="1751">
        <f ca="1">IF(M49&gt;10000,M49*0.5%,IF(AND(M49&gt;1000,M49&lt;=10000),M49*1%,IF(AND(M49&gt;100,M49&lt;=1000),M49*3%,IF(AND(M49&gt;10,M49&lt;=100),M49*5%,M49*8%))))</f>
        <v>70.254999999999995</v>
      </c>
      <c r="M63" s="24">
        <f ca="1">ROUND(L63,1)</f>
        <v>70.3</v>
      </c>
      <c r="Z63" s="2422"/>
      <c r="AI63" s="2423"/>
    </row>
    <row r="64" spans="1:35" ht="14.25" customHeight="1">
      <c r="A64" s="197" t="s">
        <v>770</v>
      </c>
      <c r="B64" s="198" t="s">
        <v>2237</v>
      </c>
      <c r="C64" s="199">
        <f ca="1">D45</f>
        <v>14051</v>
      </c>
      <c r="D64" s="200" t="s">
        <v>32</v>
      </c>
      <c r="E64" s="201"/>
      <c r="F64" s="2488"/>
      <c r="G64" s="2488"/>
      <c r="H64" s="2496"/>
      <c r="I64" s="138"/>
      <c r="J64" s="3219"/>
      <c r="K64" s="2959" t="s">
        <v>2238</v>
      </c>
      <c r="L64" s="1751">
        <f ca="1">IF(M49&gt;2000,M49*0.5%,IF(AND(M49&gt;1000,M49&lt;=2000),M49*0.6%,IF(AND(M49&gt;500,M49&lt;=1000),M49*0.7%,IF(AND(M49&gt;200,M49&lt;=500),M49*0.8%,IF(AND(M49&gt;100,M49&lt;=200),M49*0.9%,IF(AND(M49&gt;50,M49&lt;=100),M49*1%,IF(AND(M49&gt;20,M49&lt;=50),M49*1.5%,IF(AND(M49&gt;10,M49&lt;=20),M49*2%,IF(AND(M49&gt;1,M49&lt;=10),M49*2.5%)))))))))</f>
        <v>70.254999999999995</v>
      </c>
      <c r="M64" s="24">
        <f t="shared" ref="M64:M65" ca="1" si="1">ROUND(L64,1)</f>
        <v>70.3</v>
      </c>
      <c r="N64" s="138" t="s">
        <v>2239</v>
      </c>
      <c r="Z64" s="2422"/>
      <c r="AI64" s="2423"/>
    </row>
    <row r="65" spans="1:35" ht="14.25" customHeight="1">
      <c r="A65" s="197" t="s">
        <v>771</v>
      </c>
      <c r="B65" s="198" t="s">
        <v>2240</v>
      </c>
      <c r="C65" s="202"/>
      <c r="D65" s="200"/>
      <c r="E65" s="201"/>
      <c r="F65" s="2488"/>
      <c r="G65" s="2488"/>
      <c r="H65" s="2496"/>
      <c r="I65" s="138"/>
      <c r="J65" s="3219"/>
      <c r="K65" s="2959" t="s">
        <v>2241</v>
      </c>
      <c r="L65" s="1751">
        <f ca="1">IF(M49&gt;1000,M49*0.1%,IF(AND(M49&gt;500,M49&lt;=1000),M49*0.5%,IF(AND(M49&gt;50,M49&lt;=500),M49*1%,IF(AND(M49&gt;1,M49&lt;=50),M49*1.5%))))</f>
        <v>14.051</v>
      </c>
      <c r="M65" s="24">
        <f t="shared" ca="1" si="1"/>
        <v>14.1</v>
      </c>
      <c r="N65" s="138" t="s">
        <v>2239</v>
      </c>
      <c r="Z65" s="2422"/>
      <c r="AI65" s="2423"/>
    </row>
    <row r="66" spans="1:35" ht="14.25" customHeight="1">
      <c r="A66" s="203" t="s">
        <v>772</v>
      </c>
      <c r="B66" s="204" t="s">
        <v>2242</v>
      </c>
      <c r="C66" s="205"/>
      <c r="D66" s="206" t="s">
        <v>32</v>
      </c>
      <c r="E66" s="1775" t="s">
        <v>1367</v>
      </c>
      <c r="F66" s="2488"/>
      <c r="G66" s="2488"/>
      <c r="H66" s="2496"/>
      <c r="I66" s="138"/>
      <c r="J66" s="3219"/>
      <c r="K66" s="2959" t="s">
        <v>2243</v>
      </c>
      <c r="L66" s="1751">
        <f ca="1">M49*0.5%</f>
        <v>70.254999999999995</v>
      </c>
      <c r="M66" s="24">
        <f ca="1">IF(L66&gt;0.5,0.5,ROUND(L66,0))</f>
        <v>0.5</v>
      </c>
      <c r="N66" s="138" t="s">
        <v>2244</v>
      </c>
      <c r="Z66" s="2422"/>
      <c r="AI66" s="2423"/>
    </row>
    <row r="67" spans="1:35" ht="14.25" customHeight="1">
      <c r="A67" s="203" t="s">
        <v>773</v>
      </c>
      <c r="B67" s="204" t="s">
        <v>2245</v>
      </c>
      <c r="C67" s="207">
        <f ca="1">C63-C66</f>
        <v>13382</v>
      </c>
      <c r="D67" s="200" t="s">
        <v>32</v>
      </c>
      <c r="E67" s="201"/>
      <c r="F67" s="2488"/>
      <c r="G67" s="2488"/>
      <c r="H67" s="2496"/>
      <c r="I67" s="138"/>
      <c r="J67" s="3219"/>
      <c r="K67" s="2959" t="s">
        <v>2246</v>
      </c>
      <c r="L67" s="1751">
        <f ca="1">IF(M49&gt;=10000,(8.25+(M49-10000)*0.01%),IF(AND(M49&gt;=8000,M49&lt;10000),(7.85+(M49-8000)*0.02%),IF(AND(M49&gt;=5000,M49&lt;8000),(6.65+(M49-5000)*0.04%),IF(AND(M49&gt;=2000,M49&lt;5000),(4.25+(PM49-2000)*0.08%),IF(AND(M49&gt;=1000,M49&lt;2000),(2.75+(M49-1000)*0.15%),IF(AND(M49&gt;=100,M49&lt;1000),(0.5+(M49-100)*0.25%),IF(AND(M49&gt;0,M49&lt;100),M49*0.5%)))))))</f>
        <v>8.6551000000000009</v>
      </c>
      <c r="M67" s="24">
        <f ca="1">ROUND(L67*0.9,1)</f>
        <v>7.8</v>
      </c>
      <c r="Z67" s="2422"/>
      <c r="AI67" s="2423"/>
    </row>
    <row r="68" spans="1:35" ht="14.25" customHeight="1" thickBot="1">
      <c r="A68" s="208" t="s">
        <v>774</v>
      </c>
      <c r="B68" s="209" t="s">
        <v>2247</v>
      </c>
      <c r="C68" s="210">
        <f ca="1">IF(C67&lt;=0,0,ROUND(C67*D68,0))</f>
        <v>749</v>
      </c>
      <c r="D68" s="211">
        <f>'数据-取费表'!B41</f>
        <v>5.6000000000000001E-2</v>
      </c>
      <c r="E68" s="212"/>
      <c r="F68" s="2488"/>
      <c r="G68" s="2488"/>
      <c r="H68" s="2496"/>
      <c r="I68" s="138"/>
      <c r="J68" s="3219"/>
      <c r="K68" s="2959" t="s">
        <v>2248</v>
      </c>
      <c r="L68" s="1751">
        <f ca="1">IF(M49&gt;10000,M49*0.5%,IF(AND(M49&gt;5000,M49&lt;=10000),M49*1%,IF(AND(M49&gt;1000,M49&lt;=5000),M49*2%,IF(AND(M49&gt;200,M49&lt;=1000),M49*3%,M49*5%))))</f>
        <v>70.254999999999995</v>
      </c>
      <c r="M68" s="24">
        <f ca="1">ROUND(L68,1)</f>
        <v>70.3</v>
      </c>
      <c r="Z68" s="2422"/>
      <c r="AI68" s="2423"/>
    </row>
    <row r="69" spans="1:35" s="2445" customFormat="1" ht="16.5" customHeight="1">
      <c r="A69" s="2499"/>
      <c r="B69" s="2500"/>
      <c r="C69" s="2501"/>
      <c r="D69" s="2502"/>
      <c r="E69" s="2503"/>
      <c r="F69" s="2165"/>
      <c r="G69" s="2165"/>
      <c r="H69" s="2164"/>
      <c r="I69" s="2417"/>
      <c r="J69" s="3219"/>
      <c r="K69" s="2959" t="s">
        <v>2249</v>
      </c>
      <c r="L69" s="2504"/>
      <c r="M69" s="24">
        <f ca="1">ROUND(SUM(M63:M68),0)</f>
        <v>233</v>
      </c>
      <c r="N69" s="1752">
        <f ca="1">M69/M49</f>
        <v>1.6582449647711908E-2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263" t="s">
        <v>2250</v>
      </c>
      <c r="B70" s="3264"/>
      <c r="C70" s="3264"/>
      <c r="D70" s="3264"/>
      <c r="E70" s="3264"/>
      <c r="F70" s="3264"/>
      <c r="G70" s="3264"/>
      <c r="H70" s="3264"/>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254" t="s">
        <v>2231</v>
      </c>
      <c r="B71" s="3255"/>
      <c r="C71" s="2949"/>
      <c r="D71" s="2949" t="s">
        <v>2232</v>
      </c>
      <c r="E71" s="213" t="s">
        <v>2233</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2251</v>
      </c>
      <c r="C72" s="207">
        <f ca="1">ROUND(D45/(1+'数据-取费表'!C42),0)</f>
        <v>13382</v>
      </c>
      <c r="D72" s="200" t="s">
        <v>32</v>
      </c>
      <c r="E72" s="2948"/>
      <c r="F72" s="2943"/>
      <c r="G72" s="2943"/>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2252</v>
      </c>
      <c r="C73" s="207">
        <f ca="1">C74+C78</f>
        <v>80</v>
      </c>
      <c r="D73" s="200" t="s">
        <v>32</v>
      </c>
      <c r="E73" s="2948"/>
      <c r="F73" s="2943"/>
      <c r="G73" s="2943"/>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2253</v>
      </c>
      <c r="C74" s="200">
        <f>ROUND(IF(G77="2016年5月1日后购买",C75/(1+'数据-取费表'!C42)+C76+C77,C75+C76+C77),0)</f>
        <v>0</v>
      </c>
      <c r="D74" s="200" t="s">
        <v>32</v>
      </c>
      <c r="E74" s="2948"/>
      <c r="F74" s="2943"/>
      <c r="G74" s="2943"/>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2254</v>
      </c>
      <c r="C75" s="218"/>
      <c r="D75" s="200" t="s">
        <v>32</v>
      </c>
      <c r="E75" s="219" t="s">
        <v>2255</v>
      </c>
      <c r="F75" s="2510" t="s">
        <v>2256</v>
      </c>
      <c r="G75" s="219" t="s">
        <v>2257</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2258</v>
      </c>
      <c r="C76" s="200">
        <f>IF(F75="购房发票",ROUND(C75*H75*D76,0),0)</f>
        <v>0</v>
      </c>
      <c r="D76" s="222">
        <v>0.05</v>
      </c>
      <c r="E76" s="3260" t="s">
        <v>2259</v>
      </c>
      <c r="F76" s="3259"/>
      <c r="G76" s="3259"/>
      <c r="H76" s="3262"/>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2260</v>
      </c>
      <c r="C77" s="200">
        <f>ROUND(IF(G77="个人住宅",0,IF(G77="2016年5月1日前购买",C75*D77,C75*D77/(1+'数据-取费表'!C42))),0)</f>
        <v>0</v>
      </c>
      <c r="D77" s="223">
        <f>'数据-取费表'!B48+'数据-取费表'!B49</f>
        <v>3.0499999999999999E-2</v>
      </c>
      <c r="E77" s="2960" t="s">
        <v>2261</v>
      </c>
      <c r="F77" s="224"/>
      <c r="G77" s="2512" t="s">
        <v>2262</v>
      </c>
      <c r="H77" s="2951"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2263</v>
      </c>
      <c r="C78" s="225">
        <f ca="1">ROUND(D45*D78/(1+'数据-取费表'!C42),0)</f>
        <v>80</v>
      </c>
      <c r="D78" s="226">
        <f>'数据-取费表'!B43</f>
        <v>6.000000000000001E-3</v>
      </c>
      <c r="E78" s="3251" t="s">
        <v>2264</v>
      </c>
      <c r="F78" s="3252"/>
      <c r="G78" s="3252"/>
      <c r="H78" s="3253"/>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2265</v>
      </c>
      <c r="C79" s="207">
        <f ca="1">C72-C73</f>
        <v>13302</v>
      </c>
      <c r="D79" s="200" t="s">
        <v>32</v>
      </c>
      <c r="E79" s="2948"/>
      <c r="F79" s="2943"/>
      <c r="G79" s="2943"/>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2266</v>
      </c>
      <c r="C80" s="227">
        <f ca="1">IF(C79&lt;=0,0,C79/C73)</f>
        <v>166.27500000000001</v>
      </c>
      <c r="D80" s="200" t="s">
        <v>32</v>
      </c>
      <c r="E80" s="2960" t="str">
        <f ca="1">IF(C80&gt;=200%,"增值额超过扣除项目金额200%",IF(C80&gt;=100%,"增值额超过扣除项目金额100%，未超过200%",IF(C80&gt;=50%,"增值额超过扣除项目金额50%，未超过100%",IF(C80&lt;50%,"增值额未超过扣除项目金额50%"))))</f>
        <v>增值额超过扣除项目金额200%</v>
      </c>
      <c r="F80" s="2943"/>
      <c r="G80" s="2943"/>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2267</v>
      </c>
      <c r="C81" s="228">
        <f ca="1">ROUND(IF(C79&lt;=0,0,IF(C80&gt;=200%,C79*60%-C73*35%,IF(C80&gt;=100%,C79*50%-C73*15%,IF(C80&gt;=50%,C79*40%-C73*5%,IF(C80&lt;50%,C79*30%,0))))),0)</f>
        <v>7953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263" t="s">
        <v>2268</v>
      </c>
      <c r="B83" s="3264"/>
      <c r="C83" s="3264"/>
      <c r="D83" s="3264"/>
      <c r="E83" s="3264"/>
      <c r="F83" s="3264"/>
      <c r="G83" s="3264"/>
      <c r="H83" s="3264"/>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254" t="s">
        <v>2231</v>
      </c>
      <c r="B84" s="3255"/>
      <c r="C84" s="2949"/>
      <c r="D84" s="2949" t="s">
        <v>2232</v>
      </c>
      <c r="E84" s="213" t="s">
        <v>2233</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2251</v>
      </c>
      <c r="C85" s="207">
        <f ca="1">ROUND(D45/(1+'数据-取费表'!C42),0)</f>
        <v>13382</v>
      </c>
      <c r="D85" s="200" t="s">
        <v>32</v>
      </c>
      <c r="E85" s="2948"/>
      <c r="F85" s="2943"/>
      <c r="G85" s="2943"/>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2252</v>
      </c>
      <c r="C86" s="207">
        <f ca="1">IF(H88="仅含出让金",C87+C90+C91+C92+C93+C94,C87+C91+C92+C93+C94)</f>
        <v>80</v>
      </c>
      <c r="D86" s="235"/>
      <c r="E86" s="2948"/>
      <c r="F86" s="2943"/>
      <c r="G86" s="2943"/>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2269</v>
      </c>
      <c r="C87" s="225">
        <f>C88+C89</f>
        <v>0</v>
      </c>
      <c r="D87" s="226"/>
      <c r="E87" s="2944"/>
      <c r="F87" s="2945"/>
      <c r="G87" s="2945"/>
      <c r="H87" s="294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2270</v>
      </c>
      <c r="C88" s="236"/>
      <c r="D88" s="226"/>
      <c r="E88" s="237" t="s">
        <v>2271</v>
      </c>
      <c r="F88" s="2945"/>
      <c r="G88" s="238" t="s">
        <v>2272</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2260</v>
      </c>
      <c r="C89" s="225">
        <f>ROUND(C88*D89,0)</f>
        <v>0</v>
      </c>
      <c r="D89" s="226">
        <f>'数据-取费表'!B48+'数据-取费表'!B49</f>
        <v>3.0499999999999999E-2</v>
      </c>
      <c r="E89" s="237" t="s">
        <v>2273</v>
      </c>
      <c r="F89" s="2945"/>
      <c r="G89" s="2945"/>
      <c r="H89" s="294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2274</v>
      </c>
      <c r="C90" s="236"/>
      <c r="D90" s="226"/>
      <c r="E90" s="237" t="str">
        <f>IF(H88="-","土地取得成本中已包含该笔费用"," ")</f>
        <v xml:space="preserve"> </v>
      </c>
      <c r="F90" s="2945"/>
      <c r="G90" s="2945"/>
      <c r="H90" s="294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2275</v>
      </c>
      <c r="B91" s="198" t="s">
        <v>2276</v>
      </c>
      <c r="C91" s="225">
        <f>IF(H91="——",成本法!C33,I91)</f>
        <v>0</v>
      </c>
      <c r="D91" s="226"/>
      <c r="E91" s="3251" t="s">
        <v>2277</v>
      </c>
      <c r="F91" s="3252"/>
      <c r="G91" s="3252"/>
      <c r="H91" s="2517" t="s">
        <v>2278</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2279</v>
      </c>
      <c r="B92" s="198" t="s">
        <v>2280</v>
      </c>
      <c r="C92" s="225">
        <f>ROUND((C87+C90+C91)*D92,0)</f>
        <v>0</v>
      </c>
      <c r="D92" s="226">
        <v>0.1</v>
      </c>
      <c r="E92" s="3251" t="s">
        <v>2281</v>
      </c>
      <c r="F92" s="3252"/>
      <c r="G92" s="3252"/>
      <c r="H92" s="3253"/>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2282</v>
      </c>
      <c r="B93" s="198" t="s">
        <v>2263</v>
      </c>
      <c r="C93" s="225">
        <f ca="1">ROUND(D45*D93/(1+'数据-取费表'!C42),0)</f>
        <v>80</v>
      </c>
      <c r="D93" s="226">
        <f>'数据-取费表'!B43</f>
        <v>6.000000000000001E-3</v>
      </c>
      <c r="E93" s="3251" t="s">
        <v>2264</v>
      </c>
      <c r="F93" s="3252"/>
      <c r="G93" s="3252"/>
      <c r="H93" s="3253"/>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2283</v>
      </c>
      <c r="B94" s="198" t="s">
        <v>2284</v>
      </c>
      <c r="C94" s="236">
        <f>ROUND((C87+C90+C91)*D94,0)</f>
        <v>0</v>
      </c>
      <c r="D94" s="226">
        <v>0.2</v>
      </c>
      <c r="E94" s="3299" t="s">
        <v>2285</v>
      </c>
      <c r="F94" s="3300"/>
      <c r="G94" s="3300"/>
      <c r="H94" s="330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2265</v>
      </c>
      <c r="C95" s="207">
        <f ca="1">ROUND(C85-C86,0)</f>
        <v>13302</v>
      </c>
      <c r="D95" s="200" t="s">
        <v>32</v>
      </c>
      <c r="E95" s="2948"/>
      <c r="F95" s="2943"/>
      <c r="G95" s="2943"/>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2266</v>
      </c>
      <c r="C96" s="227">
        <f ca="1">IF(C95&lt;=0,0,C95/C86)</f>
        <v>166.27500000000001</v>
      </c>
      <c r="D96" s="200" t="s">
        <v>32</v>
      </c>
      <c r="E96" s="2960" t="str">
        <f ca="1">IF(C96&gt;=200%,"增值额超过扣除项目金额200%",IF(C96&gt;=100%,"增值额超过扣除项目金额100%，未超过200%",IF(C96&gt;=50%,"增值额超过扣除项目金额50%，未超过100%",IF(C96&lt;50%,"增值额未超过扣除项目金额50%"))))</f>
        <v>增值额超过扣除项目金额200%</v>
      </c>
      <c r="F96" s="2943"/>
      <c r="G96" s="2943"/>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2267</v>
      </c>
      <c r="C97" s="228">
        <f ca="1">ROUND(IF(C95&lt;=0,0,IF(C96&gt;=200%,C95*60%-C86*35%,IF(C96&gt;=100%,C95*50%-C86*15%,IF(C96&gt;=50%,C95*40%-C86*5%,IF(C96&lt;50%,C95*30%,0))))),0)</f>
        <v>7953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2286</v>
      </c>
      <c r="B99" s="2417"/>
      <c r="C99" s="2417"/>
      <c r="D99" s="2417"/>
      <c r="E99" s="2165"/>
      <c r="F99" s="2165"/>
      <c r="G99" s="2165"/>
      <c r="H99" s="2164"/>
      <c r="I99" s="138"/>
    </row>
    <row r="100" spans="1:35" ht="18.75" customHeight="1">
      <c r="A100" s="3187" t="s">
        <v>2287</v>
      </c>
      <c r="B100" s="3188"/>
      <c r="C100" s="3188"/>
      <c r="D100" s="3235"/>
      <c r="E100" s="3188" t="s">
        <v>2288</v>
      </c>
      <c r="F100" s="3188"/>
      <c r="G100" s="3188"/>
      <c r="H100" s="3235"/>
      <c r="I100" s="138"/>
    </row>
    <row r="101" spans="1:35" ht="18.75" customHeight="1">
      <c r="A101" s="3243" t="s">
        <v>2289</v>
      </c>
      <c r="B101" s="3244"/>
      <c r="C101" s="736" t="str">
        <f>C4</f>
        <v>比较法-公寓</v>
      </c>
      <c r="D101" s="737" t="str">
        <f>D4</f>
        <v>收益法（公寓）</v>
      </c>
      <c r="E101" s="3215" t="s">
        <v>2290</v>
      </c>
      <c r="F101" s="3216"/>
      <c r="G101" s="2519" t="s">
        <v>2291</v>
      </c>
      <c r="H101" s="1047">
        <f ca="1">H118</f>
        <v>14051</v>
      </c>
      <c r="I101" s="138"/>
    </row>
    <row r="102" spans="1:35" ht="18.75" customHeight="1">
      <c r="A102" s="3245" t="s">
        <v>2292</v>
      </c>
      <c r="B102" s="2519" t="s">
        <v>2291</v>
      </c>
      <c r="C102" s="736">
        <f ca="1">C19</f>
        <v>17695</v>
      </c>
      <c r="D102" s="737">
        <f ca="1">D19</f>
        <v>5549</v>
      </c>
      <c r="E102" s="3215"/>
      <c r="F102" s="3216"/>
      <c r="G102" s="2519" t="s">
        <v>2293</v>
      </c>
      <c r="H102" s="371">
        <f ca="1">I118</f>
        <v>59098</v>
      </c>
      <c r="I102" s="138"/>
    </row>
    <row r="103" spans="1:35" ht="42.75" customHeight="1">
      <c r="A103" s="3245"/>
      <c r="B103" s="2519" t="s">
        <v>2293</v>
      </c>
      <c r="C103" s="738">
        <f ca="1">C20</f>
        <v>74425</v>
      </c>
      <c r="D103" s="739">
        <f ca="1">D20</f>
        <v>23339</v>
      </c>
      <c r="E103" s="3209" t="s">
        <v>2294</v>
      </c>
      <c r="F103" s="3210"/>
      <c r="G103" s="2520" t="s">
        <v>2295</v>
      </c>
      <c r="H103" s="1047">
        <f>IF(D36="正常操作",H104+H105+H106,H105+H106)</f>
        <v>0</v>
      </c>
      <c r="I103" s="138"/>
    </row>
    <row r="104" spans="1:35" ht="18.75" customHeight="1">
      <c r="A104" s="3245" t="s">
        <v>2296</v>
      </c>
      <c r="B104" s="2521" t="s">
        <v>2291</v>
      </c>
      <c r="C104" s="740">
        <f ca="1">H118</f>
        <v>14051</v>
      </c>
      <c r="D104" s="741"/>
      <c r="E104" s="2265" t="s">
        <v>2297</v>
      </c>
      <c r="F104" s="2257"/>
      <c r="G104" s="2520" t="s">
        <v>2295</v>
      </c>
      <c r="H104" s="1048">
        <f>IF(D36="同一抵押权人同一抵押物续贷",C36&amp;"（未扣减，详见特别提示）",C36)</f>
        <v>0</v>
      </c>
      <c r="I104" s="138"/>
    </row>
    <row r="105" spans="1:35" ht="18.75" customHeight="1" thickBot="1">
      <c r="A105" s="3257"/>
      <c r="B105" s="2522" t="s">
        <v>2293</v>
      </c>
      <c r="C105" s="742">
        <f ca="1">I118</f>
        <v>59098</v>
      </c>
      <c r="D105" s="743"/>
      <c r="E105" s="2265" t="s">
        <v>2298</v>
      </c>
      <c r="F105" s="2257"/>
      <c r="G105" s="2520" t="s">
        <v>2295</v>
      </c>
      <c r="H105" s="1048">
        <f>C37</f>
        <v>0</v>
      </c>
      <c r="I105" s="138"/>
    </row>
    <row r="106" spans="1:35" ht="18.75" customHeight="1">
      <c r="A106" s="2417" t="s">
        <v>2299</v>
      </c>
      <c r="B106" s="2417"/>
      <c r="C106" s="2417"/>
      <c r="D106" s="2417"/>
      <c r="E106" s="2523" t="s">
        <v>2300</v>
      </c>
      <c r="F106" s="2257"/>
      <c r="G106" s="2520" t="s">
        <v>2295</v>
      </c>
      <c r="H106" s="1048">
        <f>C38</f>
        <v>0</v>
      </c>
      <c r="I106" s="138"/>
    </row>
    <row r="107" spans="1:35" ht="18.75" customHeight="1">
      <c r="A107" s="138"/>
      <c r="B107" s="138"/>
      <c r="C107" s="138"/>
      <c r="D107" s="138"/>
      <c r="E107" s="3246" t="str">
        <f>IF(项目基本情况!E8="已注销","——","3.房地产抵押价值")</f>
        <v>3.房地产抵押价值</v>
      </c>
      <c r="F107" s="3216"/>
      <c r="G107" s="2519" t="s">
        <v>2291</v>
      </c>
      <c r="H107" s="1047">
        <f ca="1">IF(E107="——","——",H101-H103)</f>
        <v>14051</v>
      </c>
      <c r="I107" s="138"/>
    </row>
    <row r="108" spans="1:35" ht="18.75" customHeight="1">
      <c r="A108" s="138"/>
      <c r="B108" s="138"/>
      <c r="C108" s="138"/>
      <c r="D108" s="138"/>
      <c r="E108" s="3246"/>
      <c r="F108" s="3216"/>
      <c r="G108" s="2519" t="s">
        <v>2293</v>
      </c>
      <c r="H108" s="371">
        <f ca="1">ROUND(H107*10000/'数据-汇总表'!E3,0)</f>
        <v>1023</v>
      </c>
      <c r="I108" s="138"/>
    </row>
    <row r="109" spans="1:35" ht="18.75" customHeight="1">
      <c r="A109" s="138"/>
      <c r="B109" s="138"/>
      <c r="C109" s="138"/>
      <c r="D109" s="138"/>
      <c r="E109" s="3246" t="str">
        <f>IF(项目基本情况!E8="已注销及未注销","4.抵押担保权已注销时的房地产抵押价值",IF(项目基本情况!E8="已注销","3.抵押担保权已注销时的房地产抵押价值","——"))</f>
        <v>——</v>
      </c>
      <c r="F109" s="3216"/>
      <c r="G109" s="2519" t="s">
        <v>2291</v>
      </c>
      <c r="H109" s="348" t="str">
        <f>IF(E109="——","——",H101-H105-H106)</f>
        <v>——</v>
      </c>
      <c r="I109" s="138"/>
    </row>
    <row r="110" spans="1:35" ht="18.75" customHeight="1">
      <c r="A110" s="138"/>
      <c r="B110" s="138"/>
      <c r="C110" s="138"/>
      <c r="D110" s="138"/>
      <c r="E110" s="3246"/>
      <c r="F110" s="3216"/>
      <c r="G110" s="2519" t="s">
        <v>2293</v>
      </c>
      <c r="H110" s="371" t="str">
        <f>IF(H109="——","——",ROUND(H109*10000/'数据-汇总表'!E3,0))</f>
        <v>——</v>
      </c>
      <c r="I110" s="138"/>
    </row>
    <row r="111" spans="1:35" ht="18.75" customHeight="1">
      <c r="A111" s="138"/>
      <c r="B111" s="138"/>
      <c r="C111" s="138"/>
      <c r="D111" s="138"/>
      <c r="E111" s="3247" t="str">
        <f>IF(项目基本情况!E9="抵押净值",IF(OR(项目基本情况!E8="已注销",项目基本情况!E8="房地产抵押价值"),"4.抵押净值","5.抵押净值"),"——")</f>
        <v>——</v>
      </c>
      <c r="F111" s="3248"/>
      <c r="G111" s="2519" t="s">
        <v>2291</v>
      </c>
      <c r="H111" s="1047" t="str">
        <f>IF(E111="——","——",N59)</f>
        <v>——</v>
      </c>
      <c r="I111" s="138"/>
    </row>
    <row r="112" spans="1:35" ht="18.75" customHeight="1" thickBot="1">
      <c r="A112" s="138"/>
      <c r="B112" s="138"/>
      <c r="C112" s="138"/>
      <c r="D112" s="138"/>
      <c r="E112" s="3249"/>
      <c r="F112" s="3250"/>
      <c r="G112" s="2524" t="s">
        <v>2293</v>
      </c>
      <c r="H112" s="790" t="str">
        <f>IF(E111="——","——",N61)</f>
        <v>——</v>
      </c>
      <c r="I112" s="138"/>
    </row>
    <row r="113" spans="1:11" ht="18.75" customHeight="1">
      <c r="A113" s="138"/>
      <c r="B113" s="138"/>
      <c r="C113" s="138"/>
      <c r="D113" s="138"/>
      <c r="E113" s="3258" t="s">
        <v>2299</v>
      </c>
      <c r="F113" s="3258"/>
      <c r="G113" s="3258"/>
      <c r="H113" s="3258"/>
      <c r="I113" s="138"/>
    </row>
    <row r="114" spans="1:11" ht="3.75" customHeight="1">
      <c r="A114" s="2417"/>
      <c r="B114" s="2417"/>
      <c r="C114" s="2417"/>
      <c r="D114" s="2417"/>
      <c r="E114" s="2495"/>
      <c r="F114" s="2495"/>
      <c r="G114" s="2495"/>
      <c r="H114" s="2495"/>
      <c r="I114" s="2417"/>
    </row>
    <row r="115" spans="1:11" ht="18.75" customHeight="1">
      <c r="A115" s="3271" t="s">
        <v>2301</v>
      </c>
      <c r="B115" s="3272"/>
      <c r="C115" s="3272"/>
      <c r="D115" s="3272"/>
      <c r="E115" s="3272"/>
      <c r="F115" s="3272"/>
      <c r="G115" s="3272"/>
      <c r="H115" s="3272"/>
      <c r="I115" s="3273"/>
    </row>
    <row r="116" spans="1:11" ht="27" customHeight="1">
      <c r="A116" s="3160" t="s">
        <v>2302</v>
      </c>
      <c r="B116" s="3225" t="s">
        <v>2303</v>
      </c>
      <c r="C116" s="3225" t="s">
        <v>2304</v>
      </c>
      <c r="D116" s="3231" t="s">
        <v>2305</v>
      </c>
      <c r="E116" s="3232"/>
      <c r="F116" s="3267" t="s">
        <v>2306</v>
      </c>
      <c r="G116" s="3267"/>
      <c r="H116" s="3160" t="s">
        <v>2307</v>
      </c>
      <c r="I116" s="3160"/>
    </row>
    <row r="117" spans="1:11" ht="18.75" customHeight="1">
      <c r="A117" s="3160"/>
      <c r="B117" s="3226"/>
      <c r="C117" s="3226"/>
      <c r="D117" s="2940" t="s">
        <v>2308</v>
      </c>
      <c r="E117" s="2940" t="s">
        <v>2309</v>
      </c>
      <c r="F117" s="2940" t="s">
        <v>2308</v>
      </c>
      <c r="G117" s="2940" t="s">
        <v>2310</v>
      </c>
      <c r="H117" s="2940" t="s">
        <v>2308</v>
      </c>
      <c r="I117" s="2940" t="s">
        <v>2310</v>
      </c>
    </row>
    <row r="118" spans="1:11" ht="24.75" customHeight="1">
      <c r="A118" s="2525" t="str">
        <f>项目基本情况!S2</f>
        <v>广东省深圳市龙华新区民治街道腾龙路与建设路交汇处“金茂府”居住项目房地产</v>
      </c>
      <c r="B118" s="2940">
        <f>M18</f>
        <v>2377.56</v>
      </c>
      <c r="C118" s="2940">
        <f>M19</f>
        <v>426.98</v>
      </c>
      <c r="D118" s="2940">
        <f ca="1">ROUND(IF(D32="总价",C34,E118*B118/10000),0)</f>
        <v>4047</v>
      </c>
      <c r="E118" s="2940">
        <f ca="1">ROUND(IF(C33="自定义",IF(D32="楼面单价",C34,D118*10000/B118),I118-G118),0)</f>
        <v>17021</v>
      </c>
      <c r="F118" s="2940">
        <f ca="1">ROUND(IF(D32="总价",C35,G118*B118/10000),0)</f>
        <v>10004</v>
      </c>
      <c r="G118" s="2940">
        <f ca="1">ROUND(IF(D32="楼面单价",C35,F118*10000/B118),0)</f>
        <v>42077</v>
      </c>
      <c r="H118" s="2940">
        <f ca="1">ROUND(IF(D32="总价",C32,I118*B118/10000),0)</f>
        <v>14051</v>
      </c>
      <c r="I118" s="2940">
        <f ca="1">ROUND(IF(D32="楼面单价",C32,H118*10000/B118),0)</f>
        <v>59098</v>
      </c>
    </row>
    <row r="119" spans="1:11" ht="18.75" customHeight="1">
      <c r="A119" s="3160" t="s">
        <v>2311</v>
      </c>
      <c r="B119" s="3160"/>
      <c r="C119" s="3160"/>
      <c r="D119" s="3227" t="str">
        <f ca="1">NUMBERSTRING(INT(D118*10000),2)&amp;"元整"</f>
        <v>肆仟零肆拾柒万元整</v>
      </c>
      <c r="E119" s="3228"/>
      <c r="F119" s="3227" t="str">
        <f ca="1">NUMBERSTRING(INT(F118*10000),2)&amp;"元整"</f>
        <v>壹亿零肆万元整</v>
      </c>
      <c r="G119" s="3228"/>
      <c r="H119" s="3227" t="str">
        <f ca="1">NUMBERSTRING(INT(H118*10000),2)&amp;"元整"</f>
        <v>壹亿肆仟零伍拾壹万元整</v>
      </c>
      <c r="I119" s="3228"/>
    </row>
    <row r="120" spans="1:11" ht="18.75" customHeight="1">
      <c r="A120" s="3222" t="str">
        <f>IF(项目基本情况!B9="房地产市场价值","",MID(E103,3,LEN(E103)-2))</f>
        <v>估价师知悉的法定优先受偿款</v>
      </c>
      <c r="B120" s="3223"/>
      <c r="C120" s="3224"/>
      <c r="D120" s="3222">
        <f>H103</f>
        <v>0</v>
      </c>
      <c r="E120" s="3223"/>
      <c r="F120" s="3223"/>
      <c r="G120" s="3223"/>
      <c r="H120" s="3223"/>
      <c r="I120" s="3224"/>
      <c r="K120" s="2422" t="str">
        <f>IF(D120=0,"故，本次评估不存在"&amp;A120,"故，本次评估"&amp;A120&amp;"为人民币"&amp;D120&amp;"万元整。")</f>
        <v>故，本次评估不存在估价师知悉的法定优先受偿款</v>
      </c>
    </row>
    <row r="121" spans="1:11" ht="18.75" customHeight="1">
      <c r="A121" s="3268" t="s">
        <v>2311</v>
      </c>
      <c r="B121" s="3269"/>
      <c r="C121" s="3270"/>
      <c r="D121" s="3227" t="str">
        <f>IF(D120=0,"零元整",NUMBERSTRING(INT(D120*10000),2)&amp;"元整")</f>
        <v>零元整</v>
      </c>
      <c r="E121" s="3229"/>
      <c r="F121" s="3229"/>
      <c r="G121" s="3229"/>
      <c r="H121" s="3229"/>
      <c r="I121" s="3228"/>
    </row>
    <row r="122" spans="1:11" ht="18.75" customHeight="1">
      <c r="A122" s="3233" t="str">
        <f>IF(项目基本情况!B9="房地产市场价值","",MID(E107,3,LEN(E107)-2))</f>
        <v>房地产抵押价值</v>
      </c>
      <c r="B122" s="3233"/>
      <c r="C122" s="3233"/>
      <c r="D122" s="3222">
        <f ca="1">H107</f>
        <v>14051</v>
      </c>
      <c r="E122" s="3223"/>
      <c r="F122" s="3223"/>
      <c r="G122" s="3223"/>
      <c r="H122" s="3223"/>
      <c r="I122" s="3224"/>
    </row>
    <row r="123" spans="1:11" ht="18.75" customHeight="1">
      <c r="A123" s="3160" t="s">
        <v>2311</v>
      </c>
      <c r="B123" s="3160"/>
      <c r="C123" s="3160"/>
      <c r="D123" s="3227" t="str">
        <f ca="1">NUMBERSTRING(INT(D122*10000),2)&amp;"元整"</f>
        <v>壹亿肆仟零伍拾壹万元整</v>
      </c>
      <c r="E123" s="3229"/>
      <c r="F123" s="3229"/>
      <c r="G123" s="3229"/>
      <c r="H123" s="3229"/>
      <c r="I123" s="3228"/>
    </row>
    <row r="124" spans="1:11" ht="18.75" customHeight="1">
      <c r="A124" s="3233" t="str">
        <f>IF(项目基本情况!B9="房地产市场价值","",MID(E109,3,LEN(E109)-2))</f>
        <v/>
      </c>
      <c r="B124" s="3233"/>
      <c r="C124" s="3233"/>
      <c r="D124" s="3222" t="str">
        <f>H109</f>
        <v>——</v>
      </c>
      <c r="E124" s="3223"/>
      <c r="F124" s="3223"/>
      <c r="G124" s="3223"/>
      <c r="H124" s="3223"/>
      <c r="I124" s="3224"/>
    </row>
    <row r="125" spans="1:11" ht="18.75" customHeight="1">
      <c r="A125" s="3160" t="s">
        <v>2311</v>
      </c>
      <c r="B125" s="3160"/>
      <c r="C125" s="3160"/>
      <c r="D125" s="3227" t="e">
        <f>NUMBERSTRING(INT(D124*10000),2)&amp;"元整"</f>
        <v>#VALUE!</v>
      </c>
      <c r="E125" s="3229"/>
      <c r="F125" s="3229"/>
      <c r="G125" s="3229"/>
      <c r="H125" s="3229"/>
      <c r="I125" s="3228"/>
    </row>
    <row r="126" spans="1:11" ht="18.75" customHeight="1">
      <c r="A126" s="3233" t="str">
        <f>IF(项目基本情况!B9="房地产市场价值","",MID(E111,3,LEN(E111)-2))</f>
        <v/>
      </c>
      <c r="B126" s="3233"/>
      <c r="C126" s="3233"/>
      <c r="D126" s="3222" t="str">
        <f>H111</f>
        <v>——</v>
      </c>
      <c r="E126" s="3223"/>
      <c r="F126" s="3223"/>
      <c r="G126" s="3223"/>
      <c r="H126" s="3223"/>
      <c r="I126" s="3224"/>
    </row>
    <row r="127" spans="1:11" ht="18.75" customHeight="1">
      <c r="A127" s="3160" t="s">
        <v>2311</v>
      </c>
      <c r="B127" s="3160"/>
      <c r="C127" s="3160"/>
      <c r="D127" s="3227" t="e">
        <f>NUMBERSTRING(INT(D126*10000),2)&amp;"元整"</f>
        <v>#VALUE!</v>
      </c>
      <c r="E127" s="3229"/>
      <c r="F127" s="3229"/>
      <c r="G127" s="3229"/>
      <c r="H127" s="3229"/>
      <c r="I127" s="3228"/>
    </row>
    <row r="128" spans="1:11" ht="21.75" customHeight="1">
      <c r="A128" s="3230" t="s">
        <v>2312</v>
      </c>
      <c r="B128" s="3230"/>
      <c r="C128" s="3230"/>
      <c r="D128" s="3230"/>
      <c r="E128" s="3230"/>
      <c r="F128" s="3230"/>
      <c r="G128" s="3230"/>
      <c r="H128" s="3230"/>
      <c r="I128" s="3230"/>
    </row>
    <row r="129" spans="1:35" ht="21.75" customHeight="1">
      <c r="A129" s="2526" t="s">
        <v>2313</v>
      </c>
      <c r="B129" s="2527"/>
      <c r="C129" s="2528" t="s">
        <v>2314</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2315</v>
      </c>
      <c r="G135" s="2543"/>
      <c r="H135" s="2543"/>
      <c r="I135" s="2544" t="s">
        <v>2316</v>
      </c>
    </row>
    <row r="136" spans="1:35" ht="21.75" customHeight="1">
      <c r="A136" s="795"/>
      <c r="B136" s="2545"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2318</v>
      </c>
    </row>
    <row r="139" spans="1:35" ht="21.75" customHeight="1">
      <c r="A139" s="795"/>
      <c r="B139" s="2545" t="s">
        <v>2319</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2318</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28" priority="10" stopIfTrue="1" operator="equal">
      <formula>25</formula>
    </cfRule>
  </conditionalFormatting>
  <conditionalFormatting sqref="C8:C9">
    <cfRule type="cellIs" dxfId="27" priority="9" stopIfTrue="1" operator="equal">
      <formula>15</formula>
    </cfRule>
  </conditionalFormatting>
  <conditionalFormatting sqref="C14:C16">
    <cfRule type="cellIs" dxfId="26" priority="8" stopIfTrue="1" operator="equal">
      <formula>30</formula>
    </cfRule>
  </conditionalFormatting>
  <conditionalFormatting sqref="D5:D7">
    <cfRule type="cellIs" dxfId="25" priority="7" stopIfTrue="1" operator="equal">
      <formula>25</formula>
    </cfRule>
  </conditionalFormatting>
  <conditionalFormatting sqref="D8:D9">
    <cfRule type="cellIs" dxfId="24" priority="6" stopIfTrue="1" operator="equal">
      <formula>15</formula>
    </cfRule>
  </conditionalFormatting>
  <conditionalFormatting sqref="C10:D13">
    <cfRule type="cellIs" dxfId="23" priority="5" stopIfTrue="1" operator="equal">
      <formula>15</formula>
    </cfRule>
  </conditionalFormatting>
  <conditionalFormatting sqref="D14:D16">
    <cfRule type="cellIs" dxfId="22" priority="4" stopIfTrue="1" operator="equal">
      <formula>30</formula>
    </cfRule>
  </conditionalFormatting>
  <conditionalFormatting sqref="C90">
    <cfRule type="expression" dxfId="21" priority="3" stopIfTrue="1">
      <formula>$H$88&lt;&gt;"仅含出让金"</formula>
    </cfRule>
  </conditionalFormatting>
  <conditionalFormatting sqref="C91">
    <cfRule type="expression" dxfId="20" priority="2" stopIfTrue="1">
      <formula>$H$91="由企业提供"</formula>
    </cfRule>
  </conditionalFormatting>
  <conditionalFormatting sqref="E36">
    <cfRule type="expression" dxfId="1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3105" t="str">
        <f>IF(项目基本情况!B9="房地产市场价值","估价结果一览表","结果表-2")</f>
        <v>结果表-2</v>
      </c>
      <c r="B1" s="3105"/>
      <c r="C1" s="3105"/>
      <c r="D1" s="3105"/>
      <c r="E1" s="3105"/>
      <c r="F1" s="3105"/>
      <c r="G1" s="3105"/>
      <c r="H1" s="3105"/>
      <c r="I1" s="3105"/>
    </row>
    <row r="2" spans="1:9" ht="30" customHeight="1" thickTop="1">
      <c r="A2" s="3106" t="s">
        <v>1637</v>
      </c>
      <c r="B2" s="3106" t="s">
        <v>1638</v>
      </c>
      <c r="C2" s="3106" t="s">
        <v>1639</v>
      </c>
      <c r="D2" s="3106" t="str">
        <f>'结果表（住宅）'!D116</f>
        <v>出让国有建设用地使用权价值</v>
      </c>
      <c r="E2" s="3106"/>
      <c r="F2" s="3106" t="str">
        <f>'结果表（住宅）'!F116</f>
        <v>建筑物价值</v>
      </c>
      <c r="G2" s="3106"/>
      <c r="H2" s="3106" t="str">
        <f>IF(项目基本情况!B9="房地产市场价值","房地产市场价值","房地产价值")</f>
        <v>房地产价值</v>
      </c>
      <c r="I2" s="3106"/>
    </row>
    <row r="3" spans="1:9" ht="15">
      <c r="A3" s="3107"/>
      <c r="B3" s="3107"/>
      <c r="C3" s="3107"/>
      <c r="D3" s="1046" t="s">
        <v>1634</v>
      </c>
      <c r="E3" s="1046" t="s">
        <v>1640</v>
      </c>
      <c r="F3" s="1046" t="s">
        <v>1634</v>
      </c>
      <c r="G3" s="1046" t="s">
        <v>1635</v>
      </c>
      <c r="H3" s="1046" t="s">
        <v>1634</v>
      </c>
      <c r="I3" s="1046" t="s">
        <v>1635</v>
      </c>
    </row>
    <row r="4" spans="1:9" ht="45">
      <c r="A4" s="1975" t="str">
        <f>项目基本情况!S2</f>
        <v>广东省深圳市龙华新区民治街道腾龙路与建设路交汇处“金茂府”居住项目房地产</v>
      </c>
      <c r="B4" s="1046">
        <f>项目基本情况!C17</f>
        <v>137390</v>
      </c>
      <c r="C4" s="1046">
        <f>项目基本情况!C18</f>
        <v>24673.39</v>
      </c>
      <c r="D4" s="1046">
        <f ca="1">'结果表（住宅）'!D118</f>
        <v>210500</v>
      </c>
      <c r="E4" s="1046">
        <f ca="1">'结果表（住宅）'!E118</f>
        <v>16170</v>
      </c>
      <c r="F4" s="1046">
        <f ca="1">'结果表（住宅）'!F118</f>
        <v>755098</v>
      </c>
      <c r="G4" s="1046">
        <f ca="1">'结果表（住宅）'!G118</f>
        <v>58003</v>
      </c>
      <c r="H4" s="1046">
        <f ca="1">'结果表（住宅）'!H118</f>
        <v>965598</v>
      </c>
      <c r="I4" s="1046">
        <f ca="1">'结果表（住宅）'!I118</f>
        <v>74173</v>
      </c>
    </row>
    <row r="5" spans="1:9" ht="30" customHeight="1">
      <c r="A5" s="3107" t="s">
        <v>1636</v>
      </c>
      <c r="B5" s="3107"/>
      <c r="C5" s="3107"/>
      <c r="D5" s="3108" t="str">
        <f ca="1">'结果表（住宅）'!D119</f>
        <v>贰拾壹亿零伍佰万元整</v>
      </c>
      <c r="E5" s="3108"/>
      <c r="F5" s="3108" t="str">
        <f ca="1">'结果表（住宅）'!F119</f>
        <v>柒拾伍亿伍仟零玖拾捌万元整</v>
      </c>
      <c r="G5" s="3108"/>
      <c r="H5" s="3108" t="str">
        <f ca="1">'结果表（住宅）'!H119</f>
        <v>玖拾陆亿伍仟伍佰玖拾捌万元整</v>
      </c>
      <c r="I5" s="3108"/>
    </row>
    <row r="6" spans="1:9" ht="15.75">
      <c r="A6" s="3109" t="str">
        <f>'结果表（住宅）'!A120</f>
        <v>估价师知悉的法定优先受偿款</v>
      </c>
      <c r="B6" s="3109"/>
      <c r="C6" s="3109"/>
      <c r="D6" s="3109">
        <f>'结果表（住宅）'!D120</f>
        <v>0</v>
      </c>
      <c r="E6" s="3109"/>
      <c r="F6" s="3109"/>
      <c r="G6" s="3109"/>
      <c r="H6" s="3109"/>
      <c r="I6" s="3109"/>
    </row>
    <row r="7" spans="1:9" ht="15">
      <c r="A7" s="3107" t="s">
        <v>1636</v>
      </c>
      <c r="B7" s="3107"/>
      <c r="C7" s="3107"/>
      <c r="D7" s="3110" t="str">
        <f>'结果表（住宅）'!D121</f>
        <v>零元整</v>
      </c>
      <c r="E7" s="3111"/>
      <c r="F7" s="3111"/>
      <c r="G7" s="3111"/>
      <c r="H7" s="3111"/>
      <c r="I7" s="3112"/>
    </row>
    <row r="8" spans="1:9" ht="15.75">
      <c r="A8" s="3109" t="str">
        <f>'结果表（住宅）'!A122</f>
        <v>房地产抵押价值</v>
      </c>
      <c r="B8" s="3109"/>
      <c r="C8" s="3109"/>
      <c r="D8" s="3109">
        <f ca="1">'结果表（住宅）'!D122</f>
        <v>965598</v>
      </c>
      <c r="E8" s="3109"/>
      <c r="F8" s="3109"/>
      <c r="G8" s="3109"/>
      <c r="H8" s="3109"/>
      <c r="I8" s="3109"/>
    </row>
    <row r="9" spans="1:9" ht="15">
      <c r="A9" s="3107" t="s">
        <v>1636</v>
      </c>
      <c r="B9" s="3107"/>
      <c r="C9" s="3107"/>
      <c r="D9" s="3108" t="str">
        <f ca="1">'结果表（住宅）'!D123</f>
        <v>玖拾陆亿伍仟伍佰玖拾捌万元整</v>
      </c>
      <c r="E9" s="3108"/>
      <c r="F9" s="3108"/>
      <c r="G9" s="3108"/>
      <c r="H9" s="3108"/>
      <c r="I9" s="3108"/>
    </row>
    <row r="10" spans="1:9" ht="15.75">
      <c r="A10" s="3109" t="str">
        <f>'结果表（住宅）'!A124</f>
        <v/>
      </c>
      <c r="B10" s="3109"/>
      <c r="C10" s="3109"/>
      <c r="D10" s="3109" t="str">
        <f>'结果表（住宅）'!D124</f>
        <v>——</v>
      </c>
      <c r="E10" s="3109"/>
      <c r="F10" s="3109"/>
      <c r="G10" s="3109"/>
      <c r="H10" s="3109"/>
      <c r="I10" s="3109"/>
    </row>
    <row r="11" spans="1:9" ht="15">
      <c r="A11" s="3107" t="s">
        <v>1636</v>
      </c>
      <c r="B11" s="3107"/>
      <c r="C11" s="3107"/>
      <c r="D11" s="3108" t="e">
        <f>'结果表（住宅）'!D125</f>
        <v>#VALUE!</v>
      </c>
      <c r="E11" s="3108"/>
      <c r="F11" s="3108"/>
      <c r="G11" s="3108"/>
      <c r="H11" s="3108"/>
      <c r="I11" s="3108"/>
    </row>
    <row r="12" spans="1:9" ht="15.75">
      <c r="A12" s="3109" t="str">
        <f>'结果表（住宅）'!A126</f>
        <v/>
      </c>
      <c r="B12" s="3109"/>
      <c r="C12" s="3109"/>
      <c r="D12" s="3109" t="str">
        <f>'结果表（住宅）'!D126</f>
        <v>——</v>
      </c>
      <c r="E12" s="3109"/>
      <c r="F12" s="3109"/>
      <c r="G12" s="3109"/>
      <c r="H12" s="3109"/>
      <c r="I12" s="3109"/>
    </row>
    <row r="13" spans="1:9" ht="15.75" thickBot="1">
      <c r="A13" s="3113" t="s">
        <v>1636</v>
      </c>
      <c r="B13" s="3113"/>
      <c r="C13" s="3113"/>
      <c r="D13" s="3114" t="e">
        <f>'结果表（住宅）'!D127</f>
        <v>#VALUE!</v>
      </c>
      <c r="E13" s="3114"/>
      <c r="F13" s="3114"/>
      <c r="G13" s="3114"/>
      <c r="H13" s="3114"/>
      <c r="I13" s="3114"/>
    </row>
    <row r="14" spans="1:9" ht="15" thickTop="1">
      <c r="A14" s="3115" t="s">
        <v>1641</v>
      </c>
      <c r="B14" s="3115"/>
      <c r="C14" s="3115"/>
      <c r="D14" s="3115"/>
      <c r="E14" s="3115"/>
      <c r="F14" s="3115"/>
      <c r="G14" s="3115"/>
      <c r="H14" s="3115"/>
      <c r="I14" s="3115"/>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C148"/>
  <sheetViews>
    <sheetView topLeftCell="A16" zoomScale="80" zoomScaleNormal="80" zoomScalePageLayoutView="90" workbookViewId="0">
      <selection activeCell="K52" sqref="K52"/>
    </sheetView>
  </sheetViews>
  <sheetFormatPr defaultColWidth="9" defaultRowHeight="14.25"/>
  <cols>
    <col min="1" max="1" width="10.5" style="403" customWidth="1"/>
    <col min="2" max="2" width="15.87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125" style="496" customWidth="1"/>
    <col min="13" max="15" width="12.125" style="403" customWidth="1"/>
    <col min="16" max="16" width="4.875" style="2624"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31" customFormat="1" ht="28.5" customHeight="1" thickBot="1">
      <c r="A1" s="1620" t="s">
        <v>2522</v>
      </c>
      <c r="B1" s="2583" t="s">
        <v>2523</v>
      </c>
      <c r="C1" s="1636" t="s">
        <v>2524</v>
      </c>
      <c r="D1" s="1623" t="s">
        <v>3077</v>
      </c>
      <c r="E1" s="2584"/>
      <c r="F1" s="2585" t="s">
        <v>2525</v>
      </c>
      <c r="G1" s="1633" t="s">
        <v>2526</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3" customFormat="1" ht="28.5" customHeight="1" thickTop="1">
      <c r="A2" s="1619" t="s">
        <v>1390</v>
      </c>
      <c r="B2" s="1420">
        <f>IF(C2="——",ROUND(C49*D3/10000,0),ROUND(C49*D3/10000,0)-D2)</f>
        <v>17695</v>
      </c>
      <c r="C2" s="2587" t="s">
        <v>70</v>
      </c>
      <c r="D2" s="1367" t="e">
        <f ca="1">SUMIF(INDIRECT("'"&amp;F2&amp;"'"&amp;"!A:A"),"承租人权益价值",INDIRECT("'"&amp;F2&amp;"'"&amp;"!c:c"))</f>
        <v>#REF!</v>
      </c>
      <c r="E2" s="2588" t="s">
        <v>2527</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f>IF(C2="——",C49,ROUND(B2*10000/D3,0))</f>
        <v>74425</v>
      </c>
      <c r="C3" s="400" t="s">
        <v>2528</v>
      </c>
      <c r="D3" s="399">
        <f>IF(D1="",'数据-汇总表'!E3,SUMIF('数据-汇总表'!$C19:$C33,D1,'数据-汇总表'!$E19:$E33))</f>
        <v>2377.56</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75" thickBot="1">
      <c r="A4" s="401" t="s">
        <v>2529</v>
      </c>
      <c r="B4" s="402"/>
      <c r="C4" s="3325" t="s">
        <v>2530</v>
      </c>
      <c r="D4" s="3326"/>
      <c r="E4" s="3327" t="s">
        <v>2531</v>
      </c>
      <c r="F4" s="3328"/>
      <c r="G4" s="3329" t="s">
        <v>2532</v>
      </c>
      <c r="H4" s="3330"/>
      <c r="I4" s="3325" t="s">
        <v>2533</v>
      </c>
      <c r="J4" s="3326"/>
      <c r="K4" s="2597" t="s">
        <v>2534</v>
      </c>
      <c r="L4" s="1132"/>
      <c r="M4" s="1133"/>
      <c r="N4" s="1133"/>
      <c r="O4" s="1133"/>
      <c r="P4" s="3331" t="s">
        <v>2535</v>
      </c>
      <c r="Q4" s="3332"/>
      <c r="R4" s="3310" t="s">
        <v>2531</v>
      </c>
      <c r="S4" s="3311"/>
      <c r="T4" s="3310" t="s">
        <v>2532</v>
      </c>
      <c r="U4" s="3311"/>
      <c r="V4" s="3339" t="s">
        <v>2533</v>
      </c>
      <c r="W4" s="3339"/>
      <c r="X4" s="2964"/>
      <c r="Y4" s="3310" t="s">
        <v>2535</v>
      </c>
      <c r="Z4" s="3311"/>
      <c r="AA4" s="3305" t="s">
        <v>2531</v>
      </c>
      <c r="AB4" s="3305" t="s">
        <v>2532</v>
      </c>
      <c r="AC4" s="3305" t="s">
        <v>2533</v>
      </c>
    </row>
    <row r="5" spans="1:29" ht="15">
      <c r="A5" s="404"/>
      <c r="B5" s="405"/>
      <c r="C5" s="3316" t="s">
        <v>2536</v>
      </c>
      <c r="D5" s="3317"/>
      <c r="E5" s="3314" t="s">
        <v>3157</v>
      </c>
      <c r="F5" s="3315"/>
      <c r="G5" s="3442" t="str">
        <f>E5</f>
        <v>龙光玖钻</v>
      </c>
      <c r="H5" s="3341"/>
      <c r="I5" s="3320" t="s">
        <v>3124</v>
      </c>
      <c r="J5" s="3317"/>
      <c r="K5" s="2598"/>
      <c r="L5" s="1132"/>
      <c r="M5" s="1133"/>
      <c r="N5" s="1133"/>
      <c r="O5" s="1133"/>
      <c r="P5" s="3333"/>
      <c r="Q5" s="3334"/>
      <c r="R5" s="3312"/>
      <c r="S5" s="3313"/>
      <c r="T5" s="3312"/>
      <c r="U5" s="3313"/>
      <c r="V5" s="3339"/>
      <c r="W5" s="3339"/>
      <c r="X5" s="2964"/>
      <c r="Y5" s="3312"/>
      <c r="Z5" s="3313"/>
      <c r="AA5" s="3306"/>
      <c r="AB5" s="3306"/>
      <c r="AC5" s="3306"/>
    </row>
    <row r="6" spans="1:29" ht="15.75" thickBot="1">
      <c r="A6" s="406"/>
      <c r="B6" s="407"/>
      <c r="C6" s="3318" t="s">
        <v>2540</v>
      </c>
      <c r="D6" s="3319"/>
      <c r="E6" s="3321" t="s">
        <v>3354</v>
      </c>
      <c r="F6" s="3322"/>
      <c r="G6" s="3323" t="s">
        <v>3354</v>
      </c>
      <c r="H6" s="3319"/>
      <c r="I6" s="3323" t="s">
        <v>3355</v>
      </c>
      <c r="J6" s="3319"/>
      <c r="K6" s="2598" t="s">
        <v>2541</v>
      </c>
      <c r="L6" s="1132"/>
      <c r="M6" s="1133"/>
      <c r="N6" s="1133"/>
      <c r="O6" s="1133"/>
      <c r="P6" s="3335"/>
      <c r="Q6" s="3336"/>
      <c r="R6" s="3312"/>
      <c r="S6" s="3313"/>
      <c r="T6" s="3337"/>
      <c r="U6" s="3338"/>
      <c r="V6" s="3339"/>
      <c r="W6" s="3339"/>
      <c r="X6" s="2964"/>
      <c r="Y6" s="3337"/>
      <c r="Z6" s="3338"/>
      <c r="AA6" s="3307"/>
      <c r="AB6" s="3307"/>
      <c r="AC6" s="3307"/>
    </row>
    <row r="7" spans="1:29" s="117" customFormat="1" ht="15.75" thickBot="1">
      <c r="A7" s="408" t="s">
        <v>2542</v>
      </c>
      <c r="B7" s="409"/>
      <c r="C7" s="410">
        <f>'数据-取费表'!B2</f>
        <v>43482</v>
      </c>
      <c r="D7" s="411">
        <v>100</v>
      </c>
      <c r="E7" s="412">
        <v>43466</v>
      </c>
      <c r="F7" s="413">
        <f>SUMIF(58:58,YEAR(E7)&amp;"-"&amp;MONTH(E7),59:59)</f>
        <v>100</v>
      </c>
      <c r="G7" s="2696">
        <f>E7</f>
        <v>43466</v>
      </c>
      <c r="H7" s="411">
        <f>SUMIF(58:58,YEAR(G7)&amp;"-"&amp;MONTH(G7),59:59)</f>
        <v>100</v>
      </c>
      <c r="I7" s="412">
        <f>E7</f>
        <v>43466</v>
      </c>
      <c r="J7" s="411">
        <f>SUMIF(58:58,YEAR(I7)&amp;"-"&amp;MONTH(I7),59:59)</f>
        <v>100</v>
      </c>
      <c r="K7" s="2599"/>
      <c r="L7" s="1134"/>
      <c r="M7" s="1135"/>
      <c r="N7" s="1135"/>
      <c r="O7" s="1135"/>
      <c r="P7" s="3308" t="s">
        <v>2543</v>
      </c>
      <c r="Q7" s="3342"/>
      <c r="R7" s="770" t="s">
        <v>17</v>
      </c>
      <c r="S7" s="771">
        <f t="shared" ref="S7:S15" si="0">F7</f>
        <v>100</v>
      </c>
      <c r="T7" s="770" t="s">
        <v>17</v>
      </c>
      <c r="U7" s="771">
        <f t="shared" ref="U7:U15" si="1">H7</f>
        <v>100</v>
      </c>
      <c r="V7" s="770" t="s">
        <v>17</v>
      </c>
      <c r="W7" s="771">
        <f t="shared" ref="W7:W15" si="2">J7</f>
        <v>100</v>
      </c>
      <c r="X7" s="772"/>
      <c r="Y7" s="3308" t="s">
        <v>2543</v>
      </c>
      <c r="Z7" s="3309"/>
      <c r="AA7" s="773">
        <f>D7/F7</f>
        <v>1</v>
      </c>
      <c r="AB7" s="773">
        <f>D7/H7</f>
        <v>1</v>
      </c>
      <c r="AC7" s="773">
        <f>D7/J7</f>
        <v>1</v>
      </c>
    </row>
    <row r="8" spans="1:29" s="117" customFormat="1" ht="15.75" thickBot="1">
      <c r="A8" s="408" t="s">
        <v>2544</v>
      </c>
      <c r="B8" s="409"/>
      <c r="C8" s="414" t="s">
        <v>2545</v>
      </c>
      <c r="D8" s="411">
        <v>100</v>
      </c>
      <c r="E8" s="2600" t="s">
        <v>3091</v>
      </c>
      <c r="F8" s="413">
        <f>SUMIF(61:61,E8,62:62)-SUMIF(61:61,C8,62:62)+100</f>
        <v>100</v>
      </c>
      <c r="G8" s="414" t="s">
        <v>3091</v>
      </c>
      <c r="H8" s="411">
        <f>SUMIF(61:61,G8,62:62)-SUMIF(61:61,C8,62:62)+100</f>
        <v>100</v>
      </c>
      <c r="I8" s="2600" t="s">
        <v>3091</v>
      </c>
      <c r="J8" s="411">
        <f>SUMIF(61:61,I8,62:62)-SUMIF(61:61,C8,62:62)+100</f>
        <v>100</v>
      </c>
      <c r="K8" s="2599"/>
      <c r="L8" s="1134"/>
      <c r="M8" s="1135"/>
      <c r="N8" s="1135"/>
      <c r="O8" s="1135"/>
      <c r="P8" s="3308" t="s">
        <v>2546</v>
      </c>
      <c r="Q8" s="3309"/>
      <c r="R8" s="770" t="s">
        <v>17</v>
      </c>
      <c r="S8" s="771">
        <f t="shared" si="0"/>
        <v>100</v>
      </c>
      <c r="T8" s="770" t="s">
        <v>17</v>
      </c>
      <c r="U8" s="771">
        <f t="shared" si="1"/>
        <v>100</v>
      </c>
      <c r="V8" s="770" t="s">
        <v>17</v>
      </c>
      <c r="W8" s="771">
        <f t="shared" si="2"/>
        <v>100</v>
      </c>
      <c r="X8" s="772"/>
      <c r="Y8" s="3308" t="s">
        <v>2546</v>
      </c>
      <c r="Z8" s="3309"/>
      <c r="AA8" s="773">
        <f t="shared" ref="AA8:AA19" si="3">D8/F8</f>
        <v>1</v>
      </c>
      <c r="AB8" s="773">
        <f t="shared" ref="AB8:AB19" si="4">D8/H8</f>
        <v>1</v>
      </c>
      <c r="AC8" s="773">
        <f t="shared" ref="AC8:AC19" si="5">D8/J8</f>
        <v>1</v>
      </c>
    </row>
    <row r="9" spans="1:29" s="117" customFormat="1">
      <c r="A9" s="415" t="s">
        <v>2547</v>
      </c>
      <c r="B9" s="71" t="s">
        <v>2548</v>
      </c>
      <c r="C9" s="2975" t="s">
        <v>3159</v>
      </c>
      <c r="D9" s="135">
        <v>100</v>
      </c>
      <c r="E9" s="417" t="s">
        <v>3158</v>
      </c>
      <c r="F9" s="418">
        <f>SUMIF(63:63,E9,64:64)-SUMIF(63:63,C9,64:64)+100</f>
        <v>100</v>
      </c>
      <c r="G9" s="419" t="s">
        <v>3158</v>
      </c>
      <c r="H9" s="135">
        <f>SUMIF(63:63,G9,64:64)-SUMIF(63:63,C9,64:64)+100</f>
        <v>100</v>
      </c>
      <c r="I9" s="417" t="s">
        <v>3158</v>
      </c>
      <c r="J9" s="135">
        <f>SUMIF(63:63,I9,64:64)-SUMIF(63:63,C9,64:64)+100</f>
        <v>100</v>
      </c>
      <c r="K9" s="2599"/>
      <c r="L9" s="1134"/>
      <c r="M9" s="1135"/>
      <c r="N9" s="1135"/>
      <c r="O9" s="1135"/>
      <c r="P9" s="3324" t="s">
        <v>2549</v>
      </c>
      <c r="Q9" s="2940" t="str">
        <f t="shared" ref="Q9:Q15" si="6">B9</f>
        <v>用途</v>
      </c>
      <c r="R9" s="770" t="s">
        <v>17</v>
      </c>
      <c r="S9" s="771">
        <f t="shared" si="0"/>
        <v>100</v>
      </c>
      <c r="T9" s="770" t="s">
        <v>17</v>
      </c>
      <c r="U9" s="771">
        <f t="shared" si="1"/>
        <v>100</v>
      </c>
      <c r="V9" s="770" t="s">
        <v>17</v>
      </c>
      <c r="W9" s="771">
        <f t="shared" si="2"/>
        <v>100</v>
      </c>
      <c r="X9" s="772"/>
      <c r="Y9" s="3160" t="s">
        <v>2550</v>
      </c>
      <c r="Z9" s="2942" t="str">
        <f t="shared" ref="Z9:Z15" si="7">Q9</f>
        <v>用途</v>
      </c>
      <c r="AA9" s="773">
        <f t="shared" si="3"/>
        <v>1</v>
      </c>
      <c r="AB9" s="773">
        <f t="shared" si="4"/>
        <v>1</v>
      </c>
      <c r="AC9" s="773">
        <f t="shared" si="5"/>
        <v>1</v>
      </c>
    </row>
    <row r="10" spans="1:29" s="427" customFormat="1" ht="27">
      <c r="A10" s="421"/>
      <c r="B10" s="2952" t="s">
        <v>2551</v>
      </c>
      <c r="C10" s="423" t="s">
        <v>3127</v>
      </c>
      <c r="D10" s="136">
        <v>100</v>
      </c>
      <c r="E10" s="424" t="s">
        <v>3127</v>
      </c>
      <c r="F10" s="425">
        <f>SUMIF(65:65,E10,66:66)-SUMIF(65:65,C10,66:66)+100</f>
        <v>100</v>
      </c>
      <c r="G10" s="423" t="s">
        <v>3127</v>
      </c>
      <c r="H10" s="136">
        <f>SUMIF(65:65,G10,66:66)-SUMIF(65:65,C10,66:66)+100</f>
        <v>100</v>
      </c>
      <c r="I10" s="424" t="s">
        <v>3127</v>
      </c>
      <c r="J10" s="136">
        <f>SUMIF(65:65,I10,66:66)-SUMIF(65:65,C10,66:66)+100</f>
        <v>100</v>
      </c>
      <c r="K10" s="426">
        <v>3</v>
      </c>
      <c r="L10" s="1137"/>
      <c r="M10" s="1138"/>
      <c r="N10" s="1138"/>
      <c r="O10" s="1138"/>
      <c r="P10" s="3324"/>
      <c r="Q10" s="2940" t="str">
        <f t="shared" si="6"/>
        <v>土地使用年限（年）</v>
      </c>
      <c r="R10" s="770" t="s">
        <v>17</v>
      </c>
      <c r="S10" s="771">
        <f t="shared" si="0"/>
        <v>100</v>
      </c>
      <c r="T10" s="770" t="s">
        <v>17</v>
      </c>
      <c r="U10" s="771">
        <f t="shared" si="1"/>
        <v>100</v>
      </c>
      <c r="V10" s="770" t="s">
        <v>17</v>
      </c>
      <c r="W10" s="771">
        <f t="shared" si="2"/>
        <v>100</v>
      </c>
      <c r="X10" s="772"/>
      <c r="Y10" s="3160"/>
      <c r="Z10" s="2942" t="str">
        <f t="shared" si="7"/>
        <v>土地使用年限（年）</v>
      </c>
      <c r="AA10" s="773">
        <f t="shared" si="3"/>
        <v>1</v>
      </c>
      <c r="AB10" s="773">
        <f t="shared" si="4"/>
        <v>1</v>
      </c>
      <c r="AC10" s="773">
        <f t="shared" si="5"/>
        <v>1</v>
      </c>
    </row>
    <row r="11" spans="1:29" ht="15.75" thickBot="1">
      <c r="A11" s="428"/>
      <c r="B11" s="2952" t="s">
        <v>2552</v>
      </c>
      <c r="C11" s="429"/>
      <c r="D11" s="136">
        <v>100</v>
      </c>
      <c r="E11" s="430"/>
      <c r="F11" s="425">
        <f>LOOKUP(E11,68:68,69:69)-LOOKUP(C11,68:68,69:69)+100</f>
        <v>100</v>
      </c>
      <c r="G11" s="3060"/>
      <c r="H11" s="137">
        <f>LOOKUP(G11,68:68,69:69)-LOOKUP(C11,68:68,69:69)+100</f>
        <v>100</v>
      </c>
      <c r="I11" s="429"/>
      <c r="J11" s="136">
        <f>LOOKUP(I11,68:68,69:69)-LOOKUP(C11,68:68,69:69)+100</f>
        <v>100</v>
      </c>
      <c r="K11" s="426"/>
      <c r="L11" s="1140"/>
      <c r="M11" s="1133"/>
      <c r="N11" s="1133"/>
      <c r="O11" s="1133"/>
      <c r="P11" s="3324"/>
      <c r="Q11" s="2940" t="str">
        <f t="shared" si="6"/>
        <v>容积率</v>
      </c>
      <c r="R11" s="770" t="s">
        <v>17</v>
      </c>
      <c r="S11" s="771">
        <f t="shared" si="0"/>
        <v>100</v>
      </c>
      <c r="T11" s="770" t="s">
        <v>17</v>
      </c>
      <c r="U11" s="771">
        <f t="shared" si="1"/>
        <v>100</v>
      </c>
      <c r="V11" s="770" t="s">
        <v>17</v>
      </c>
      <c r="W11" s="771">
        <f t="shared" si="2"/>
        <v>100</v>
      </c>
      <c r="X11" s="772"/>
      <c r="Y11" s="3160"/>
      <c r="Z11" s="2942" t="str">
        <f t="shared" si="7"/>
        <v>容积率</v>
      </c>
      <c r="AA11" s="773">
        <f t="shared" si="3"/>
        <v>1</v>
      </c>
      <c r="AB11" s="773">
        <f t="shared" si="4"/>
        <v>1</v>
      </c>
      <c r="AC11" s="773">
        <f t="shared" si="5"/>
        <v>1</v>
      </c>
    </row>
    <row r="12" spans="1:29" s="117" customFormat="1" ht="15" hidden="1">
      <c r="A12" s="431"/>
      <c r="B12" s="2601"/>
      <c r="C12" s="432"/>
      <c r="D12" s="433">
        <v>100</v>
      </c>
      <c r="E12" s="432"/>
      <c r="F12" s="425">
        <f>SUMIF(70:70,E12,71:71)-SUMIF(70:70,C12,71:71)+100</f>
        <v>100</v>
      </c>
      <c r="G12" s="432"/>
      <c r="H12" s="462">
        <f>SUMIF(70:70,G12,71:71)-SUMIF(70:70,C12,71:71)+100</f>
        <v>100</v>
      </c>
      <c r="I12" s="432"/>
      <c r="J12" s="136">
        <f>SUMIF(70:70,I12,71:71)-SUMIF(70:70,C12,71:71)+100</f>
        <v>100</v>
      </c>
      <c r="K12" s="2602"/>
      <c r="L12" s="1134"/>
      <c r="M12" s="1135"/>
      <c r="N12" s="1135"/>
      <c r="O12" s="1135"/>
      <c r="P12" s="3324"/>
      <c r="Q12" s="2940">
        <f t="shared" si="6"/>
        <v>0</v>
      </c>
      <c r="R12" s="770" t="s">
        <v>17</v>
      </c>
      <c r="S12" s="771">
        <f t="shared" si="0"/>
        <v>100</v>
      </c>
      <c r="T12" s="770" t="s">
        <v>17</v>
      </c>
      <c r="U12" s="771">
        <f t="shared" si="1"/>
        <v>100</v>
      </c>
      <c r="V12" s="770" t="s">
        <v>17</v>
      </c>
      <c r="W12" s="771">
        <f t="shared" si="2"/>
        <v>100</v>
      </c>
      <c r="X12" s="772"/>
      <c r="Y12" s="3160"/>
      <c r="Z12" s="2942">
        <f t="shared" si="7"/>
        <v>0</v>
      </c>
      <c r="AA12" s="773">
        <f>D12/F12</f>
        <v>1</v>
      </c>
      <c r="AB12" s="773">
        <f>D12/H12</f>
        <v>1</v>
      </c>
      <c r="AC12" s="773">
        <f>D12/J12</f>
        <v>1</v>
      </c>
    </row>
    <row r="13" spans="1:29" ht="15" hidden="1">
      <c r="A13" s="428"/>
      <c r="B13" s="2601"/>
      <c r="C13" s="434"/>
      <c r="D13" s="435">
        <v>100</v>
      </c>
      <c r="E13" s="434"/>
      <c r="F13" s="425">
        <f>SUMIF(72:72,E13,73:73)-SUMIF(72:72,C13,73:73)+100</f>
        <v>100</v>
      </c>
      <c r="G13" s="434"/>
      <c r="H13" s="435">
        <f>SUMIF(72:72,G13,73:73)-SUMIF(72:72,C13,73:73)+100</f>
        <v>100</v>
      </c>
      <c r="I13" s="434"/>
      <c r="J13" s="435">
        <f>SUMIF(72:72,I13,73:73)-SUMIF(72:72,C13,73:73)+100</f>
        <v>100</v>
      </c>
      <c r="K13" s="2602"/>
      <c r="L13" s="1142"/>
      <c r="M13" s="1133"/>
      <c r="N13" s="1133"/>
      <c r="O13" s="1133"/>
      <c r="P13" s="3324"/>
      <c r="Q13" s="2940">
        <f t="shared" si="6"/>
        <v>0</v>
      </c>
      <c r="R13" s="770" t="s">
        <v>17</v>
      </c>
      <c r="S13" s="771">
        <f t="shared" si="0"/>
        <v>100</v>
      </c>
      <c r="T13" s="770" t="s">
        <v>17</v>
      </c>
      <c r="U13" s="771">
        <f t="shared" si="1"/>
        <v>100</v>
      </c>
      <c r="V13" s="770" t="s">
        <v>17</v>
      </c>
      <c r="W13" s="771">
        <f t="shared" si="2"/>
        <v>100</v>
      </c>
      <c r="X13" s="772"/>
      <c r="Y13" s="3160"/>
      <c r="Z13" s="2942">
        <f t="shared" si="7"/>
        <v>0</v>
      </c>
      <c r="AA13" s="773">
        <f t="shared" si="3"/>
        <v>1</v>
      </c>
      <c r="AB13" s="773">
        <f t="shared" si="4"/>
        <v>1</v>
      </c>
      <c r="AC13" s="773">
        <f t="shared" si="5"/>
        <v>1</v>
      </c>
    </row>
    <row r="14" spans="1:29" ht="15.75" hidden="1" thickBot="1">
      <c r="A14" s="436"/>
      <c r="B14" s="2603"/>
      <c r="C14" s="437"/>
      <c r="D14" s="438">
        <v>100</v>
      </c>
      <c r="E14" s="437"/>
      <c r="F14" s="439">
        <f>SUMIF(74:74,E14,75:75)-SUMIF(74:74,C14,75:75)+100</f>
        <v>100</v>
      </c>
      <c r="G14" s="437"/>
      <c r="H14" s="438">
        <f>SUMIF(74:74,G14,75:75)-SUMIF(74:74,C14,75:75)+100</f>
        <v>100</v>
      </c>
      <c r="I14" s="437"/>
      <c r="J14" s="438">
        <f>SUMIF(74:74,I14,75:75)-SUMIF(74:74,C14,75:75)+100</f>
        <v>100</v>
      </c>
      <c r="K14" s="2602"/>
      <c r="L14" s="1142"/>
      <c r="M14" s="1133"/>
      <c r="N14" s="1133"/>
      <c r="O14" s="1133"/>
      <c r="P14" s="3324"/>
      <c r="Q14" s="2940">
        <f t="shared" si="6"/>
        <v>0</v>
      </c>
      <c r="R14" s="770" t="s">
        <v>17</v>
      </c>
      <c r="S14" s="771">
        <f t="shared" si="0"/>
        <v>100</v>
      </c>
      <c r="T14" s="770" t="s">
        <v>17</v>
      </c>
      <c r="U14" s="771">
        <f t="shared" si="1"/>
        <v>100</v>
      </c>
      <c r="V14" s="770" t="s">
        <v>17</v>
      </c>
      <c r="W14" s="771">
        <f t="shared" si="2"/>
        <v>100</v>
      </c>
      <c r="X14" s="772"/>
      <c r="Y14" s="3160"/>
      <c r="Z14" s="2942">
        <f t="shared" si="7"/>
        <v>0</v>
      </c>
      <c r="AA14" s="773">
        <f t="shared" si="3"/>
        <v>1</v>
      </c>
      <c r="AB14" s="773">
        <f t="shared" si="4"/>
        <v>1</v>
      </c>
      <c r="AC14" s="773">
        <f t="shared" si="5"/>
        <v>1</v>
      </c>
    </row>
    <row r="15" spans="1:29" ht="57">
      <c r="A15" s="440" t="s">
        <v>2553</v>
      </c>
      <c r="B15" s="69" t="s">
        <v>2078</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105</v>
      </c>
      <c r="K15" s="445">
        <v>5</v>
      </c>
      <c r="L15" s="1142"/>
      <c r="M15" s="1133"/>
      <c r="N15" s="1133"/>
      <c r="O15" s="1133"/>
      <c r="P15" s="3355" t="s">
        <v>2554</v>
      </c>
      <c r="Q15" s="2962" t="str">
        <f t="shared" si="6"/>
        <v>居住社区成熟度</v>
      </c>
      <c r="R15" s="774" t="s">
        <v>17</v>
      </c>
      <c r="S15" s="775">
        <f t="shared" si="0"/>
        <v>100</v>
      </c>
      <c r="T15" s="774" t="s">
        <v>17</v>
      </c>
      <c r="U15" s="775">
        <f t="shared" si="1"/>
        <v>100</v>
      </c>
      <c r="V15" s="774" t="s">
        <v>17</v>
      </c>
      <c r="W15" s="775">
        <f t="shared" si="2"/>
        <v>105</v>
      </c>
      <c r="X15" s="2964"/>
      <c r="Y15" s="3348" t="s">
        <v>2554</v>
      </c>
      <c r="Z15" s="2965" t="str">
        <f t="shared" si="7"/>
        <v>居住社区成熟度</v>
      </c>
      <c r="AA15" s="2963">
        <f t="shared" si="3"/>
        <v>1</v>
      </c>
      <c r="AB15" s="2963">
        <f t="shared" si="4"/>
        <v>1</v>
      </c>
      <c r="AC15" s="2963">
        <f t="shared" si="5"/>
        <v>0.95238095238095233</v>
      </c>
    </row>
    <row r="16" spans="1:29" ht="15">
      <c r="A16" s="428"/>
      <c r="B16" s="446"/>
      <c r="C16" s="447" t="s">
        <v>3093</v>
      </c>
      <c r="D16" s="448"/>
      <c r="E16" s="447" t="s">
        <v>3093</v>
      </c>
      <c r="F16" s="448"/>
      <c r="G16" s="447" t="s">
        <v>3093</v>
      </c>
      <c r="H16" s="450"/>
      <c r="I16" s="447" t="s">
        <v>3103</v>
      </c>
      <c r="J16" s="448"/>
      <c r="K16" s="2607"/>
      <c r="L16" s="1142"/>
      <c r="M16" s="1133"/>
      <c r="N16" s="1133"/>
      <c r="O16" s="1133"/>
      <c r="P16" s="3356"/>
      <c r="Q16" s="2962"/>
      <c r="R16" s="774"/>
      <c r="S16" s="775"/>
      <c r="T16" s="774"/>
      <c r="U16" s="775"/>
      <c r="V16" s="774"/>
      <c r="W16" s="775"/>
      <c r="X16" s="2964"/>
      <c r="Y16" s="3349"/>
      <c r="Z16" s="2965"/>
      <c r="AA16" s="2963">
        <v>1</v>
      </c>
      <c r="AB16" s="2963">
        <v>1</v>
      </c>
      <c r="AC16" s="2963">
        <v>1</v>
      </c>
    </row>
    <row r="17" spans="1:29" ht="57">
      <c r="A17" s="428"/>
      <c r="B17" s="451" t="s">
        <v>2090</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3</v>
      </c>
      <c r="L17" s="1142"/>
      <c r="M17" s="1133"/>
      <c r="N17" s="1133"/>
      <c r="O17" s="1133"/>
      <c r="P17" s="3356"/>
      <c r="Q17" s="2962" t="str">
        <f>B17</f>
        <v>交通便捷度</v>
      </c>
      <c r="R17" s="774" t="s">
        <v>17</v>
      </c>
      <c r="S17" s="775">
        <f>F17</f>
        <v>100</v>
      </c>
      <c r="T17" s="774" t="s">
        <v>17</v>
      </c>
      <c r="U17" s="775">
        <f>H17</f>
        <v>100</v>
      </c>
      <c r="V17" s="774" t="s">
        <v>17</v>
      </c>
      <c r="W17" s="775">
        <f>J17</f>
        <v>100</v>
      </c>
      <c r="X17" s="2964"/>
      <c r="Y17" s="3349"/>
      <c r="Z17" s="2965" t="str">
        <f>Q17</f>
        <v>交通便捷度</v>
      </c>
      <c r="AA17" s="2963">
        <f t="shared" si="3"/>
        <v>1</v>
      </c>
      <c r="AB17" s="2963">
        <f t="shared" si="4"/>
        <v>1</v>
      </c>
      <c r="AC17" s="2963">
        <f t="shared" si="5"/>
        <v>1</v>
      </c>
    </row>
    <row r="18" spans="1:29" ht="15">
      <c r="A18" s="428"/>
      <c r="B18" s="456"/>
      <c r="C18" s="2609" t="s">
        <v>3093</v>
      </c>
      <c r="D18" s="450"/>
      <c r="E18" s="2610" t="s">
        <v>3093</v>
      </c>
      <c r="F18" s="450"/>
      <c r="G18" s="2611" t="s">
        <v>3093</v>
      </c>
      <c r="H18" s="448"/>
      <c r="I18" s="447" t="s">
        <v>3093</v>
      </c>
      <c r="J18" s="448"/>
      <c r="K18" s="2607"/>
      <c r="L18" s="1142"/>
      <c r="M18" s="1133"/>
      <c r="N18" s="1133"/>
      <c r="O18" s="1133"/>
      <c r="P18" s="3356"/>
      <c r="Q18" s="2962"/>
      <c r="R18" s="774"/>
      <c r="S18" s="775"/>
      <c r="T18" s="774"/>
      <c r="U18" s="775"/>
      <c r="V18" s="774"/>
      <c r="W18" s="775"/>
      <c r="X18" s="2964"/>
      <c r="Y18" s="3349"/>
      <c r="Z18" s="2965"/>
      <c r="AA18" s="2963">
        <v>1</v>
      </c>
      <c r="AB18" s="2963">
        <v>1</v>
      </c>
      <c r="AC18" s="2963">
        <v>1</v>
      </c>
    </row>
    <row r="19" spans="1:29" ht="28.5">
      <c r="A19" s="428"/>
      <c r="B19" s="451" t="s">
        <v>2088</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5</v>
      </c>
      <c r="L19" s="1142"/>
      <c r="M19" s="1133"/>
      <c r="N19" s="1133"/>
      <c r="O19" s="1133"/>
      <c r="P19" s="3356"/>
      <c r="Q19" s="2962" t="str">
        <f>B19</f>
        <v>公共配套设施</v>
      </c>
      <c r="R19" s="774" t="s">
        <v>17</v>
      </c>
      <c r="S19" s="775">
        <f>F19</f>
        <v>100</v>
      </c>
      <c r="T19" s="774" t="s">
        <v>17</v>
      </c>
      <c r="U19" s="775">
        <f>H19</f>
        <v>100</v>
      </c>
      <c r="V19" s="774" t="s">
        <v>17</v>
      </c>
      <c r="W19" s="775">
        <f>J19</f>
        <v>100</v>
      </c>
      <c r="X19" s="2964"/>
      <c r="Y19" s="3349"/>
      <c r="Z19" s="2965" t="str">
        <f>Q19</f>
        <v>公共配套设施</v>
      </c>
      <c r="AA19" s="2963">
        <f t="shared" si="3"/>
        <v>1</v>
      </c>
      <c r="AB19" s="2963">
        <f t="shared" si="4"/>
        <v>1</v>
      </c>
      <c r="AC19" s="2963">
        <f t="shared" si="5"/>
        <v>1</v>
      </c>
    </row>
    <row r="20" spans="1:29" ht="15">
      <c r="A20" s="428"/>
      <c r="B20" s="456"/>
      <c r="C20" s="447" t="s">
        <v>3093</v>
      </c>
      <c r="D20" s="448"/>
      <c r="E20" s="447" t="s">
        <v>3093</v>
      </c>
      <c r="F20" s="448"/>
      <c r="G20" s="447" t="s">
        <v>3093</v>
      </c>
      <c r="H20" s="448"/>
      <c r="I20" s="447" t="s">
        <v>3093</v>
      </c>
      <c r="J20" s="448"/>
      <c r="K20" s="2607"/>
      <c r="L20" s="1142"/>
      <c r="M20" s="1133"/>
      <c r="N20" s="1133"/>
      <c r="O20" s="1133"/>
      <c r="P20" s="3356"/>
      <c r="Q20" s="2962"/>
      <c r="R20" s="774"/>
      <c r="S20" s="775"/>
      <c r="T20" s="774"/>
      <c r="U20" s="775"/>
      <c r="V20" s="774"/>
      <c r="W20" s="775"/>
      <c r="X20" s="2964"/>
      <c r="Y20" s="3349"/>
      <c r="Z20" s="2965"/>
      <c r="AA20" s="2963">
        <v>1</v>
      </c>
      <c r="AB20" s="2963">
        <v>1</v>
      </c>
      <c r="AC20" s="2963">
        <v>1</v>
      </c>
    </row>
    <row r="21" spans="1:29" ht="28.5">
      <c r="A21" s="428"/>
      <c r="B21" s="1386" t="s">
        <v>2091</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2</v>
      </c>
      <c r="L21" s="1142"/>
      <c r="M21" s="1133"/>
      <c r="N21" s="1133"/>
      <c r="O21" s="1133"/>
      <c r="P21" s="3356"/>
      <c r="Q21" s="2962" t="str">
        <f>B21</f>
        <v>基础设施水平</v>
      </c>
      <c r="R21" s="774" t="s">
        <v>17</v>
      </c>
      <c r="S21" s="775">
        <f>F21</f>
        <v>100</v>
      </c>
      <c r="T21" s="774" t="s">
        <v>17</v>
      </c>
      <c r="U21" s="775">
        <f>H21</f>
        <v>100</v>
      </c>
      <c r="V21" s="774" t="s">
        <v>17</v>
      </c>
      <c r="W21" s="775">
        <f>J21</f>
        <v>100</v>
      </c>
      <c r="X21" s="2964"/>
      <c r="Y21" s="3349"/>
      <c r="Z21" s="2965" t="str">
        <f>Q21</f>
        <v>基础设施水平</v>
      </c>
      <c r="AA21" s="2963">
        <f t="shared" ref="AA21" si="8">D21/F21</f>
        <v>1</v>
      </c>
      <c r="AB21" s="2963">
        <f t="shared" ref="AB21" si="9">D21/H21</f>
        <v>1</v>
      </c>
      <c r="AC21" s="2963">
        <f t="shared" ref="AC21" si="10">D21/J21</f>
        <v>1</v>
      </c>
    </row>
    <row r="22" spans="1:29" ht="15">
      <c r="A22" s="428"/>
      <c r="B22" s="1386"/>
      <c r="C22" s="2609" t="s">
        <v>3108</v>
      </c>
      <c r="D22" s="448"/>
      <c r="E22" s="2609" t="s">
        <v>3108</v>
      </c>
      <c r="F22" s="448"/>
      <c r="G22" s="2609" t="s">
        <v>3108</v>
      </c>
      <c r="H22" s="448"/>
      <c r="I22" s="2609" t="s">
        <v>3108</v>
      </c>
      <c r="J22" s="448"/>
      <c r="K22" s="2613"/>
      <c r="L22" s="1142"/>
      <c r="M22" s="1133"/>
      <c r="N22" s="1133"/>
      <c r="O22" s="1133"/>
      <c r="P22" s="3356"/>
      <c r="Q22" s="2962"/>
      <c r="R22" s="774"/>
      <c r="S22" s="775"/>
      <c r="T22" s="774"/>
      <c r="U22" s="775"/>
      <c r="V22" s="774"/>
      <c r="W22" s="775"/>
      <c r="X22" s="2964"/>
      <c r="Y22" s="3349"/>
      <c r="Z22" s="2965"/>
      <c r="AA22" s="2963">
        <v>1</v>
      </c>
      <c r="AB22" s="2963">
        <v>1</v>
      </c>
      <c r="AC22" s="2963">
        <v>1</v>
      </c>
    </row>
    <row r="23" spans="1:29" ht="28.5">
      <c r="A23" s="428"/>
      <c r="B23" s="451" t="s">
        <v>2095</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5</v>
      </c>
      <c r="L23" s="1142"/>
      <c r="M23" s="1133"/>
      <c r="N23" s="1133"/>
      <c r="O23" s="1133"/>
      <c r="P23" s="3356"/>
      <c r="Q23" s="2962" t="str">
        <f>B23</f>
        <v>自然及人文环境</v>
      </c>
      <c r="R23" s="774" t="s">
        <v>17</v>
      </c>
      <c r="S23" s="775">
        <f>F23</f>
        <v>100</v>
      </c>
      <c r="T23" s="774" t="s">
        <v>17</v>
      </c>
      <c r="U23" s="775">
        <f>H23</f>
        <v>100</v>
      </c>
      <c r="V23" s="774" t="s">
        <v>17</v>
      </c>
      <c r="W23" s="775">
        <f>J23</f>
        <v>100</v>
      </c>
      <c r="X23" s="2964"/>
      <c r="Y23" s="3349"/>
      <c r="Z23" s="2965" t="str">
        <f>Q23</f>
        <v>自然及人文环境</v>
      </c>
      <c r="AA23" s="2963">
        <f>D23/F23</f>
        <v>1</v>
      </c>
      <c r="AB23" s="2963">
        <f>D23/H23</f>
        <v>1</v>
      </c>
      <c r="AC23" s="2963">
        <f>D23/J23</f>
        <v>1</v>
      </c>
    </row>
    <row r="24" spans="1:29" ht="15.75" thickBot="1">
      <c r="A24" s="428"/>
      <c r="B24" s="456"/>
      <c r="C24" s="447" t="s">
        <v>3093</v>
      </c>
      <c r="D24" s="448"/>
      <c r="E24" s="447" t="s">
        <v>3093</v>
      </c>
      <c r="F24" s="448"/>
      <c r="G24" s="447" t="s">
        <v>3093</v>
      </c>
      <c r="H24" s="448"/>
      <c r="I24" s="447" t="s">
        <v>3093</v>
      </c>
      <c r="J24" s="448"/>
      <c r="K24" s="2607"/>
      <c r="L24" s="1142"/>
      <c r="M24" s="1133"/>
      <c r="N24" s="1133"/>
      <c r="O24" s="1133"/>
      <c r="P24" s="3356"/>
      <c r="Q24" s="2962"/>
      <c r="R24" s="774"/>
      <c r="S24" s="775"/>
      <c r="T24" s="774"/>
      <c r="U24" s="775"/>
      <c r="V24" s="774"/>
      <c r="W24" s="775"/>
      <c r="X24" s="2964"/>
      <c r="Y24" s="3349"/>
      <c r="Z24" s="2965"/>
      <c r="AA24" s="2963">
        <v>1</v>
      </c>
      <c r="AB24" s="2963">
        <v>1</v>
      </c>
      <c r="AC24" s="2963">
        <v>1</v>
      </c>
    </row>
    <row r="25" spans="1:29" ht="15" hidden="1">
      <c r="A25" s="428"/>
      <c r="B25" s="2952" t="s">
        <v>2555</v>
      </c>
      <c r="C25" s="460"/>
      <c r="D25" s="435">
        <v>100</v>
      </c>
      <c r="E25" s="2614"/>
      <c r="F25" s="435">
        <f>SUMIF(86:86,E25,87:87)-SUMIF(86:86,C25,87:87)+100</f>
        <v>100</v>
      </c>
      <c r="G25" s="2615"/>
      <c r="H25" s="435">
        <f>SUMIF(86:86,G25,87:87)-SUMIF(86:86,C25,87:87)+100</f>
        <v>100</v>
      </c>
      <c r="I25" s="2615"/>
      <c r="J25" s="435">
        <f>SUMIF(86:86,I25,87:87)-SUMIF(86:86,C25,87:87)+100</f>
        <v>100</v>
      </c>
      <c r="K25" s="426"/>
      <c r="L25" s="1142"/>
      <c r="M25" s="1133"/>
      <c r="N25" s="1133"/>
      <c r="O25" s="1133"/>
      <c r="P25" s="3356"/>
      <c r="Q25" s="2962" t="str">
        <f t="shared" ref="Q25:Q46" si="11">B25</f>
        <v>楼层-1</v>
      </c>
      <c r="R25" s="774" t="s">
        <v>17</v>
      </c>
      <c r="S25" s="775">
        <f t="shared" ref="S25:S46" si="12">F25</f>
        <v>100</v>
      </c>
      <c r="T25" s="774" t="s">
        <v>17</v>
      </c>
      <c r="U25" s="775">
        <f t="shared" ref="U25:U46" si="13">H25</f>
        <v>100</v>
      </c>
      <c r="V25" s="774" t="s">
        <v>17</v>
      </c>
      <c r="W25" s="775">
        <f t="shared" ref="W25:W46" si="14">J25</f>
        <v>100</v>
      </c>
      <c r="X25" s="2964"/>
      <c r="Y25" s="3349"/>
      <c r="Z25" s="2965" t="str">
        <f>Q25</f>
        <v>楼层-1</v>
      </c>
      <c r="AA25" s="2963">
        <f t="shared" ref="AA25:AA46" si="15">D25/F25</f>
        <v>1</v>
      </c>
      <c r="AB25" s="2963">
        <f t="shared" ref="AB25:AB46" si="16">D25/H25</f>
        <v>1</v>
      </c>
      <c r="AC25" s="2963">
        <f t="shared" ref="AC25:AC46" si="17">D25/J25</f>
        <v>1</v>
      </c>
    </row>
    <row r="26" spans="1:29" ht="15.75" hidden="1" thickBot="1">
      <c r="A26" s="428"/>
      <c r="B26" s="2952" t="s">
        <v>2556</v>
      </c>
      <c r="C26" s="460"/>
      <c r="D26" s="435">
        <v>100</v>
      </c>
      <c r="E26" s="2614"/>
      <c r="F26" s="435">
        <f>SUMIF(88:88,E26,89:89)-SUMIF(88:88,C26,89:89)+100</f>
        <v>100</v>
      </c>
      <c r="G26" s="2615"/>
      <c r="H26" s="435">
        <f>SUMIF(88:88,G26,89:89)-SUMIF(88:88,C26,89:89)+100</f>
        <v>100</v>
      </c>
      <c r="I26" s="2615"/>
      <c r="J26" s="435">
        <f>SUMIF(88:88,I26,89:89)-SUMIF(88:88,C26,89:89)+100</f>
        <v>100</v>
      </c>
      <c r="K26" s="426"/>
      <c r="L26" s="1142"/>
      <c r="M26" s="1133"/>
      <c r="N26" s="1133"/>
      <c r="O26" s="1133"/>
      <c r="P26" s="3356"/>
      <c r="Q26" s="2962" t="str">
        <f t="shared" si="11"/>
        <v>朝向</v>
      </c>
      <c r="R26" s="774" t="s">
        <v>17</v>
      </c>
      <c r="S26" s="775">
        <f t="shared" si="12"/>
        <v>100</v>
      </c>
      <c r="T26" s="774" t="s">
        <v>17</v>
      </c>
      <c r="U26" s="775">
        <f t="shared" si="13"/>
        <v>100</v>
      </c>
      <c r="V26" s="774" t="s">
        <v>17</v>
      </c>
      <c r="W26" s="775">
        <f t="shared" si="14"/>
        <v>100</v>
      </c>
      <c r="X26" s="2964"/>
      <c r="Y26" s="3349"/>
      <c r="Z26" s="2965" t="str">
        <f>Q26</f>
        <v>朝向</v>
      </c>
      <c r="AA26" s="2963">
        <f t="shared" si="15"/>
        <v>1</v>
      </c>
      <c r="AB26" s="2963">
        <f t="shared" si="16"/>
        <v>1</v>
      </c>
      <c r="AC26" s="2963">
        <f t="shared" si="17"/>
        <v>1</v>
      </c>
    </row>
    <row r="27" spans="1:29" s="117" customFormat="1" ht="15.75" hidden="1" thickBot="1">
      <c r="A27" s="431"/>
      <c r="B27" s="1388"/>
      <c r="C27" s="432"/>
      <c r="D27" s="462">
        <v>100</v>
      </c>
      <c r="E27" s="465"/>
      <c r="F27" s="462">
        <f>SUMIF(90:90,E27,91:91)-SUMIF(90:90,C27,91:91)+100</f>
        <v>100</v>
      </c>
      <c r="G27" s="463"/>
      <c r="H27" s="462">
        <f>SUMIF(90:90,G27,91:91)-SUMIF(90:90,C27,91:91)+100</f>
        <v>100</v>
      </c>
      <c r="I27" s="463"/>
      <c r="J27" s="462">
        <f>SUMIF(90:90,I27,91:91)-SUMIF(90:90,C27,91:91)+100</f>
        <v>100</v>
      </c>
      <c r="K27" s="2602"/>
      <c r="L27" s="1134"/>
      <c r="M27" s="1135"/>
      <c r="N27" s="1135"/>
      <c r="O27" s="1135"/>
      <c r="P27" s="3356"/>
      <c r="Q27" s="2940">
        <f t="shared" si="11"/>
        <v>0</v>
      </c>
      <c r="R27" s="770" t="s">
        <v>17</v>
      </c>
      <c r="S27" s="771">
        <f t="shared" si="12"/>
        <v>100</v>
      </c>
      <c r="T27" s="770" t="s">
        <v>17</v>
      </c>
      <c r="U27" s="771">
        <f t="shared" si="13"/>
        <v>100</v>
      </c>
      <c r="V27" s="770" t="s">
        <v>17</v>
      </c>
      <c r="W27" s="771">
        <f t="shared" si="14"/>
        <v>100</v>
      </c>
      <c r="X27" s="772"/>
      <c r="Y27" s="3349"/>
      <c r="Z27" s="2942">
        <f>Q27</f>
        <v>0</v>
      </c>
      <c r="AA27" s="2963">
        <f t="shared" si="15"/>
        <v>1</v>
      </c>
      <c r="AB27" s="2963">
        <f t="shared" si="16"/>
        <v>1</v>
      </c>
      <c r="AC27" s="2963">
        <f t="shared" si="17"/>
        <v>1</v>
      </c>
    </row>
    <row r="28" spans="1:29" ht="15.75" hidden="1" thickBot="1">
      <c r="A28" s="428"/>
      <c r="B28" s="1388"/>
      <c r="C28" s="434"/>
      <c r="D28" s="435">
        <v>100</v>
      </c>
      <c r="E28" s="434"/>
      <c r="F28" s="435">
        <f>SUMIF(92:92,E28,93:93)-SUMIF(92:92,C28,93:93)+100</f>
        <v>100</v>
      </c>
      <c r="G28" s="2616"/>
      <c r="H28" s="435">
        <f>SUMIF(92:92,G28,93:93)-SUMIF(92:92,C28,93:93)+100</f>
        <v>100</v>
      </c>
      <c r="I28" s="434"/>
      <c r="J28" s="435">
        <f>SUMIF(92:92,I28,93:93)-SUMIF(92:92,C28,93:93)+100</f>
        <v>100</v>
      </c>
      <c r="K28" s="2602"/>
      <c r="L28" s="1142"/>
      <c r="M28" s="1133"/>
      <c r="N28" s="1133"/>
      <c r="O28" s="1133"/>
      <c r="P28" s="3356"/>
      <c r="Q28" s="2962">
        <f t="shared" si="11"/>
        <v>0</v>
      </c>
      <c r="R28" s="774" t="s">
        <v>17</v>
      </c>
      <c r="S28" s="775">
        <f t="shared" si="12"/>
        <v>100</v>
      </c>
      <c r="T28" s="774" t="s">
        <v>17</v>
      </c>
      <c r="U28" s="775">
        <f t="shared" si="13"/>
        <v>100</v>
      </c>
      <c r="V28" s="774" t="s">
        <v>17</v>
      </c>
      <c r="W28" s="775">
        <f t="shared" si="14"/>
        <v>100</v>
      </c>
      <c r="X28" s="2964"/>
      <c r="Y28" s="3349"/>
      <c r="Z28" s="2965">
        <f t="shared" ref="Z28:Z46" si="18">Q28</f>
        <v>0</v>
      </c>
      <c r="AA28" s="2963">
        <f t="shared" si="15"/>
        <v>1</v>
      </c>
      <c r="AB28" s="2963">
        <f t="shared" si="16"/>
        <v>1</v>
      </c>
      <c r="AC28" s="2963">
        <f t="shared" si="17"/>
        <v>1</v>
      </c>
    </row>
    <row r="29" spans="1:29" ht="15.75" hidden="1" thickBot="1">
      <c r="A29" s="428"/>
      <c r="B29" s="1388"/>
      <c r="C29" s="434"/>
      <c r="D29" s="435">
        <v>100</v>
      </c>
      <c r="E29" s="434"/>
      <c r="F29" s="435">
        <f>SUMIF(94:94,E29,95:95)-SUMIF(94:94,C29,95:95)+100</f>
        <v>100</v>
      </c>
      <c r="G29" s="2616"/>
      <c r="H29" s="435">
        <f>SUMIF(94:94,G29,95:95)-SUMIF(94:94,C29,95:95)+100</f>
        <v>100</v>
      </c>
      <c r="I29" s="434"/>
      <c r="J29" s="435">
        <f>SUMIF(94:94,I29,95:95)-SUMIF(94:94,C29,95:95)+100</f>
        <v>100</v>
      </c>
      <c r="K29" s="2602"/>
      <c r="L29" s="1142"/>
      <c r="M29" s="1133"/>
      <c r="N29" s="1133"/>
      <c r="O29" s="1133"/>
      <c r="P29" s="3356"/>
      <c r="Q29" s="2962">
        <f t="shared" si="11"/>
        <v>0</v>
      </c>
      <c r="R29" s="774" t="s">
        <v>17</v>
      </c>
      <c r="S29" s="775">
        <f t="shared" si="12"/>
        <v>100</v>
      </c>
      <c r="T29" s="774" t="s">
        <v>17</v>
      </c>
      <c r="U29" s="775">
        <f t="shared" si="13"/>
        <v>100</v>
      </c>
      <c r="V29" s="774" t="s">
        <v>17</v>
      </c>
      <c r="W29" s="775">
        <f t="shared" si="14"/>
        <v>100</v>
      </c>
      <c r="X29" s="2964"/>
      <c r="Y29" s="3349"/>
      <c r="Z29" s="2965">
        <f t="shared" si="18"/>
        <v>0</v>
      </c>
      <c r="AA29" s="2963">
        <f t="shared" si="15"/>
        <v>1</v>
      </c>
      <c r="AB29" s="2963">
        <f t="shared" si="16"/>
        <v>1</v>
      </c>
      <c r="AC29" s="2963">
        <f t="shared" si="17"/>
        <v>1</v>
      </c>
    </row>
    <row r="30" spans="1:29" ht="15.75" hidden="1" thickBot="1">
      <c r="A30" s="428"/>
      <c r="B30" s="1388"/>
      <c r="C30" s="434"/>
      <c r="D30" s="435">
        <v>100</v>
      </c>
      <c r="E30" s="434"/>
      <c r="F30" s="435">
        <f>SUMIF(96:96,E30,97:97)-SUMIF(96:96,C30,97:97)+100</f>
        <v>100</v>
      </c>
      <c r="G30" s="2616"/>
      <c r="H30" s="435">
        <f>SUMIF(96:96,G30,97:97)-SUMIF(96:96,C30,97:97)+100</f>
        <v>100</v>
      </c>
      <c r="I30" s="434"/>
      <c r="J30" s="435">
        <f>SUMIF(96:96,I30,97:97)-SUMIF(96:96,C30,97:97)+100</f>
        <v>100</v>
      </c>
      <c r="K30" s="2602"/>
      <c r="L30" s="1142"/>
      <c r="M30" s="1133"/>
      <c r="N30" s="1133"/>
      <c r="O30" s="1133"/>
      <c r="P30" s="3356"/>
      <c r="Q30" s="2962">
        <f t="shared" si="11"/>
        <v>0</v>
      </c>
      <c r="R30" s="774" t="s">
        <v>17</v>
      </c>
      <c r="S30" s="775">
        <f t="shared" si="12"/>
        <v>100</v>
      </c>
      <c r="T30" s="774" t="s">
        <v>17</v>
      </c>
      <c r="U30" s="775">
        <f t="shared" si="13"/>
        <v>100</v>
      </c>
      <c r="V30" s="774" t="s">
        <v>17</v>
      </c>
      <c r="W30" s="775">
        <f t="shared" si="14"/>
        <v>100</v>
      </c>
      <c r="X30" s="2964"/>
      <c r="Y30" s="3349"/>
      <c r="Z30" s="2965">
        <f t="shared" si="18"/>
        <v>0</v>
      </c>
      <c r="AA30" s="2963">
        <f t="shared" si="15"/>
        <v>1</v>
      </c>
      <c r="AB30" s="2963">
        <f t="shared" si="16"/>
        <v>1</v>
      </c>
      <c r="AC30" s="2963">
        <f t="shared" si="17"/>
        <v>1</v>
      </c>
    </row>
    <row r="31" spans="1:29" ht="15.75" hidden="1" thickBot="1">
      <c r="A31" s="436"/>
      <c r="B31" s="1388"/>
      <c r="C31" s="437"/>
      <c r="D31" s="438">
        <v>100</v>
      </c>
      <c r="E31" s="437"/>
      <c r="F31" s="438">
        <f>SUMIF(98:98,E31,99:99)-SUMIF(98:98,C31,99:99)+100</f>
        <v>100</v>
      </c>
      <c r="G31" s="2617"/>
      <c r="H31" s="438">
        <f>SUMIF(98:98,G31,99:99)-SUMIF(98:98,C31,99:99)+100</f>
        <v>100</v>
      </c>
      <c r="I31" s="437"/>
      <c r="J31" s="438">
        <f>SUMIF(98:98,I31,99:99)-SUMIF(98:98,C31,99:99)+100</f>
        <v>100</v>
      </c>
      <c r="K31" s="2602"/>
      <c r="L31" s="1142"/>
      <c r="M31" s="1133"/>
      <c r="N31" s="1133"/>
      <c r="O31" s="1133"/>
      <c r="P31" s="3356"/>
      <c r="Q31" s="2962">
        <f t="shared" si="11"/>
        <v>0</v>
      </c>
      <c r="R31" s="774" t="s">
        <v>17</v>
      </c>
      <c r="S31" s="775">
        <f t="shared" si="12"/>
        <v>100</v>
      </c>
      <c r="T31" s="774" t="s">
        <v>17</v>
      </c>
      <c r="U31" s="775">
        <f t="shared" si="13"/>
        <v>100</v>
      </c>
      <c r="V31" s="774" t="s">
        <v>17</v>
      </c>
      <c r="W31" s="775">
        <f t="shared" si="14"/>
        <v>100</v>
      </c>
      <c r="X31" s="2964"/>
      <c r="Y31" s="3349"/>
      <c r="Z31" s="2965">
        <f t="shared" si="18"/>
        <v>0</v>
      </c>
      <c r="AA31" s="2963">
        <f t="shared" si="15"/>
        <v>1</v>
      </c>
      <c r="AB31" s="2963">
        <f t="shared" si="16"/>
        <v>1</v>
      </c>
      <c r="AC31" s="2963">
        <f t="shared" si="17"/>
        <v>1</v>
      </c>
    </row>
    <row r="32" spans="1:29" ht="15">
      <c r="A32" s="440" t="s">
        <v>2557</v>
      </c>
      <c r="B32" s="71" t="s">
        <v>2558</v>
      </c>
      <c r="C32" s="2618" t="s">
        <v>3171</v>
      </c>
      <c r="D32" s="467">
        <v>100</v>
      </c>
      <c r="E32" s="2619" t="s">
        <v>3119</v>
      </c>
      <c r="F32" s="461">
        <f>SUMIF(100:100,E32,101:101)-SUMIF(100:100,C32,101:101)+100</f>
        <v>90</v>
      </c>
      <c r="G32" s="2618" t="s">
        <v>3119</v>
      </c>
      <c r="H32" s="467">
        <f>SUMIF(100:100,G32,101:101)-SUMIF(100:100,C32,101:101)+100</f>
        <v>90</v>
      </c>
      <c r="I32" s="2619" t="s">
        <v>3173</v>
      </c>
      <c r="J32" s="435">
        <f>SUMIF(100:100,I32,101:101)-SUMIF(100:100,C32,101:101)+100</f>
        <v>95</v>
      </c>
      <c r="K32" s="426">
        <v>5</v>
      </c>
      <c r="L32" s="1142"/>
      <c r="M32" s="1133"/>
      <c r="N32" s="1133"/>
      <c r="O32" s="1133"/>
      <c r="P32" s="3350" t="s">
        <v>2559</v>
      </c>
      <c r="Q32" s="2962" t="str">
        <f t="shared" si="11"/>
        <v>建筑类型</v>
      </c>
      <c r="R32" s="774" t="s">
        <v>17</v>
      </c>
      <c r="S32" s="775">
        <f t="shared" si="12"/>
        <v>90</v>
      </c>
      <c r="T32" s="774" t="s">
        <v>17</v>
      </c>
      <c r="U32" s="775">
        <f t="shared" si="13"/>
        <v>90</v>
      </c>
      <c r="V32" s="774" t="s">
        <v>17</v>
      </c>
      <c r="W32" s="775">
        <f t="shared" si="14"/>
        <v>95</v>
      </c>
      <c r="X32" s="2964"/>
      <c r="Y32" s="3353" t="s">
        <v>2559</v>
      </c>
      <c r="Z32" s="2965" t="str">
        <f t="shared" si="18"/>
        <v>建筑类型</v>
      </c>
      <c r="AA32" s="2963">
        <f t="shared" si="15"/>
        <v>1.1111111111111112</v>
      </c>
      <c r="AB32" s="2963">
        <f t="shared" si="16"/>
        <v>1.1111111111111112</v>
      </c>
      <c r="AC32" s="2963">
        <f t="shared" si="17"/>
        <v>1.0526315789473684</v>
      </c>
    </row>
    <row r="33" spans="1:29" s="471" customFormat="1" ht="15">
      <c r="A33" s="468"/>
      <c r="B33" s="2952" t="s">
        <v>2560</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2"/>
      <c r="L33" s="1140"/>
      <c r="M33" s="1143"/>
      <c r="N33" s="1143"/>
      <c r="O33" s="1143"/>
      <c r="P33" s="3351"/>
      <c r="Q33" s="776" t="str">
        <f t="shared" si="11"/>
        <v>项目建筑规模</v>
      </c>
      <c r="R33" s="777" t="s">
        <v>17</v>
      </c>
      <c r="S33" s="778">
        <f t="shared" si="12"/>
        <v>100</v>
      </c>
      <c r="T33" s="777" t="s">
        <v>17</v>
      </c>
      <c r="U33" s="778">
        <f t="shared" si="13"/>
        <v>100</v>
      </c>
      <c r="V33" s="777" t="s">
        <v>17</v>
      </c>
      <c r="W33" s="778">
        <f t="shared" si="14"/>
        <v>100</v>
      </c>
      <c r="X33" s="779"/>
      <c r="Y33" s="3353"/>
      <c r="Z33" s="780" t="str">
        <f t="shared" si="18"/>
        <v>项目建筑规模</v>
      </c>
      <c r="AA33" s="2963">
        <f t="shared" si="15"/>
        <v>1</v>
      </c>
      <c r="AB33" s="2963">
        <f t="shared" si="16"/>
        <v>1</v>
      </c>
      <c r="AC33" s="2963">
        <f t="shared" si="17"/>
        <v>1</v>
      </c>
    </row>
    <row r="34" spans="1:29" ht="15">
      <c r="A34" s="472"/>
      <c r="B34" s="2952" t="s">
        <v>2561</v>
      </c>
      <c r="C34" s="2620" t="s">
        <v>3087</v>
      </c>
      <c r="D34" s="435">
        <v>100</v>
      </c>
      <c r="E34" s="2620" t="s">
        <v>3087</v>
      </c>
      <c r="F34" s="461">
        <f>SUMIF(105:105,E34,106:106)-SUMIF(105:105,C34,106:106)+100</f>
        <v>100</v>
      </c>
      <c r="G34" s="2620" t="s">
        <v>3087</v>
      </c>
      <c r="H34" s="435">
        <f>SUMIF(105:105,G34,106:106)-SUMIF(105:105,C34,106:106)+100</f>
        <v>100</v>
      </c>
      <c r="I34" s="2620" t="s">
        <v>3087</v>
      </c>
      <c r="J34" s="435">
        <f>SUMIF(105:105,I34,106:106)-SUMIF(105:105,C34,106:106)+100</f>
        <v>100</v>
      </c>
      <c r="K34" s="426">
        <v>2</v>
      </c>
      <c r="L34" s="1142"/>
      <c r="M34" s="1133"/>
      <c r="N34" s="1133"/>
      <c r="O34" s="1133"/>
      <c r="P34" s="3351"/>
      <c r="Q34" s="2962" t="str">
        <f t="shared" si="11"/>
        <v>建筑结构</v>
      </c>
      <c r="R34" s="774" t="s">
        <v>17</v>
      </c>
      <c r="S34" s="775">
        <f t="shared" si="12"/>
        <v>100</v>
      </c>
      <c r="T34" s="774" t="s">
        <v>17</v>
      </c>
      <c r="U34" s="775">
        <f t="shared" si="13"/>
        <v>100</v>
      </c>
      <c r="V34" s="774" t="s">
        <v>17</v>
      </c>
      <c r="W34" s="775">
        <f t="shared" si="14"/>
        <v>100</v>
      </c>
      <c r="X34" s="2964"/>
      <c r="Y34" s="3353"/>
      <c r="Z34" s="2965" t="str">
        <f t="shared" si="18"/>
        <v>建筑结构</v>
      </c>
      <c r="AA34" s="2963">
        <f t="shared" si="15"/>
        <v>1</v>
      </c>
      <c r="AB34" s="2963">
        <f t="shared" si="16"/>
        <v>1</v>
      </c>
      <c r="AC34" s="2963">
        <f t="shared" si="17"/>
        <v>1</v>
      </c>
    </row>
    <row r="35" spans="1:29" ht="15">
      <c r="A35" s="472"/>
      <c r="B35" s="2952" t="s">
        <v>2562</v>
      </c>
      <c r="C35" s="2614" t="s">
        <v>3116</v>
      </c>
      <c r="D35" s="435">
        <v>100</v>
      </c>
      <c r="E35" s="2614" t="s">
        <v>3114</v>
      </c>
      <c r="F35" s="461">
        <f>SUMIF(107:107,E35,108:108)-SUMIF(107:107,C35,108:108)+100</f>
        <v>90</v>
      </c>
      <c r="G35" s="2614" t="s">
        <v>3114</v>
      </c>
      <c r="H35" s="435">
        <f>SUMIF(107:107,G35,108:108)-SUMIF(107:107,C35,108:108)+100</f>
        <v>90</v>
      </c>
      <c r="I35" s="2614" t="s">
        <v>3116</v>
      </c>
      <c r="J35" s="435">
        <f>SUMIF(107:107,I35,108:108)-SUMIF(107:107,C35,108:108)+100</f>
        <v>100</v>
      </c>
      <c r="K35" s="426">
        <v>10</v>
      </c>
      <c r="L35" s="1142"/>
      <c r="M35" s="1133"/>
      <c r="N35" s="1133"/>
      <c r="O35" s="1133"/>
      <c r="P35" s="3351"/>
      <c r="Q35" s="2962" t="str">
        <f t="shared" si="11"/>
        <v>建筑品质</v>
      </c>
      <c r="R35" s="774" t="s">
        <v>17</v>
      </c>
      <c r="S35" s="775">
        <f t="shared" si="12"/>
        <v>90</v>
      </c>
      <c r="T35" s="774" t="s">
        <v>17</v>
      </c>
      <c r="U35" s="775">
        <f t="shared" si="13"/>
        <v>90</v>
      </c>
      <c r="V35" s="774" t="s">
        <v>17</v>
      </c>
      <c r="W35" s="775">
        <f t="shared" si="14"/>
        <v>100</v>
      </c>
      <c r="X35" s="2964"/>
      <c r="Y35" s="3353"/>
      <c r="Z35" s="2965" t="str">
        <f t="shared" si="18"/>
        <v>建筑品质</v>
      </c>
      <c r="AA35" s="2963">
        <f t="shared" si="15"/>
        <v>1.1111111111111112</v>
      </c>
      <c r="AB35" s="2963">
        <f t="shared" si="16"/>
        <v>1.1111111111111112</v>
      </c>
      <c r="AC35" s="2963">
        <f t="shared" si="17"/>
        <v>1</v>
      </c>
    </row>
    <row r="36" spans="1:29" ht="15">
      <c r="A36" s="472"/>
      <c r="B36" s="2952" t="s">
        <v>2563</v>
      </c>
      <c r="C36" s="2614" t="s">
        <v>3112</v>
      </c>
      <c r="D36" s="435">
        <v>100</v>
      </c>
      <c r="E36" s="2614" t="s">
        <v>3112</v>
      </c>
      <c r="F36" s="461">
        <f>SUMIF(109:109,E36,110:110)-SUMIF(109:109,C36,110:110)+100</f>
        <v>100</v>
      </c>
      <c r="G36" s="2614" t="s">
        <v>3112</v>
      </c>
      <c r="H36" s="435">
        <f>SUMIF(109:109,G36,110:110)-SUMIF(109:109,C36,110:110)+100</f>
        <v>100</v>
      </c>
      <c r="I36" s="2614" t="s">
        <v>3112</v>
      </c>
      <c r="J36" s="435">
        <f>SUMIF(109:109,I36,110:110)-SUMIF(109:109,C36,110:110)+100</f>
        <v>100</v>
      </c>
      <c r="K36" s="426">
        <v>2</v>
      </c>
      <c r="L36" s="1142"/>
      <c r="M36" s="1133"/>
      <c r="N36" s="1133"/>
      <c r="O36" s="1133"/>
      <c r="P36" s="3351"/>
      <c r="Q36" s="2962" t="str">
        <f t="shared" si="11"/>
        <v>公共部分装修</v>
      </c>
      <c r="R36" s="774" t="s">
        <v>17</v>
      </c>
      <c r="S36" s="775">
        <f t="shared" si="12"/>
        <v>100</v>
      </c>
      <c r="T36" s="774" t="s">
        <v>17</v>
      </c>
      <c r="U36" s="775">
        <f t="shared" si="13"/>
        <v>100</v>
      </c>
      <c r="V36" s="774" t="s">
        <v>17</v>
      </c>
      <c r="W36" s="775">
        <f t="shared" si="14"/>
        <v>100</v>
      </c>
      <c r="X36" s="2964"/>
      <c r="Y36" s="3353"/>
      <c r="Z36" s="2965" t="str">
        <f t="shared" si="18"/>
        <v>公共部分装修</v>
      </c>
      <c r="AA36" s="2963">
        <f t="shared" si="15"/>
        <v>1</v>
      </c>
      <c r="AB36" s="2963">
        <f t="shared" si="16"/>
        <v>1</v>
      </c>
      <c r="AC36" s="2963">
        <f t="shared" si="17"/>
        <v>1</v>
      </c>
    </row>
    <row r="37" spans="1:29" s="117" customFormat="1" ht="15">
      <c r="A37" s="473"/>
      <c r="B37" s="2952" t="s">
        <v>2564</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4"/>
      <c r="M37" s="1135"/>
      <c r="N37" s="1135"/>
      <c r="O37" s="1135"/>
      <c r="P37" s="3351"/>
      <c r="Q37" s="2940" t="str">
        <f t="shared" si="11"/>
        <v>成新度</v>
      </c>
      <c r="R37" s="770" t="s">
        <v>17</v>
      </c>
      <c r="S37" s="771">
        <f t="shared" si="12"/>
        <v>100</v>
      </c>
      <c r="T37" s="770" t="s">
        <v>17</v>
      </c>
      <c r="U37" s="771">
        <f t="shared" si="13"/>
        <v>100</v>
      </c>
      <c r="V37" s="770" t="s">
        <v>17</v>
      </c>
      <c r="W37" s="771">
        <f t="shared" si="14"/>
        <v>100</v>
      </c>
      <c r="X37" s="772"/>
      <c r="Y37" s="3353"/>
      <c r="Z37" s="2942" t="str">
        <f t="shared" si="18"/>
        <v>成新度</v>
      </c>
      <c r="AA37" s="773">
        <f t="shared" si="15"/>
        <v>1</v>
      </c>
      <c r="AB37" s="773">
        <f t="shared" si="16"/>
        <v>1</v>
      </c>
      <c r="AC37" s="773">
        <f t="shared" si="17"/>
        <v>1</v>
      </c>
    </row>
    <row r="38" spans="1:29" ht="15">
      <c r="A38" s="472"/>
      <c r="B38" s="2952" t="s">
        <v>2565</v>
      </c>
      <c r="C38" s="2614" t="s">
        <v>3110</v>
      </c>
      <c r="D38" s="435">
        <v>100</v>
      </c>
      <c r="E38" s="2614" t="s">
        <v>3110</v>
      </c>
      <c r="F38" s="461">
        <f>SUMIF(114:114,E38,115:115)-SUMIF(114:114,C38,115:115)+100</f>
        <v>100</v>
      </c>
      <c r="G38" s="2614" t="s">
        <v>3110</v>
      </c>
      <c r="H38" s="435">
        <f>SUMIF(114:114,G38,115:115)-SUMIF(114:114,C38,115:115)+100</f>
        <v>100</v>
      </c>
      <c r="I38" s="2614" t="s">
        <v>3110</v>
      </c>
      <c r="J38" s="435">
        <f>SUMIF(114:114,I38,115:115)-SUMIF(114:114,C38,115:115)+100</f>
        <v>100</v>
      </c>
      <c r="K38" s="426">
        <v>2</v>
      </c>
      <c r="L38" s="1142"/>
      <c r="M38" s="1133"/>
      <c r="N38" s="1133"/>
      <c r="O38" s="1133"/>
      <c r="P38" s="3351" t="s">
        <v>2559</v>
      </c>
      <c r="Q38" s="2962" t="str">
        <f t="shared" si="11"/>
        <v>物业管理</v>
      </c>
      <c r="R38" s="774" t="s">
        <v>17</v>
      </c>
      <c r="S38" s="775">
        <f t="shared" si="12"/>
        <v>100</v>
      </c>
      <c r="T38" s="774" t="s">
        <v>17</v>
      </c>
      <c r="U38" s="775">
        <f t="shared" si="13"/>
        <v>100</v>
      </c>
      <c r="V38" s="774" t="s">
        <v>17</v>
      </c>
      <c r="W38" s="775">
        <f t="shared" si="14"/>
        <v>100</v>
      </c>
      <c r="X38" s="2964"/>
      <c r="Y38" s="3353" t="s">
        <v>2559</v>
      </c>
      <c r="Z38" s="2965" t="str">
        <f t="shared" si="18"/>
        <v>物业管理</v>
      </c>
      <c r="AA38" s="2963">
        <f t="shared" si="15"/>
        <v>1</v>
      </c>
      <c r="AB38" s="2963">
        <f t="shared" si="16"/>
        <v>1</v>
      </c>
      <c r="AC38" s="2963">
        <f t="shared" si="17"/>
        <v>1</v>
      </c>
    </row>
    <row r="39" spans="1:29" ht="15">
      <c r="A39" s="472"/>
      <c r="B39" s="2952" t="s">
        <v>2566</v>
      </c>
      <c r="C39" s="2614" t="s">
        <v>3164</v>
      </c>
      <c r="D39" s="435">
        <v>100</v>
      </c>
      <c r="E39" s="2614" t="s">
        <v>3164</v>
      </c>
      <c r="F39" s="461">
        <f>SUMIF(116:116,E39,117:117)-SUMIF(116:116,C39,117:117)+100</f>
        <v>100</v>
      </c>
      <c r="G39" s="2614" t="s">
        <v>3108</v>
      </c>
      <c r="H39" s="435">
        <f>SUMIF(116:116,G39,117:117)-SUMIF(116:116,C39,117:117)+100</f>
        <v>102</v>
      </c>
      <c r="I39" s="2614" t="s">
        <v>3108</v>
      </c>
      <c r="J39" s="435">
        <f>SUMIF(116:116,I39,117:117)-SUMIF(116:116,C39,117:117)+100</f>
        <v>102</v>
      </c>
      <c r="K39" s="426">
        <v>2</v>
      </c>
      <c r="L39" s="1142"/>
      <c r="M39" s="1133"/>
      <c r="N39" s="1133"/>
      <c r="O39" s="1133"/>
      <c r="P39" s="3351"/>
      <c r="Q39" s="2962" t="str">
        <f t="shared" si="11"/>
        <v>市政基础设施</v>
      </c>
      <c r="R39" s="774" t="s">
        <v>17</v>
      </c>
      <c r="S39" s="775">
        <f t="shared" si="12"/>
        <v>100</v>
      </c>
      <c r="T39" s="774" t="s">
        <v>17</v>
      </c>
      <c r="U39" s="775">
        <f t="shared" si="13"/>
        <v>102</v>
      </c>
      <c r="V39" s="774" t="s">
        <v>17</v>
      </c>
      <c r="W39" s="775">
        <f t="shared" si="14"/>
        <v>102</v>
      </c>
      <c r="X39" s="2964"/>
      <c r="Y39" s="3353"/>
      <c r="Z39" s="2965" t="str">
        <f t="shared" si="18"/>
        <v>市政基础设施</v>
      </c>
      <c r="AA39" s="2963">
        <f t="shared" si="15"/>
        <v>1</v>
      </c>
      <c r="AB39" s="2963">
        <f t="shared" si="16"/>
        <v>0.98039215686274506</v>
      </c>
      <c r="AC39" s="2963">
        <f t="shared" si="17"/>
        <v>0.98039215686274506</v>
      </c>
    </row>
    <row r="40" spans="1:29" ht="15">
      <c r="A40" s="472"/>
      <c r="B40" s="2952" t="s">
        <v>2567</v>
      </c>
      <c r="C40" s="2614" t="s">
        <v>3160</v>
      </c>
      <c r="D40" s="435">
        <v>100</v>
      </c>
      <c r="E40" s="2614" t="s">
        <v>3160</v>
      </c>
      <c r="F40" s="461">
        <f>SUMIF(118:118,E40,119:119)-SUMIF(118:118,C40,119:119)+100</f>
        <v>100</v>
      </c>
      <c r="G40" s="2614" t="s">
        <v>3106</v>
      </c>
      <c r="H40" s="435">
        <f>SUMIF(118:118,G40,119:119)-SUMIF(118:118,C40,119:119)+100</f>
        <v>90</v>
      </c>
      <c r="I40" s="2614" t="s">
        <v>3106</v>
      </c>
      <c r="J40" s="435">
        <f>SUMIF(118:118,I40,119:119)-SUMIF(118:118,C40,119:119)+100</f>
        <v>90</v>
      </c>
      <c r="K40" s="426">
        <v>10</v>
      </c>
      <c r="L40" s="1142"/>
      <c r="M40" s="1133"/>
      <c r="N40" s="1133"/>
      <c r="O40" s="1133"/>
      <c r="P40" s="3351"/>
      <c r="Q40" s="2962" t="str">
        <f t="shared" si="11"/>
        <v>房型</v>
      </c>
      <c r="R40" s="774" t="s">
        <v>17</v>
      </c>
      <c r="S40" s="775">
        <f t="shared" si="12"/>
        <v>100</v>
      </c>
      <c r="T40" s="774" t="s">
        <v>17</v>
      </c>
      <c r="U40" s="775">
        <f t="shared" si="13"/>
        <v>90</v>
      </c>
      <c r="V40" s="774" t="s">
        <v>17</v>
      </c>
      <c r="W40" s="775">
        <f t="shared" si="14"/>
        <v>90</v>
      </c>
      <c r="X40" s="2964"/>
      <c r="Y40" s="3353"/>
      <c r="Z40" s="2965" t="str">
        <f t="shared" si="18"/>
        <v>房型</v>
      </c>
      <c r="AA40" s="2963">
        <f t="shared" si="15"/>
        <v>1</v>
      </c>
      <c r="AB40" s="2963">
        <f t="shared" si="16"/>
        <v>1.1111111111111112</v>
      </c>
      <c r="AC40" s="2963">
        <f t="shared" si="17"/>
        <v>1.1111111111111112</v>
      </c>
    </row>
    <row r="41" spans="1:29" s="471" customFormat="1" ht="28.5">
      <c r="A41" s="468"/>
      <c r="B41" s="2952" t="s">
        <v>2568</v>
      </c>
      <c r="C41" s="469"/>
      <c r="D41" s="136">
        <v>100</v>
      </c>
      <c r="E41" s="430">
        <v>70</v>
      </c>
      <c r="F41" s="425">
        <f>SUMIF(120:120,E41,121:121)-SUMIF(120:120,C41,121:121)+100</f>
        <v>100</v>
      </c>
      <c r="G41" s="429">
        <v>130</v>
      </c>
      <c r="H41" s="136">
        <f>SUMIF(120:120,G41,121:121)-SUMIF(120:120,C41,121:121)+100</f>
        <v>100</v>
      </c>
      <c r="I41" s="477" t="s">
        <v>3356</v>
      </c>
      <c r="J41" s="435">
        <f>SUMIF(120:120,I41,121:121)-SUMIF(120:120,C41,121:121)+100</f>
        <v>100</v>
      </c>
      <c r="K41" s="2602"/>
      <c r="L41" s="1140"/>
      <c r="M41" s="1143"/>
      <c r="N41" s="1143"/>
      <c r="O41" s="1143"/>
      <c r="P41" s="3351"/>
      <c r="Q41" s="776" t="str">
        <f t="shared" si="11"/>
        <v>单套/主力户型建筑面积</v>
      </c>
      <c r="R41" s="777" t="s">
        <v>17</v>
      </c>
      <c r="S41" s="778">
        <f t="shared" si="12"/>
        <v>100</v>
      </c>
      <c r="T41" s="777" t="s">
        <v>17</v>
      </c>
      <c r="U41" s="778">
        <f t="shared" si="13"/>
        <v>100</v>
      </c>
      <c r="V41" s="777" t="s">
        <v>17</v>
      </c>
      <c r="W41" s="778">
        <f t="shared" si="14"/>
        <v>100</v>
      </c>
      <c r="X41" s="779"/>
      <c r="Y41" s="3353"/>
      <c r="Z41" s="780" t="str">
        <f t="shared" si="18"/>
        <v>单套/主力户型建筑面积</v>
      </c>
      <c r="AA41" s="2963">
        <f t="shared" si="15"/>
        <v>1</v>
      </c>
      <c r="AB41" s="2963">
        <f t="shared" si="16"/>
        <v>1</v>
      </c>
      <c r="AC41" s="2963">
        <f t="shared" si="17"/>
        <v>1</v>
      </c>
    </row>
    <row r="42" spans="1:29" ht="15">
      <c r="A42" s="472"/>
      <c r="B42" s="2952" t="s">
        <v>2569</v>
      </c>
      <c r="C42" s="2614" t="s">
        <v>3097</v>
      </c>
      <c r="D42" s="435">
        <v>100</v>
      </c>
      <c r="E42" s="2615" t="s">
        <v>3138</v>
      </c>
      <c r="F42" s="461">
        <f>SUMIF(122:122,E42,123:123)-SUMIF(122:122,C42,123:123)+100</f>
        <v>103</v>
      </c>
      <c r="G42" s="2615" t="s">
        <v>3094</v>
      </c>
      <c r="H42" s="435">
        <f>SUMIF(122:122,G42,123:123)-SUMIF(122:122,C42,123:123)+100</f>
        <v>106</v>
      </c>
      <c r="I42" s="2615" t="s">
        <v>3097</v>
      </c>
      <c r="J42" s="435">
        <f>SUMIF(122:122,I42,123:123)-SUMIF(122:122,C42,123:123)+100</f>
        <v>100</v>
      </c>
      <c r="K42" s="426">
        <v>3</v>
      </c>
      <c r="L42" s="1142"/>
      <c r="M42" s="1133"/>
      <c r="N42" s="1133"/>
      <c r="O42" s="1133"/>
      <c r="P42" s="3351"/>
      <c r="Q42" s="2962" t="str">
        <f t="shared" si="11"/>
        <v>内部装修</v>
      </c>
      <c r="R42" s="774" t="s">
        <v>17</v>
      </c>
      <c r="S42" s="775">
        <f t="shared" si="12"/>
        <v>103</v>
      </c>
      <c r="T42" s="774" t="s">
        <v>17</v>
      </c>
      <c r="U42" s="775">
        <f t="shared" si="13"/>
        <v>106</v>
      </c>
      <c r="V42" s="774" t="s">
        <v>17</v>
      </c>
      <c r="W42" s="775">
        <f t="shared" si="14"/>
        <v>100</v>
      </c>
      <c r="X42" s="2964"/>
      <c r="Y42" s="3353"/>
      <c r="Z42" s="2965" t="str">
        <f t="shared" si="18"/>
        <v>内部装修</v>
      </c>
      <c r="AA42" s="2963">
        <f t="shared" si="15"/>
        <v>0.970873786407767</v>
      </c>
      <c r="AB42" s="2963">
        <f t="shared" si="16"/>
        <v>0.94339622641509435</v>
      </c>
      <c r="AC42" s="2963">
        <f t="shared" si="17"/>
        <v>1</v>
      </c>
    </row>
    <row r="43" spans="1:29" ht="15.75" thickBot="1">
      <c r="A43" s="472"/>
      <c r="B43" s="2952" t="s">
        <v>2570</v>
      </c>
      <c r="C43" s="2614" t="s">
        <v>3093</v>
      </c>
      <c r="D43" s="435">
        <v>100</v>
      </c>
      <c r="E43" s="2614" t="s">
        <v>3093</v>
      </c>
      <c r="F43" s="461">
        <f>SUMIF(124:124,E43,125:125)-SUMIF(124:124,C43,125:125)+100</f>
        <v>100</v>
      </c>
      <c r="G43" s="2614" t="s">
        <v>3093</v>
      </c>
      <c r="H43" s="435">
        <f>SUMIF(124:124,G43,125:125)-SUMIF(124:124,C43,125:125)+100</f>
        <v>100</v>
      </c>
      <c r="I43" s="2614" t="s">
        <v>3093</v>
      </c>
      <c r="J43" s="435">
        <f>SUMIF(124:124,I43,125:125)-SUMIF(124:124,C43,125:125)+100</f>
        <v>100</v>
      </c>
      <c r="K43" s="426">
        <v>2</v>
      </c>
      <c r="L43" s="1142"/>
      <c r="M43" s="1133"/>
      <c r="N43" s="1133"/>
      <c r="O43" s="1133"/>
      <c r="P43" s="3351"/>
      <c r="Q43" s="2962" t="str">
        <f t="shared" si="11"/>
        <v>内部装修维护情况</v>
      </c>
      <c r="R43" s="774" t="s">
        <v>17</v>
      </c>
      <c r="S43" s="775">
        <f t="shared" si="12"/>
        <v>100</v>
      </c>
      <c r="T43" s="774" t="s">
        <v>17</v>
      </c>
      <c r="U43" s="775">
        <f t="shared" si="13"/>
        <v>100</v>
      </c>
      <c r="V43" s="774" t="s">
        <v>17</v>
      </c>
      <c r="W43" s="775">
        <f t="shared" si="14"/>
        <v>100</v>
      </c>
      <c r="X43" s="2964"/>
      <c r="Y43" s="3353"/>
      <c r="Z43" s="2965" t="str">
        <f t="shared" si="18"/>
        <v>内部装修维护情况</v>
      </c>
      <c r="AA43" s="2963">
        <f t="shared" si="15"/>
        <v>1</v>
      </c>
      <c r="AB43" s="2963">
        <f t="shared" si="16"/>
        <v>1</v>
      </c>
      <c r="AC43" s="2963">
        <f t="shared" si="17"/>
        <v>1</v>
      </c>
    </row>
    <row r="44" spans="1:29" s="117" customFormat="1" ht="15.75" hidden="1" thickBot="1">
      <c r="A44" s="473"/>
      <c r="B44" s="1388"/>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4"/>
      <c r="M44" s="1135"/>
      <c r="N44" s="1135"/>
      <c r="O44" s="1135"/>
      <c r="P44" s="3351"/>
      <c r="Q44" s="2940">
        <f t="shared" si="11"/>
        <v>0</v>
      </c>
      <c r="R44" s="770" t="s">
        <v>17</v>
      </c>
      <c r="S44" s="771">
        <f t="shared" si="12"/>
        <v>100</v>
      </c>
      <c r="T44" s="770" t="s">
        <v>17</v>
      </c>
      <c r="U44" s="771">
        <f t="shared" si="13"/>
        <v>100</v>
      </c>
      <c r="V44" s="770" t="s">
        <v>17</v>
      </c>
      <c r="W44" s="771">
        <f t="shared" si="14"/>
        <v>100</v>
      </c>
      <c r="X44" s="772"/>
      <c r="Y44" s="3353"/>
      <c r="Z44" s="2942">
        <f t="shared" si="18"/>
        <v>0</v>
      </c>
      <c r="AA44" s="773">
        <f t="shared" si="15"/>
        <v>1</v>
      </c>
      <c r="AB44" s="773">
        <f t="shared" si="16"/>
        <v>1</v>
      </c>
      <c r="AC44" s="773">
        <f t="shared" si="17"/>
        <v>1</v>
      </c>
    </row>
    <row r="45" spans="1:29" ht="15.75" hidden="1" thickBot="1">
      <c r="A45" s="472"/>
      <c r="B45" s="1388"/>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2"/>
      <c r="M45" s="1133"/>
      <c r="N45" s="1133"/>
      <c r="O45" s="1133"/>
      <c r="P45" s="3351"/>
      <c r="Q45" s="2962">
        <f t="shared" si="11"/>
        <v>0</v>
      </c>
      <c r="R45" s="774" t="s">
        <v>17</v>
      </c>
      <c r="S45" s="775">
        <f t="shared" si="12"/>
        <v>100</v>
      </c>
      <c r="T45" s="774" t="s">
        <v>17</v>
      </c>
      <c r="U45" s="775">
        <f t="shared" si="13"/>
        <v>100</v>
      </c>
      <c r="V45" s="774" t="s">
        <v>17</v>
      </c>
      <c r="W45" s="775">
        <f t="shared" si="14"/>
        <v>100</v>
      </c>
      <c r="X45" s="2964"/>
      <c r="Y45" s="3353"/>
      <c r="Z45" s="2965">
        <f t="shared" si="18"/>
        <v>0</v>
      </c>
      <c r="AA45" s="2963">
        <f t="shared" si="15"/>
        <v>1</v>
      </c>
      <c r="AB45" s="2963">
        <f t="shared" si="16"/>
        <v>1</v>
      </c>
      <c r="AC45" s="2963">
        <f t="shared" si="17"/>
        <v>1</v>
      </c>
    </row>
    <row r="46" spans="1:29" ht="15.75" hidden="1" thickBot="1">
      <c r="A46" s="478"/>
      <c r="B46" s="2603"/>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2"/>
      <c r="M46" s="1133"/>
      <c r="N46" s="1133"/>
      <c r="O46" s="1133"/>
      <c r="P46" s="3352"/>
      <c r="Q46" s="2962">
        <f t="shared" si="11"/>
        <v>0</v>
      </c>
      <c r="R46" s="774" t="s">
        <v>17</v>
      </c>
      <c r="S46" s="775">
        <f t="shared" si="12"/>
        <v>100</v>
      </c>
      <c r="T46" s="774" t="s">
        <v>17</v>
      </c>
      <c r="U46" s="775">
        <f t="shared" si="13"/>
        <v>100</v>
      </c>
      <c r="V46" s="774" t="s">
        <v>17</v>
      </c>
      <c r="W46" s="775">
        <f t="shared" si="14"/>
        <v>100</v>
      </c>
      <c r="X46" s="2964"/>
      <c r="Y46" s="3354"/>
      <c r="Z46" s="2965">
        <f t="shared" si="18"/>
        <v>0</v>
      </c>
      <c r="AA46" s="2963">
        <f t="shared" si="15"/>
        <v>1</v>
      </c>
      <c r="AB46" s="2963">
        <f t="shared" si="16"/>
        <v>1</v>
      </c>
      <c r="AC46" s="2963">
        <f t="shared" si="17"/>
        <v>1</v>
      </c>
    </row>
    <row r="47" spans="1:29" ht="15">
      <c r="A47" s="479" t="s">
        <v>2571</v>
      </c>
      <c r="B47" s="480"/>
      <c r="C47" s="1409" t="s">
        <v>1</v>
      </c>
      <c r="D47" s="1410"/>
      <c r="E47" s="1411">
        <f>ROUND(408/70*10000*0.99,0)</f>
        <v>57703</v>
      </c>
      <c r="F47" s="1412"/>
      <c r="G47" s="1413">
        <f>ROUND(775/130*10000*0.99,0)</f>
        <v>59019</v>
      </c>
      <c r="H47" s="1414"/>
      <c r="I47" s="1411">
        <f>ROUND(535/73*10000*0.99,0)</f>
        <v>72555</v>
      </c>
      <c r="J47" s="1414"/>
      <c r="K47" s="2621"/>
      <c r="L47" s="1145"/>
      <c r="M47" s="1146"/>
      <c r="N47" s="1133"/>
      <c r="O47" s="1146"/>
      <c r="P47" s="3346" t="str">
        <f>A47</f>
        <v>成交单价（元/平方米）</v>
      </c>
      <c r="Q47" s="3346"/>
      <c r="R47" s="3347">
        <f>E47</f>
        <v>57703</v>
      </c>
      <c r="S47" s="3347"/>
      <c r="T47" s="3347">
        <f>G47</f>
        <v>59019</v>
      </c>
      <c r="U47" s="3347"/>
      <c r="V47" s="3347">
        <f>I47</f>
        <v>72555</v>
      </c>
      <c r="W47" s="3347"/>
      <c r="X47" s="759"/>
      <c r="Y47" s="781"/>
      <c r="Z47" s="759"/>
      <c r="AA47" s="759"/>
      <c r="AB47" s="759"/>
      <c r="AC47" s="759"/>
    </row>
    <row r="48" spans="1:29" ht="15.75" thickBot="1">
      <c r="A48" s="486" t="s">
        <v>2572</v>
      </c>
      <c r="B48" s="487"/>
      <c r="C48" s="1415">
        <f>R49</f>
        <v>74425</v>
      </c>
      <c r="D48" s="1416"/>
      <c r="E48" s="1417">
        <f>R48</f>
        <v>69163</v>
      </c>
      <c r="F48" s="1417"/>
      <c r="G48" s="1415">
        <f>T48</f>
        <v>74879</v>
      </c>
      <c r="H48" s="1416"/>
      <c r="I48" s="1417">
        <f>V48</f>
        <v>79234</v>
      </c>
      <c r="J48" s="1416"/>
      <c r="K48" s="2622"/>
      <c r="L48" s="1145"/>
      <c r="M48" s="1146"/>
      <c r="N48" s="1146"/>
      <c r="O48" s="1146"/>
      <c r="P48" s="3346" t="str">
        <f>A48</f>
        <v>比较价值（元/平方米）</v>
      </c>
      <c r="Q48" s="3346"/>
      <c r="R48" s="3347">
        <f>IF(F1="售价",ROUND(PRODUCT(R47,AA7:AA46),0),ROUND(PRODUCT(R47,AA7:AA46),1))</f>
        <v>69163</v>
      </c>
      <c r="S48" s="3347"/>
      <c r="T48" s="3347">
        <f>IF(F1="售价",ROUND(PRODUCT(T47,AB7:AB46),0),ROUND(PRODUCT(T47,AB7:AB46),1))</f>
        <v>74879</v>
      </c>
      <c r="U48" s="3347"/>
      <c r="V48" s="3347">
        <f>IF(F1="售价",ROUND(PRODUCT(V47,AC7:AC46),0),ROUND(PRODUCT(V47,AC7:AC46),1))</f>
        <v>79234</v>
      </c>
      <c r="W48" s="3347"/>
      <c r="X48" s="759"/>
      <c r="Y48" s="759"/>
      <c r="Z48" s="759"/>
      <c r="AA48" s="759"/>
      <c r="AB48" s="759"/>
      <c r="AC48" s="759"/>
    </row>
    <row r="49" spans="1:29" ht="15.75" thickBot="1">
      <c r="A49" s="492" t="s">
        <v>2573</v>
      </c>
      <c r="B49" s="493"/>
      <c r="C49" s="1418">
        <f>R49</f>
        <v>74425</v>
      </c>
      <c r="D49" s="1419"/>
      <c r="E49" s="1419"/>
      <c r="F49" s="1419"/>
      <c r="G49" s="1419"/>
      <c r="H49" s="1419"/>
      <c r="I49" s="1419"/>
      <c r="J49" s="1419"/>
      <c r="K49" s="2623"/>
      <c r="L49" s="1145"/>
      <c r="M49" s="1146"/>
      <c r="N49" s="1146"/>
      <c r="O49" s="1146"/>
      <c r="P49" s="3343" t="str">
        <f>A49</f>
        <v>估价对象XX用房的比较价值（楼面单价，元/平方米）</v>
      </c>
      <c r="Q49" s="3344"/>
      <c r="R49" s="3345">
        <f>IF(F1="售价",ROUND(AVERAGE(R48:V48),0),ROUND(AVERAGE(R48:V48),1))</f>
        <v>74425</v>
      </c>
      <c r="S49" s="3345"/>
      <c r="T49" s="3345"/>
      <c r="U49" s="3345"/>
      <c r="V49" s="3345"/>
      <c r="W49" s="3345"/>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2574</v>
      </c>
      <c r="D52" s="498"/>
      <c r="E52" s="499">
        <f>IF(E47&lt;E48,E48/E47-1,E47/E48-1)</f>
        <v>0.1986031922083773</v>
      </c>
      <c r="F52" s="500" t="str">
        <f>IF(OR(E52&gt;=0.3,E52&lt;=-0.3),"超过30%","")</f>
        <v/>
      </c>
      <c r="G52" s="499">
        <f>IF(G47&lt;G48,G48/G47-1,G47/G48-1)</f>
        <v>0.2687270201121672</v>
      </c>
      <c r="H52" s="500" t="str">
        <f>IF(OR(G52&gt;=0.3,G52&lt;=-0.3),"超过30%","")</f>
        <v/>
      </c>
      <c r="I52" s="499">
        <f>IF(I47&lt;I48,I48/I47-1,I47/I48-1)</f>
        <v>9.2054303631727619E-2</v>
      </c>
      <c r="J52" s="500" t="str">
        <f>IF(OR(I52&gt;=0.3,I52&lt;=-0.3),"超过30%","")</f>
        <v/>
      </c>
      <c r="K52" s="1107"/>
      <c r="L52" s="1108"/>
      <c r="M52" s="1146"/>
      <c r="N52" s="1146"/>
      <c r="O52" s="1146"/>
    </row>
    <row r="53" spans="1:29" ht="13.5" customHeight="1">
      <c r="A53" s="1146"/>
      <c r="B53" s="1146"/>
      <c r="C53" s="497" t="s">
        <v>2575</v>
      </c>
      <c r="D53" s="501"/>
      <c r="E53" s="499">
        <f>IF(E48&lt;G48,G48/E48-1,E48/G48-1)</f>
        <v>8.2645345054436659E-2</v>
      </c>
      <c r="F53" s="500" t="str">
        <f>IF(OR(E53&gt;=0.2,E53&lt;=-0.2),"超过20%","")</f>
        <v/>
      </c>
      <c r="G53" s="499">
        <f>IF(G48&lt;I48,I48/G48-1,G48/I48-1)</f>
        <v>5.816049893828712E-2</v>
      </c>
      <c r="H53" s="500" t="str">
        <f>IF(OR(G53&gt;=0.2,G53&lt;=-0.2),"超过20%","")</f>
        <v/>
      </c>
      <c r="I53" s="499">
        <f>IF(I48&lt;E48,E48/I48-1,I48/E48-1)</f>
        <v>0.14561253849601674</v>
      </c>
      <c r="J53" s="500" t="str">
        <f>IF(OR(I53&gt;=0.2,I53&lt;=-0.2),"超过20%","")</f>
        <v/>
      </c>
      <c r="K53" s="1107"/>
      <c r="L53" s="1108"/>
      <c r="M53" s="1146"/>
      <c r="N53" s="1146"/>
      <c r="O53" s="1146"/>
    </row>
    <row r="54" spans="1:29" s="502" customFormat="1" ht="13.5" customHeight="1">
      <c r="A54" s="1147"/>
      <c r="B54" s="1147"/>
      <c r="C54" s="497" t="s">
        <v>2576</v>
      </c>
      <c r="D54" s="501"/>
      <c r="E54" s="499">
        <f>IF(E47&lt;G47,G47/E47-1,E47/G47-1)</f>
        <v>2.2806439873143569E-2</v>
      </c>
      <c r="F54" s="500" t="str">
        <f>IF(OR(E54&gt;=0.3,E54&lt;=-0.3),"超过30%","")</f>
        <v/>
      </c>
      <c r="G54" s="499">
        <f>IF(G47&lt;I47,I47/G47-1,G47/I47-1)</f>
        <v>0.22934987038072485</v>
      </c>
      <c r="H54" s="500" t="str">
        <f>IF(OR(G54&gt;=0.3,G54&lt;=-0.3),"超过30%","")</f>
        <v/>
      </c>
      <c r="I54" s="499">
        <f>IF(I47&lt;E47,E47/I47-1,I47/E47-1)</f>
        <v>0.25738696428261965</v>
      </c>
      <c r="J54" s="500" t="str">
        <f>IF(OR(I54&gt;=0.3,I54&lt;=-0.3),"超过30%","")</f>
        <v/>
      </c>
      <c r="K54" s="1150"/>
      <c r="L54" s="1151"/>
      <c r="M54" s="1147"/>
      <c r="N54" s="1147"/>
      <c r="O54" s="1147"/>
      <c r="P54" s="2625"/>
    </row>
    <row r="55" spans="1:29" s="502"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3" t="s">
        <v>2577</v>
      </c>
      <c r="B57" s="759"/>
      <c r="C57" s="764"/>
      <c r="D57" s="764"/>
      <c r="E57" s="764"/>
      <c r="F57" s="765"/>
      <c r="G57" s="765"/>
      <c r="H57" s="764"/>
      <c r="I57" s="764"/>
      <c r="J57" s="764"/>
      <c r="K57" s="1162"/>
      <c r="L57" s="1163"/>
      <c r="M57" s="1161"/>
      <c r="N57" s="1161"/>
      <c r="O57" s="1161"/>
      <c r="P57" s="2626"/>
      <c r="Q57" s="504"/>
    </row>
    <row r="58" spans="1:29" s="508" customFormat="1" ht="15">
      <c r="A58" s="505" t="s">
        <v>2542</v>
      </c>
      <c r="B58" s="506"/>
      <c r="C58" s="1578" t="str">
        <f>YEAR(C7)&amp;"-"&amp;MONTH(C7)</f>
        <v>2019-1</v>
      </c>
      <c r="D58" s="1577">
        <f>EDATE(C58,-1)</f>
        <v>43435</v>
      </c>
      <c r="E58" s="1577">
        <f>EDATE(D58,-1)</f>
        <v>43405</v>
      </c>
      <c r="F58" s="1577">
        <f t="shared" ref="F58:O58" si="19">EDATE(E58,-1)</f>
        <v>43374</v>
      </c>
      <c r="G58" s="1577">
        <f t="shared" si="19"/>
        <v>43344</v>
      </c>
      <c r="H58" s="1577">
        <f t="shared" si="19"/>
        <v>43313</v>
      </c>
      <c r="I58" s="1577">
        <f t="shared" si="19"/>
        <v>43282</v>
      </c>
      <c r="J58" s="1577">
        <f t="shared" si="19"/>
        <v>43252</v>
      </c>
      <c r="K58" s="1577">
        <f t="shared" si="19"/>
        <v>43221</v>
      </c>
      <c r="L58" s="1577">
        <f t="shared" si="19"/>
        <v>43191</v>
      </c>
      <c r="M58" s="1577">
        <f t="shared" si="19"/>
        <v>43160</v>
      </c>
      <c r="N58" s="1577">
        <f t="shared" si="19"/>
        <v>43132</v>
      </c>
      <c r="O58" s="1577">
        <f t="shared" si="19"/>
        <v>43101</v>
      </c>
      <c r="P58" s="1572"/>
    </row>
    <row r="59" spans="1:29" s="117" customFormat="1" ht="15">
      <c r="A59" s="509"/>
      <c r="B59" s="2627"/>
      <c r="C59" s="1575">
        <v>100</v>
      </c>
      <c r="D59" s="511"/>
      <c r="E59" s="512"/>
      <c r="F59" s="512"/>
      <c r="G59" s="512"/>
      <c r="H59" s="512"/>
      <c r="I59" s="512"/>
      <c r="J59" s="512"/>
      <c r="K59" s="512"/>
      <c r="L59" s="512"/>
      <c r="M59" s="513"/>
      <c r="N59" s="512"/>
      <c r="O59" s="513"/>
      <c r="P59" s="2628"/>
    </row>
    <row r="60" spans="1:29" s="117" customFormat="1" ht="15.75" thickBot="1">
      <c r="A60" s="515" t="s">
        <v>2579</v>
      </c>
      <c r="B60" s="516"/>
      <c r="C60" s="517"/>
      <c r="D60" s="518"/>
      <c r="E60" s="518"/>
      <c r="F60" s="518"/>
      <c r="G60" s="518"/>
      <c r="H60" s="518"/>
      <c r="I60" s="518"/>
      <c r="J60" s="518"/>
      <c r="K60" s="518"/>
      <c r="L60" s="518"/>
      <c r="M60" s="519"/>
      <c r="N60" s="518"/>
      <c r="O60" s="519"/>
      <c r="P60" s="2628"/>
      <c r="Q60" s="504"/>
    </row>
    <row r="61" spans="1:29" s="117" customFormat="1" ht="15">
      <c r="A61" s="521" t="s">
        <v>2544</v>
      </c>
      <c r="B61" s="510"/>
      <c r="C61" s="522" t="s">
        <v>2581</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2582</v>
      </c>
      <c r="B63" s="528" t="s">
        <v>2548</v>
      </c>
      <c r="C63" s="529" t="str">
        <f>C9</f>
        <v>商住</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8.5" thickTop="1">
      <c r="A65" s="534"/>
      <c r="B65" s="538" t="s">
        <v>2551</v>
      </c>
      <c r="C65" s="539" t="s">
        <v>2583</v>
      </c>
      <c r="D65" s="539" t="s">
        <v>2584</v>
      </c>
      <c r="E65" s="539" t="s">
        <v>2585</v>
      </c>
      <c r="F65" s="539" t="s">
        <v>2586</v>
      </c>
      <c r="G65" s="539" t="s">
        <v>2587</v>
      </c>
      <c r="H65" s="539" t="s">
        <v>2588</v>
      </c>
      <c r="I65" s="539" t="s">
        <v>2589</v>
      </c>
      <c r="J65" s="539"/>
      <c r="K65" s="540"/>
      <c r="L65" s="541"/>
      <c r="M65" s="542"/>
      <c r="N65" s="1154"/>
      <c r="O65" s="1154"/>
      <c r="P65" s="2630"/>
      <c r="Q65" s="504"/>
    </row>
    <row r="66" spans="1:17" ht="15.75" thickBot="1">
      <c r="A66" s="534"/>
      <c r="B66" s="543"/>
      <c r="C66" s="544">
        <v>100</v>
      </c>
      <c r="D66" s="544">
        <f t="shared" ref="D66:I66" si="20">C66-$K10</f>
        <v>97</v>
      </c>
      <c r="E66" s="544">
        <f t="shared" si="20"/>
        <v>94</v>
      </c>
      <c r="F66" s="544">
        <f t="shared" si="20"/>
        <v>91</v>
      </c>
      <c r="G66" s="544">
        <f t="shared" si="20"/>
        <v>88</v>
      </c>
      <c r="H66" s="544">
        <f t="shared" si="20"/>
        <v>85</v>
      </c>
      <c r="I66" s="544">
        <f t="shared" si="20"/>
        <v>82</v>
      </c>
      <c r="J66" s="544"/>
      <c r="K66" s="544"/>
      <c r="L66" s="544"/>
      <c r="M66" s="545"/>
      <c r="N66" s="1155"/>
      <c r="O66" s="1155"/>
      <c r="P66" s="2630"/>
      <c r="Q66" s="504"/>
    </row>
    <row r="67" spans="1:17" ht="15.75" thickTop="1">
      <c r="A67" s="534"/>
      <c r="B67" s="546" t="s">
        <v>2552</v>
      </c>
      <c r="C67" s="547" t="str">
        <f>C68&amp;"（含）"&amp;"-"&amp;D68</f>
        <v>0（含）-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0"/>
      <c r="Q67" s="504"/>
    </row>
    <row r="68" spans="1:17" ht="15">
      <c r="A68" s="534"/>
      <c r="B68" s="548"/>
      <c r="C68" s="549">
        <v>0</v>
      </c>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0"/>
      <c r="Q69" s="504"/>
    </row>
    <row r="70" spans="1:17" s="471" customFormat="1" ht="15.75" hidden="1" thickTop="1">
      <c r="A70" s="553"/>
      <c r="B70" s="538">
        <f>B12</f>
        <v>0</v>
      </c>
      <c r="C70" s="554"/>
      <c r="D70" s="554"/>
      <c r="E70" s="554"/>
      <c r="F70" s="554"/>
      <c r="G70" s="554"/>
      <c r="H70" s="555"/>
      <c r="I70" s="555"/>
      <c r="J70" s="555"/>
      <c r="K70" s="555"/>
      <c r="L70" s="556"/>
      <c r="M70" s="557"/>
      <c r="N70" s="1156"/>
      <c r="O70" s="1156"/>
      <c r="P70" s="2631"/>
      <c r="Q70" s="559"/>
    </row>
    <row r="71" spans="1:17" s="471" customFormat="1" ht="15.75" hidden="1" thickBot="1">
      <c r="A71" s="553"/>
      <c r="B71" s="543"/>
      <c r="C71" s="560"/>
      <c r="D71" s="536"/>
      <c r="E71" s="536"/>
      <c r="F71" s="536"/>
      <c r="G71" s="536"/>
      <c r="H71" s="536"/>
      <c r="I71" s="536"/>
      <c r="J71" s="536"/>
      <c r="K71" s="536"/>
      <c r="L71" s="536"/>
      <c r="M71" s="537"/>
      <c r="N71" s="1155"/>
      <c r="O71" s="1155"/>
      <c r="P71" s="2631"/>
      <c r="Q71" s="559"/>
    </row>
    <row r="72" spans="1:17" s="471" customFormat="1" ht="15.75" hidden="1" thickTop="1">
      <c r="A72" s="553"/>
      <c r="B72" s="538">
        <f>B13</f>
        <v>0</v>
      </c>
      <c r="C72" s="554"/>
      <c r="D72" s="554"/>
      <c r="E72" s="554"/>
      <c r="F72" s="554"/>
      <c r="G72" s="554"/>
      <c r="H72" s="555"/>
      <c r="I72" s="555"/>
      <c r="J72" s="555"/>
      <c r="K72" s="555"/>
      <c r="L72" s="556"/>
      <c r="M72" s="557"/>
      <c r="N72" s="1156"/>
      <c r="O72" s="1156"/>
      <c r="P72" s="2632"/>
      <c r="Q72" s="561"/>
    </row>
    <row r="73" spans="1:17" s="471" customFormat="1" ht="15.75" hidden="1" thickBot="1">
      <c r="A73" s="553"/>
      <c r="B73" s="543"/>
      <c r="C73" s="560"/>
      <c r="D73" s="560"/>
      <c r="E73" s="560"/>
      <c r="F73" s="560"/>
      <c r="G73" s="560"/>
      <c r="H73" s="562"/>
      <c r="I73" s="562"/>
      <c r="J73" s="562"/>
      <c r="K73" s="562"/>
      <c r="L73" s="562"/>
      <c r="M73" s="563"/>
      <c r="N73" s="1156"/>
      <c r="O73" s="1156"/>
      <c r="P73" s="2631"/>
      <c r="Q73" s="559"/>
    </row>
    <row r="74" spans="1:17" s="471" customFormat="1" ht="15.75" hidden="1" thickTop="1">
      <c r="A74" s="553"/>
      <c r="B74" s="546">
        <f>B14</f>
        <v>0</v>
      </c>
      <c r="C74" s="554"/>
      <c r="D74" s="554"/>
      <c r="E74" s="554"/>
      <c r="F74" s="554"/>
      <c r="G74" s="523"/>
      <c r="H74" s="564"/>
      <c r="I74" s="564"/>
      <c r="J74" s="564"/>
      <c r="K74" s="564"/>
      <c r="L74" s="565"/>
      <c r="M74" s="566"/>
      <c r="N74" s="1156"/>
      <c r="O74" s="1156"/>
      <c r="P74" s="2633"/>
      <c r="Q74" s="559"/>
    </row>
    <row r="75" spans="1:17" s="471" customFormat="1" ht="15.75" hidden="1" thickBot="1">
      <c r="A75" s="568"/>
      <c r="B75" s="569"/>
      <c r="C75" s="570"/>
      <c r="D75" s="570"/>
      <c r="E75" s="570"/>
      <c r="F75" s="570"/>
      <c r="G75" s="570"/>
      <c r="H75" s="571"/>
      <c r="I75" s="571"/>
      <c r="J75" s="571"/>
      <c r="K75" s="571"/>
      <c r="L75" s="571"/>
      <c r="M75" s="572"/>
      <c r="N75" s="1156"/>
      <c r="O75" s="1156"/>
      <c r="P75" s="2631"/>
      <c r="Q75" s="559"/>
    </row>
    <row r="76" spans="1:17" ht="15" thickTop="1">
      <c r="A76" s="527" t="s">
        <v>2553</v>
      </c>
      <c r="B76" s="528" t="s">
        <v>2590</v>
      </c>
      <c r="C76" s="573" t="s">
        <v>2591</v>
      </c>
      <c r="D76" s="573" t="s">
        <v>2592</v>
      </c>
      <c r="E76" s="573" t="s">
        <v>2593</v>
      </c>
      <c r="F76" s="573" t="s">
        <v>2594</v>
      </c>
      <c r="G76" s="573" t="s">
        <v>2595</v>
      </c>
      <c r="H76" s="529"/>
      <c r="I76" s="529"/>
      <c r="J76" s="529"/>
      <c r="K76" s="574"/>
      <c r="L76" s="575"/>
      <c r="M76" s="576"/>
      <c r="N76" s="1154"/>
      <c r="O76" s="1154"/>
      <c r="P76" s="2634"/>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5"/>
      <c r="O77" s="1155"/>
      <c r="P77" s="2630"/>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4"/>
      <c r="O78" s="1154"/>
      <c r="P78" s="2630"/>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5"/>
      <c r="O79" s="1155"/>
      <c r="P79" s="2630"/>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4"/>
      <c r="O80" s="1154"/>
      <c r="P80" s="2630"/>
      <c r="Q80" s="504"/>
    </row>
    <row r="81" spans="1:17" ht="15.75" thickBot="1">
      <c r="A81" s="534"/>
      <c r="B81" s="543"/>
      <c r="C81" s="544">
        <v>100</v>
      </c>
      <c r="D81" s="544">
        <f>C81-$K19</f>
        <v>95</v>
      </c>
      <c r="E81" s="544">
        <f>D81-$K19</f>
        <v>90</v>
      </c>
      <c r="F81" s="544">
        <f>E81-$K19</f>
        <v>85</v>
      </c>
      <c r="G81" s="544">
        <f>F81-$K19</f>
        <v>80</v>
      </c>
      <c r="H81" s="544"/>
      <c r="I81" s="544"/>
      <c r="J81" s="544"/>
      <c r="K81" s="544"/>
      <c r="L81" s="544"/>
      <c r="M81" s="545"/>
      <c r="N81" s="1155"/>
      <c r="O81" s="1155"/>
      <c r="P81" s="2630"/>
      <c r="Q81" s="504"/>
    </row>
    <row r="82" spans="1:17" ht="15.75" thickTop="1">
      <c r="A82" s="534"/>
      <c r="B82" s="546" t="s">
        <v>2091</v>
      </c>
      <c r="C82" s="539" t="s">
        <v>2598</v>
      </c>
      <c r="D82" s="539" t="s">
        <v>2599</v>
      </c>
      <c r="E82" s="539" t="s">
        <v>2600</v>
      </c>
      <c r="F82" s="539" t="s">
        <v>2601</v>
      </c>
      <c r="G82" s="539" t="s">
        <v>2602</v>
      </c>
      <c r="H82" s="539"/>
      <c r="I82" s="539"/>
      <c r="J82" s="539"/>
      <c r="K82" s="539"/>
      <c r="L82" s="539"/>
      <c r="M82" s="1384"/>
      <c r="N82" s="1155"/>
      <c r="O82" s="1155"/>
      <c r="P82" s="2630"/>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5"/>
      <c r="O83" s="1155"/>
      <c r="P83" s="2630"/>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4"/>
      <c r="O84" s="1154"/>
      <c r="P84" s="2630"/>
      <c r="Q84" s="504"/>
    </row>
    <row r="85" spans="1:17" ht="15.75" thickBot="1">
      <c r="A85" s="534"/>
      <c r="B85" s="543"/>
      <c r="C85" s="544">
        <v>100</v>
      </c>
      <c r="D85" s="544">
        <f>C85-$K23</f>
        <v>95</v>
      </c>
      <c r="E85" s="544">
        <f>D85-$K23</f>
        <v>90</v>
      </c>
      <c r="F85" s="544">
        <f>E85-$K23</f>
        <v>85</v>
      </c>
      <c r="G85" s="544">
        <f>F85-$K23</f>
        <v>80</v>
      </c>
      <c r="H85" s="544"/>
      <c r="I85" s="544"/>
      <c r="J85" s="544"/>
      <c r="K85" s="544"/>
      <c r="L85" s="544"/>
      <c r="M85" s="545"/>
      <c r="N85" s="1155"/>
      <c r="O85" s="1155"/>
      <c r="P85" s="2630"/>
      <c r="Q85" s="504"/>
    </row>
    <row r="86" spans="1:17" s="117" customFormat="1" ht="15.75" thickTop="1">
      <c r="A86" s="579"/>
      <c r="B86" s="538" t="s">
        <v>2604</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0"/>
      <c r="Q87" s="504"/>
    </row>
    <row r="88" spans="1:17" s="117" customFormat="1" ht="15.75" thickTop="1">
      <c r="A88" s="579"/>
      <c r="B88" s="538" t="s">
        <v>2605</v>
      </c>
      <c r="C88" s="554"/>
      <c r="D88" s="554"/>
      <c r="E88" s="554"/>
      <c r="F88" s="2635"/>
      <c r="G88" s="554"/>
      <c r="H88" s="554"/>
      <c r="I88" s="554"/>
      <c r="J88" s="554"/>
      <c r="K88" s="554"/>
      <c r="L88" s="554"/>
      <c r="M88" s="581"/>
      <c r="N88" s="1153"/>
      <c r="O88" s="1153"/>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0"/>
      <c r="Q89" s="504"/>
    </row>
    <row r="90" spans="1:17" s="471" customFormat="1" ht="15.75" hidden="1" thickTop="1">
      <c r="A90" s="553"/>
      <c r="B90" s="538">
        <f>B27</f>
        <v>0</v>
      </c>
      <c r="C90" s="554"/>
      <c r="D90" s="554"/>
      <c r="E90" s="554"/>
      <c r="F90" s="554"/>
      <c r="G90" s="554"/>
      <c r="H90" s="555"/>
      <c r="I90" s="555"/>
      <c r="J90" s="555"/>
      <c r="K90" s="555"/>
      <c r="L90" s="556"/>
      <c r="M90" s="557"/>
      <c r="N90" s="1156"/>
      <c r="O90" s="1156"/>
      <c r="P90" s="2631"/>
      <c r="Q90" s="559"/>
    </row>
    <row r="91" spans="1:17" s="471" customFormat="1" ht="15.75" hidden="1" thickBot="1">
      <c r="A91" s="553"/>
      <c r="B91" s="543"/>
      <c r="C91" s="560"/>
      <c r="D91" s="560"/>
      <c r="E91" s="560"/>
      <c r="F91" s="560"/>
      <c r="G91" s="560"/>
      <c r="H91" s="562"/>
      <c r="I91" s="562"/>
      <c r="J91" s="562"/>
      <c r="K91" s="562"/>
      <c r="L91" s="562"/>
      <c r="M91" s="563"/>
      <c r="N91" s="1156"/>
      <c r="O91" s="1156"/>
      <c r="P91" s="2631"/>
      <c r="Q91" s="559"/>
    </row>
    <row r="92" spans="1:17" ht="15.75" hidden="1" thickTop="1">
      <c r="A92" s="534"/>
      <c r="B92" s="538">
        <f>B28</f>
        <v>0</v>
      </c>
      <c r="C92" s="554"/>
      <c r="D92" s="554"/>
      <c r="E92" s="554"/>
      <c r="F92" s="554"/>
      <c r="G92" s="583"/>
      <c r="H92" s="583"/>
      <c r="I92" s="583"/>
      <c r="J92" s="583"/>
      <c r="K92" s="584"/>
      <c r="L92" s="585"/>
      <c r="M92" s="586"/>
      <c r="N92" s="1154"/>
      <c r="O92" s="1154"/>
      <c r="P92" s="2630"/>
      <c r="Q92" s="504"/>
    </row>
    <row r="93" spans="1:17" ht="15.75" hidden="1" thickBot="1">
      <c r="A93" s="534"/>
      <c r="B93" s="543"/>
      <c r="C93" s="560"/>
      <c r="D93" s="536"/>
      <c r="E93" s="536"/>
      <c r="F93" s="536"/>
      <c r="G93" s="536"/>
      <c r="H93" s="536"/>
      <c r="I93" s="536"/>
      <c r="J93" s="536"/>
      <c r="K93" s="536"/>
      <c r="L93" s="536"/>
      <c r="M93" s="537"/>
      <c r="N93" s="1155"/>
      <c r="O93" s="1155"/>
      <c r="P93" s="2630"/>
      <c r="Q93" s="504"/>
    </row>
    <row r="94" spans="1:17" ht="15.75" hidden="1" thickTop="1">
      <c r="A94" s="534"/>
      <c r="B94" s="538">
        <f>B29</f>
        <v>0</v>
      </c>
      <c r="C94" s="554"/>
      <c r="D94" s="554"/>
      <c r="E94" s="554"/>
      <c r="F94" s="554"/>
      <c r="G94" s="583"/>
      <c r="H94" s="583"/>
      <c r="I94" s="583"/>
      <c r="J94" s="583"/>
      <c r="K94" s="584"/>
      <c r="L94" s="585"/>
      <c r="M94" s="586"/>
      <c r="N94" s="1154"/>
      <c r="O94" s="1154"/>
      <c r="P94" s="2630"/>
      <c r="Q94" s="504"/>
    </row>
    <row r="95" spans="1:17" ht="15.75" hidden="1" thickBot="1">
      <c r="A95" s="534"/>
      <c r="B95" s="543"/>
      <c r="C95" s="560"/>
      <c r="D95" s="560"/>
      <c r="E95" s="560"/>
      <c r="F95" s="560"/>
      <c r="G95" s="536"/>
      <c r="H95" s="536"/>
      <c r="I95" s="536"/>
      <c r="J95" s="536"/>
      <c r="K95" s="536"/>
      <c r="L95" s="536"/>
      <c r="M95" s="537"/>
      <c r="N95" s="1155"/>
      <c r="O95" s="1155"/>
      <c r="P95" s="2630"/>
      <c r="Q95" s="504"/>
    </row>
    <row r="96" spans="1:17" ht="15.75" hidden="1" thickTop="1">
      <c r="A96" s="534"/>
      <c r="B96" s="538">
        <f>B30</f>
        <v>0</v>
      </c>
      <c r="C96" s="554"/>
      <c r="D96" s="554"/>
      <c r="E96" s="554"/>
      <c r="F96" s="554"/>
      <c r="G96" s="583"/>
      <c r="H96" s="583"/>
      <c r="I96" s="583"/>
      <c r="J96" s="583"/>
      <c r="K96" s="584"/>
      <c r="L96" s="585"/>
      <c r="M96" s="586"/>
      <c r="N96" s="1154"/>
      <c r="O96" s="1154"/>
      <c r="P96" s="2630"/>
      <c r="Q96" s="504"/>
    </row>
    <row r="97" spans="1:17" ht="15.75" hidden="1" thickBot="1">
      <c r="A97" s="534"/>
      <c r="B97" s="543"/>
      <c r="C97" s="570"/>
      <c r="D97" s="570"/>
      <c r="E97" s="570"/>
      <c r="F97" s="570"/>
      <c r="G97" s="536"/>
      <c r="H97" s="536"/>
      <c r="I97" s="536"/>
      <c r="J97" s="536"/>
      <c r="K97" s="536"/>
      <c r="L97" s="536"/>
      <c r="M97" s="537"/>
      <c r="N97" s="1155"/>
      <c r="O97" s="1155"/>
      <c r="P97" s="2630"/>
      <c r="Q97" s="504"/>
    </row>
    <row r="98" spans="1:17" ht="15.75" hidden="1" thickTop="1">
      <c r="A98" s="534"/>
      <c r="B98" s="546">
        <f>B31</f>
        <v>0</v>
      </c>
      <c r="C98" s="587"/>
      <c r="D98" s="587"/>
      <c r="E98" s="587"/>
      <c r="F98" s="587"/>
      <c r="G98" s="587"/>
      <c r="H98" s="587"/>
      <c r="I98" s="587"/>
      <c r="J98" s="587"/>
      <c r="K98" s="588"/>
      <c r="L98" s="589"/>
      <c r="M98" s="590"/>
      <c r="N98" s="1154"/>
      <c r="O98" s="1154"/>
      <c r="P98" s="2630"/>
      <c r="Q98" s="504"/>
    </row>
    <row r="99" spans="1:17" ht="15.75" hidden="1" thickBot="1">
      <c r="A99" s="2636"/>
      <c r="B99" s="569"/>
      <c r="C99" s="591"/>
      <c r="D99" s="591"/>
      <c r="E99" s="591"/>
      <c r="F99" s="591"/>
      <c r="G99" s="591"/>
      <c r="H99" s="591"/>
      <c r="I99" s="591"/>
      <c r="J99" s="591"/>
      <c r="K99" s="591"/>
      <c r="L99" s="591"/>
      <c r="M99" s="592"/>
      <c r="N99" s="1155"/>
      <c r="O99" s="1155"/>
      <c r="P99" s="2630"/>
      <c r="Q99" s="504"/>
    </row>
    <row r="100" spans="1:17" ht="15" thickTop="1">
      <c r="A100" s="527" t="s">
        <v>2557</v>
      </c>
      <c r="B100" s="528" t="s">
        <v>2606</v>
      </c>
      <c r="C100" s="2974" t="s">
        <v>3172</v>
      </c>
      <c r="D100" s="2974" t="s">
        <v>3174</v>
      </c>
      <c r="E100" s="2974" t="s">
        <v>3175</v>
      </c>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5"/>
      <c r="O101" s="1155"/>
      <c r="P101" s="2630"/>
      <c r="Q101" s="504"/>
    </row>
    <row r="102" spans="1:17" ht="15.75" thickTop="1">
      <c r="A102" s="534"/>
      <c r="B102" s="538" t="s">
        <v>2607</v>
      </c>
      <c r="C102" s="578" t="str">
        <f>C103&amp;"(含)"&amp;"-"&amp;D103</f>
        <v>0(含)-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0"/>
      <c r="Q102" s="504"/>
    </row>
    <row r="103" spans="1:17" s="471" customFormat="1">
      <c r="A103" s="593"/>
      <c r="B103" s="594"/>
      <c r="C103" s="595">
        <v>0</v>
      </c>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1"/>
      <c r="Q104" s="559"/>
    </row>
    <row r="105" spans="1:17" ht="15" thickTop="1">
      <c r="A105" s="599"/>
      <c r="B105" s="538" t="s">
        <v>2608</v>
      </c>
      <c r="C105" s="2972" t="s">
        <v>3169</v>
      </c>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5"/>
      <c r="O106" s="1155"/>
      <c r="P106" s="2630"/>
      <c r="Q106" s="504"/>
    </row>
    <row r="107" spans="1:17" ht="15" thickTop="1">
      <c r="A107" s="599"/>
      <c r="B107" s="538" t="s">
        <v>2609</v>
      </c>
      <c r="C107" s="2973" t="s">
        <v>3170</v>
      </c>
      <c r="D107" s="2973" t="s">
        <v>3168</v>
      </c>
      <c r="E107" s="583"/>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9">C108-$K35</f>
        <v>90</v>
      </c>
      <c r="E108" s="544">
        <f t="shared" si="29"/>
        <v>80</v>
      </c>
      <c r="F108" s="544">
        <f t="shared" si="29"/>
        <v>70</v>
      </c>
      <c r="G108" s="544">
        <f t="shared" si="29"/>
        <v>60</v>
      </c>
      <c r="H108" s="544">
        <f t="shared" si="29"/>
        <v>50</v>
      </c>
      <c r="I108" s="544">
        <f t="shared" si="29"/>
        <v>40</v>
      </c>
      <c r="J108" s="544">
        <f t="shared" si="29"/>
        <v>30</v>
      </c>
      <c r="K108" s="544">
        <f t="shared" si="29"/>
        <v>20</v>
      </c>
      <c r="L108" s="544">
        <f t="shared" si="29"/>
        <v>10</v>
      </c>
      <c r="M108" s="544">
        <f t="shared" si="29"/>
        <v>0</v>
      </c>
      <c r="N108" s="1155"/>
      <c r="O108" s="1155"/>
      <c r="P108" s="2630"/>
      <c r="Q108" s="504"/>
    </row>
    <row r="109" spans="1:17" ht="15" thickTop="1">
      <c r="A109" s="599"/>
      <c r="B109" s="538" t="s">
        <v>2610</v>
      </c>
      <c r="C109" s="2972" t="s">
        <v>3167</v>
      </c>
      <c r="D109" s="554"/>
      <c r="E109" s="554"/>
      <c r="F109" s="583"/>
      <c r="G109" s="583"/>
      <c r="H109" s="583"/>
      <c r="I109" s="583"/>
      <c r="J109" s="583"/>
      <c r="K109" s="584"/>
      <c r="L109" s="585"/>
      <c r="M109" s="586"/>
      <c r="N109" s="1154"/>
      <c r="O109" s="1154"/>
      <c r="P109" s="2630"/>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5"/>
      <c r="O110" s="1155"/>
      <c r="P110" s="2630"/>
      <c r="Q110" s="504"/>
    </row>
    <row r="111" spans="1:17" s="471" customFormat="1" ht="29.2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1"/>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6"/>
      <c r="O113" s="1156"/>
      <c r="P113" s="2631"/>
      <c r="Q113" s="559"/>
    </row>
    <row r="114" spans="1:17" ht="15" thickTop="1">
      <c r="A114" s="599"/>
      <c r="B114" s="538" t="s">
        <v>2611</v>
      </c>
      <c r="C114" s="2972" t="s">
        <v>3166</v>
      </c>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5"/>
      <c r="O115" s="1155"/>
      <c r="P115" s="2630"/>
      <c r="Q115" s="504"/>
    </row>
    <row r="116" spans="1:17" ht="15" thickTop="1">
      <c r="A116" s="599"/>
      <c r="B116" s="538" t="s">
        <v>2612</v>
      </c>
      <c r="C116" s="2972" t="s">
        <v>3163</v>
      </c>
      <c r="D116" s="2972" t="s">
        <v>3165</v>
      </c>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5"/>
      <c r="O117" s="1155"/>
      <c r="P117" s="2630"/>
      <c r="Q117" s="504"/>
    </row>
    <row r="118" spans="1:17" ht="15" thickTop="1">
      <c r="A118" s="599"/>
      <c r="B118" s="538" t="s">
        <v>2613</v>
      </c>
      <c r="C118" s="2973" t="s">
        <v>3161</v>
      </c>
      <c r="D118" s="2973" t="s">
        <v>3162</v>
      </c>
      <c r="E118" s="583"/>
      <c r="F118" s="583"/>
      <c r="G118" s="583"/>
      <c r="H118" s="583"/>
      <c r="I118" s="583"/>
      <c r="J118" s="583"/>
      <c r="K118" s="584"/>
      <c r="L118" s="585"/>
      <c r="M118" s="586"/>
      <c r="N118" s="1154"/>
      <c r="O118" s="1154"/>
      <c r="P118" s="2630"/>
      <c r="Q118" s="504"/>
    </row>
    <row r="119" spans="1:17" ht="15.75" thickBot="1">
      <c r="A119" s="534"/>
      <c r="B119" s="543"/>
      <c r="C119" s="544">
        <v>100</v>
      </c>
      <c r="D119" s="544">
        <f t="shared" ref="D119:M119" si="32">C119-$K40</f>
        <v>90</v>
      </c>
      <c r="E119" s="544">
        <f t="shared" si="32"/>
        <v>80</v>
      </c>
      <c r="F119" s="544">
        <f t="shared" si="32"/>
        <v>70</v>
      </c>
      <c r="G119" s="544">
        <f t="shared" si="32"/>
        <v>60</v>
      </c>
      <c r="H119" s="544">
        <f t="shared" si="32"/>
        <v>50</v>
      </c>
      <c r="I119" s="544">
        <f t="shared" si="32"/>
        <v>40</v>
      </c>
      <c r="J119" s="544">
        <f t="shared" si="32"/>
        <v>30</v>
      </c>
      <c r="K119" s="544">
        <f t="shared" si="32"/>
        <v>20</v>
      </c>
      <c r="L119" s="544">
        <f t="shared" si="32"/>
        <v>10</v>
      </c>
      <c r="M119" s="544">
        <f t="shared" si="32"/>
        <v>0</v>
      </c>
      <c r="N119" s="1155"/>
      <c r="O119" s="1155"/>
      <c r="P119" s="2630"/>
      <c r="Q119" s="504"/>
    </row>
    <row r="120" spans="1:17" s="471" customFormat="1" ht="28.5" thickTop="1">
      <c r="A120" s="593"/>
      <c r="B120" s="538" t="s">
        <v>2568</v>
      </c>
      <c r="C120" s="554"/>
      <c r="D120" s="554"/>
      <c r="E120" s="554"/>
      <c r="F120" s="554"/>
      <c r="G120" s="554"/>
      <c r="H120" s="554"/>
      <c r="I120" s="554"/>
      <c r="J120" s="554"/>
      <c r="K120" s="554"/>
      <c r="L120" s="580"/>
      <c r="M120" s="581"/>
      <c r="N120" s="1156"/>
      <c r="O120" s="1156"/>
      <c r="P120" s="2631"/>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1"/>
      <c r="Q121" s="559"/>
    </row>
    <row r="122" spans="1:17" ht="15" thickTop="1">
      <c r="A122" s="599"/>
      <c r="B122" s="538" t="s">
        <v>2614</v>
      </c>
      <c r="C122" s="2972" t="s">
        <v>3095</v>
      </c>
      <c r="D122" s="2972" t="s">
        <v>3096</v>
      </c>
      <c r="E122" s="2972" t="s">
        <v>3098</v>
      </c>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5"/>
      <c r="O123" s="1155"/>
      <c r="P123" s="2630"/>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4"/>
      <c r="O124" s="1154"/>
      <c r="P124" s="2631"/>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5"/>
      <c r="O125" s="1155"/>
      <c r="P125" s="2630"/>
      <c r="Q125" s="504"/>
    </row>
    <row r="126" spans="1:17" s="471" customFormat="1" ht="15" thickTop="1">
      <c r="A126" s="593"/>
      <c r="B126" s="538">
        <f>B44</f>
        <v>0</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0</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60"/>
      <c r="E129" s="560"/>
      <c r="F129" s="560"/>
      <c r="G129" s="536"/>
      <c r="H129" s="536"/>
      <c r="I129" s="536"/>
      <c r="J129" s="536"/>
      <c r="K129" s="536"/>
      <c r="L129" s="536"/>
      <c r="M129" s="537"/>
      <c r="N129" s="1155"/>
      <c r="O129" s="1155"/>
      <c r="P129" s="2630"/>
      <c r="Q129" s="504"/>
    </row>
    <row r="130" spans="1:17" ht="15" thickTop="1">
      <c r="A130" s="599"/>
      <c r="B130" s="546">
        <f>B46</f>
        <v>0</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row r="136" spans="1:17" ht="15" thickBot="1">
      <c r="B136" s="2637" t="s">
        <v>2616</v>
      </c>
    </row>
    <row r="137" spans="1:17" ht="15">
      <c r="B137" s="2638" t="s">
        <v>2617</v>
      </c>
      <c r="C137" s="2639"/>
      <c r="D137" s="2639"/>
      <c r="E137" s="2639"/>
      <c r="F137" s="2639"/>
      <c r="G137" s="2640"/>
      <c r="H137" s="2641"/>
      <c r="I137" s="2642" t="s">
        <v>2618</v>
      </c>
      <c r="J137" s="2639"/>
      <c r="K137" s="2643"/>
    </row>
    <row r="138" spans="1:17" ht="15">
      <c r="B138" s="2644"/>
      <c r="C138" s="146" t="s">
        <v>2619</v>
      </c>
      <c r="D138" s="146" t="s">
        <v>2620</v>
      </c>
      <c r="E138" s="2645" t="s">
        <v>2621</v>
      </c>
      <c r="F138" s="2646" t="s">
        <v>2622</v>
      </c>
      <c r="G138" s="146" t="s">
        <v>2620</v>
      </c>
      <c r="H138" s="147" t="s">
        <v>2621</v>
      </c>
      <c r="I138" s="2647"/>
      <c r="J138" s="146" t="s">
        <v>2623</v>
      </c>
      <c r="K138" s="147" t="s">
        <v>2624</v>
      </c>
    </row>
    <row r="139" spans="1:17" ht="15">
      <c r="B139" s="1086">
        <v>6</v>
      </c>
      <c r="C139" s="1087">
        <v>96</v>
      </c>
      <c r="D139" s="2648" t="s">
        <v>2625</v>
      </c>
      <c r="E139" s="1088">
        <v>100</v>
      </c>
      <c r="F139" s="1089">
        <v>102.5</v>
      </c>
      <c r="G139" s="2648" t="s">
        <v>2625</v>
      </c>
      <c r="H139" s="1090">
        <v>105</v>
      </c>
      <c r="I139" s="2649" t="s">
        <v>2626</v>
      </c>
      <c r="J139" s="1087">
        <v>20</v>
      </c>
      <c r="K139" s="1091">
        <f>C145/(J139-2)</f>
        <v>4.0555555555555553E-3</v>
      </c>
    </row>
    <row r="140" spans="1:17" ht="15">
      <c r="B140" s="1092">
        <v>5</v>
      </c>
      <c r="C140" s="1093">
        <v>100</v>
      </c>
      <c r="D140" s="1093"/>
      <c r="E140" s="1094"/>
      <c r="F140" s="1095">
        <v>102</v>
      </c>
      <c r="G140" s="1093"/>
      <c r="H140" s="1096"/>
      <c r="I140" s="2650" t="s">
        <v>2627</v>
      </c>
      <c r="J140" s="315">
        <f>ROUNDUP((J139-1)/2,0)</f>
        <v>10</v>
      </c>
      <c r="K140" s="1097">
        <v>100</v>
      </c>
    </row>
    <row r="141" spans="1:17" ht="15">
      <c r="B141" s="1092">
        <v>4</v>
      </c>
      <c r="C141" s="1093">
        <v>102</v>
      </c>
      <c r="D141" s="1093"/>
      <c r="E141" s="1094"/>
      <c r="F141" s="1095">
        <v>101.5</v>
      </c>
      <c r="G141" s="1093"/>
      <c r="H141" s="1096"/>
      <c r="I141" s="2650" t="s">
        <v>2628</v>
      </c>
      <c r="J141" s="315">
        <v>1</v>
      </c>
      <c r="K141" s="1098">
        <f>ROUND(100+(J141-J140)*K139*100,1)</f>
        <v>96.4</v>
      </c>
    </row>
    <row r="142" spans="1:17" ht="15">
      <c r="B142" s="1092">
        <v>3</v>
      </c>
      <c r="C142" s="1093">
        <v>103</v>
      </c>
      <c r="D142" s="1093"/>
      <c r="E142" s="1094"/>
      <c r="F142" s="1095">
        <v>101</v>
      </c>
      <c r="G142" s="1093"/>
      <c r="H142" s="1096"/>
      <c r="I142" s="2650" t="s">
        <v>2629</v>
      </c>
      <c r="J142" s="315">
        <f>J139</f>
        <v>20</v>
      </c>
      <c r="K142" s="1099">
        <v>95</v>
      </c>
    </row>
    <row r="143" spans="1:17" ht="15">
      <c r="B143" s="1092">
        <v>2</v>
      </c>
      <c r="C143" s="1093">
        <v>100</v>
      </c>
      <c r="D143" s="1093"/>
      <c r="E143" s="1094"/>
      <c r="F143" s="1095">
        <v>100.5</v>
      </c>
      <c r="G143" s="1093"/>
      <c r="H143" s="1096"/>
      <c r="I143" s="2650" t="s">
        <v>2630</v>
      </c>
      <c r="J143" s="1093">
        <v>15</v>
      </c>
      <c r="K143" s="1098">
        <f>ROUND(100+(J143-J140)*K139*100,1)</f>
        <v>102</v>
      </c>
    </row>
    <row r="144" spans="1:17" ht="15">
      <c r="B144" s="1092">
        <v>1</v>
      </c>
      <c r="C144" s="1093">
        <v>98</v>
      </c>
      <c r="D144" s="2651" t="s">
        <v>2631</v>
      </c>
      <c r="E144" s="1094">
        <v>102</v>
      </c>
      <c r="F144" s="1100">
        <v>100</v>
      </c>
      <c r="G144" s="2651" t="s">
        <v>2631</v>
      </c>
      <c r="H144" s="1096">
        <v>105</v>
      </c>
      <c r="I144" s="2650" t="s">
        <v>2630</v>
      </c>
      <c r="J144" s="1093">
        <v>18</v>
      </c>
      <c r="K144" s="1098">
        <f>ROUND(100+(J144-J140)*K139*100,1)</f>
        <v>103.2</v>
      </c>
    </row>
    <row r="145" spans="2:11" ht="15.75" thickBot="1">
      <c r="B145" s="2652" t="s">
        <v>2632</v>
      </c>
      <c r="C145" s="1101">
        <f>ROUND(MAX(C139:C144)/MIN(C139:C144)-1,3)</f>
        <v>7.2999999999999995E-2</v>
      </c>
      <c r="D145" s="1102"/>
      <c r="E145" s="1102"/>
      <c r="F145" s="2653" t="s">
        <v>2633</v>
      </c>
      <c r="G145" s="2654"/>
      <c r="H145" s="2655"/>
      <c r="I145" s="2656" t="s">
        <v>2630</v>
      </c>
      <c r="J145" s="1103">
        <v>8</v>
      </c>
      <c r="K145" s="1104">
        <f>ROUND(100+(J145-J140)*K139*100,1)</f>
        <v>99.2</v>
      </c>
    </row>
    <row r="147" spans="2:11">
      <c r="B147" s="2637" t="s">
        <v>2634</v>
      </c>
    </row>
    <row r="148" spans="2:11">
      <c r="B148" s="2637" t="s">
        <v>2635</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8" priority="14" stopIfTrue="1" operator="containsText" text="超过">
      <formula>NOT(ISERROR(SEARCH("超过",F52)))</formula>
    </cfRule>
  </conditionalFormatting>
  <conditionalFormatting sqref="J54">
    <cfRule type="containsText" dxfId="17" priority="13" stopIfTrue="1" operator="containsText" text="超过">
      <formula>NOT(ISERROR(SEARCH("超过",J54)))</formula>
    </cfRule>
  </conditionalFormatting>
  <conditionalFormatting sqref="H54">
    <cfRule type="containsText" dxfId="16" priority="12" stopIfTrue="1" operator="containsText" text="超过">
      <formula>NOT(ISERROR(SEARCH("超过",H54)))</formula>
    </cfRule>
  </conditionalFormatting>
  <conditionalFormatting sqref="F54">
    <cfRule type="containsText" dxfId="15" priority="11" stopIfTrue="1" operator="containsText" text="超过">
      <formula>NOT(ISERROR(SEARCH("超过",F54)))</formula>
    </cfRule>
  </conditionalFormatting>
  <conditionalFormatting sqref="F53 H53 J53">
    <cfRule type="containsText" dxfId="14" priority="10" stopIfTrue="1" operator="containsText" text="超过">
      <formula>NOT(ISERROR(SEARCH("超过",F53)))</formula>
    </cfRule>
  </conditionalFormatting>
  <conditionalFormatting sqref="E52">
    <cfRule type="expression" dxfId="13" priority="9" stopIfTrue="1">
      <formula>$F$52="超过30%"</formula>
    </cfRule>
  </conditionalFormatting>
  <conditionalFormatting sqref="G54">
    <cfRule type="expression" dxfId="12" priority="8" stopIfTrue="1">
      <formula>$H$54="超过30%"</formula>
    </cfRule>
  </conditionalFormatting>
  <conditionalFormatting sqref="E53">
    <cfRule type="expression" dxfId="11" priority="7" stopIfTrue="1">
      <formula>$F$53="超过20%"</formula>
    </cfRule>
  </conditionalFormatting>
  <conditionalFormatting sqref="E54">
    <cfRule type="expression" dxfId="10" priority="6" stopIfTrue="1">
      <formula>$F$54="超过30%"</formula>
    </cfRule>
  </conditionalFormatting>
  <conditionalFormatting sqref="G52">
    <cfRule type="expression" dxfId="9" priority="5" stopIfTrue="1">
      <formula>$H$52="超过30%"</formula>
    </cfRule>
  </conditionalFormatting>
  <conditionalFormatting sqref="G53">
    <cfRule type="expression" dxfId="8" priority="4" stopIfTrue="1">
      <formula>$H$53="超过20%"</formula>
    </cfRule>
  </conditionalFormatting>
  <conditionalFormatting sqref="I52">
    <cfRule type="expression" dxfId="7" priority="3" stopIfTrue="1">
      <formula>$J$52="超过30%"</formula>
    </cfRule>
  </conditionalFormatting>
  <conditionalFormatting sqref="I53">
    <cfRule type="expression" dxfId="6" priority="2" stopIfTrue="1">
      <formula>$J$53="超过20%"</formula>
    </cfRule>
  </conditionalFormatting>
  <conditionalFormatting sqref="I54">
    <cfRule type="expression" dxfId="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80" zoomScaleNormal="80" zoomScaleSheetLayoutView="90" zoomScalePageLayoutView="70" workbookViewId="0">
      <selection activeCell="O41" sqref="A41:O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7" customWidth="1"/>
    <col min="12" max="12" width="16.375" style="302" customWidth="1"/>
    <col min="13" max="13" width="13" style="302" customWidth="1"/>
    <col min="14" max="14" width="13.875" style="1844" customWidth="1"/>
    <col min="15" max="15" width="5.125" style="1844" customWidth="1"/>
    <col min="16" max="16" width="25.875" style="1844" customWidth="1"/>
    <col min="17" max="17" width="13.875" style="1844" customWidth="1"/>
    <col min="18" max="18" width="20.5" style="1844" customWidth="1"/>
    <col min="19" max="19" width="13.125" style="1844" customWidth="1"/>
    <col min="20" max="37" width="9" style="1844"/>
    <col min="38" max="16384" width="9" style="302"/>
  </cols>
  <sheetData>
    <row r="1" spans="1:37" s="337" customFormat="1" ht="21">
      <c r="A1" s="1835" t="s">
        <v>1585</v>
      </c>
      <c r="B1" s="782"/>
      <c r="C1" s="1839" t="s">
        <v>3077</v>
      </c>
      <c r="D1" s="1822" t="s">
        <v>70</v>
      </c>
      <c r="E1" s="1823" t="s">
        <v>1383</v>
      </c>
      <c r="F1" s="1285">
        <f ca="1">J53</f>
        <v>37.39</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5549</v>
      </c>
      <c r="C2" s="1847" t="s">
        <v>1512</v>
      </c>
      <c r="D2" s="1847"/>
      <c r="E2" s="1848"/>
      <c r="F2" s="1849"/>
      <c r="G2" s="1850"/>
      <c r="H2" s="1842"/>
      <c r="I2" s="1842"/>
      <c r="J2" s="1842"/>
      <c r="K2" s="1843"/>
      <c r="L2" s="1842"/>
      <c r="M2" s="1842"/>
    </row>
    <row r="3" spans="1:37" ht="18" customHeight="1" thickBot="1">
      <c r="A3" s="1851" t="s">
        <v>1513</v>
      </c>
      <c r="B3" s="1852">
        <f ca="1">IF(ISERROR(B2*10000/F43),0,ROUND(B2*10000/F43,0))</f>
        <v>23339</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325</v>
      </c>
      <c r="D5" s="1824" t="s">
        <v>1398</v>
      </c>
      <c r="E5" s="1295"/>
      <c r="F5" s="1296"/>
      <c r="G5" s="1853"/>
      <c r="H5" s="344">
        <v>1</v>
      </c>
      <c r="I5" s="345" t="s">
        <v>1397</v>
      </c>
      <c r="J5" s="1294">
        <f ca="1">J6+J10+J12</f>
        <v>0</v>
      </c>
      <c r="K5" s="1824" t="s">
        <v>1398</v>
      </c>
      <c r="L5" s="1295"/>
      <c r="M5" s="1296"/>
    </row>
    <row r="6" spans="1:37" ht="18" customHeight="1">
      <c r="A6" s="1293" t="s">
        <v>1032</v>
      </c>
      <c r="B6" s="3359" t="s">
        <v>1399</v>
      </c>
      <c r="C6" s="1298">
        <f ca="1">ROUND(F6*F8*F7*(1-F9)/10000,0)</f>
        <v>325</v>
      </c>
      <c r="D6" s="164" t="s">
        <v>3028</v>
      </c>
      <c r="E6" s="347" t="s">
        <v>1401</v>
      </c>
      <c r="F6" s="348">
        <f ca="1">INDIRECT("'数据-取费表'!u"&amp;$G$1)</f>
        <v>120</v>
      </c>
      <c r="G6" s="1853"/>
      <c r="H6" s="1293" t="s">
        <v>1032</v>
      </c>
      <c r="I6" s="3359" t="s">
        <v>1399</v>
      </c>
      <c r="J6" s="346">
        <f ca="1">ROUND(M6*M8*M7*(1-M9)/10000,0)</f>
        <v>0</v>
      </c>
      <c r="K6" s="164" t="s">
        <v>3027</v>
      </c>
      <c r="L6" s="347" t="s">
        <v>1401</v>
      </c>
      <c r="M6" s="348">
        <f ca="1">INDIRECT("'数据-取费表'!z"&amp;$G$1)</f>
        <v>0</v>
      </c>
    </row>
    <row r="7" spans="1:37" ht="18" customHeight="1">
      <c r="A7" s="1297"/>
      <c r="B7" s="3360"/>
      <c r="C7" s="1299"/>
      <c r="D7" s="352"/>
      <c r="E7" s="2961" t="s">
        <v>1402</v>
      </c>
      <c r="F7" s="348">
        <f ca="1">IF(INDIRECT("'数据-取费表'!ah"&amp;$G$1)="",INDIRECT("'数据-取费表'!k"&amp;$G$1),INDIRECT("'数据-取费表'!ah"&amp;$G$1))</f>
        <v>2377.56</v>
      </c>
      <c r="G7" s="1853"/>
      <c r="H7" s="349"/>
      <c r="I7" s="3360"/>
      <c r="J7" s="351"/>
      <c r="K7" s="352"/>
      <c r="L7" s="347" t="s">
        <v>1402</v>
      </c>
      <c r="M7" s="348">
        <f ca="1">F7</f>
        <v>2377.56</v>
      </c>
    </row>
    <row r="8" spans="1:37" ht="18" customHeight="1">
      <c r="A8" s="349"/>
      <c r="B8" s="3360"/>
      <c r="C8" s="351"/>
      <c r="D8" s="352"/>
      <c r="E8" s="347" t="s">
        <v>1403</v>
      </c>
      <c r="F8" s="348">
        <f ca="1">INDIRECT("'数据-取费表'!ai"&amp;$G$1)</f>
        <v>12</v>
      </c>
      <c r="G8" s="1853"/>
      <c r="H8" s="349"/>
      <c r="I8" s="3360"/>
      <c r="J8" s="351"/>
      <c r="K8" s="352"/>
      <c r="L8" s="347" t="s">
        <v>1403</v>
      </c>
      <c r="M8" s="348">
        <f ca="1">INDIRECT("'数据-取费表'!ai"&amp;$G$1)</f>
        <v>12</v>
      </c>
    </row>
    <row r="9" spans="1:37" ht="18" customHeight="1">
      <c r="A9" s="349"/>
      <c r="B9" s="3361"/>
      <c r="C9" s="351"/>
      <c r="D9" s="352"/>
      <c r="E9" s="347" t="s">
        <v>1404</v>
      </c>
      <c r="F9" s="357">
        <f ca="1">INDIRECT("'数据-取费表'!w"&amp;$G$1)</f>
        <v>0.05</v>
      </c>
      <c r="G9" s="1853"/>
      <c r="H9" s="349"/>
      <c r="I9" s="3361"/>
      <c r="J9" s="351"/>
      <c r="K9" s="352"/>
      <c r="L9" s="358" t="s">
        <v>1404</v>
      </c>
      <c r="M9" s="359">
        <f ca="1">INDIRECT("'数据-取费表'!ab"&amp;$G$1)</f>
        <v>0</v>
      </c>
    </row>
    <row r="10" spans="1:37" ht="18" customHeight="1">
      <c r="A10" s="1293" t="s">
        <v>1036</v>
      </c>
      <c r="B10" s="1825" t="s">
        <v>1405</v>
      </c>
      <c r="C10" s="361">
        <f ca="1">ROUND(IF(F10="押一",C6/12*F11,IF(F10="押二",C6/12*2*F11,IF(F10="押三",C6/12*3*F11,C11*F11))),0)</f>
        <v>0</v>
      </c>
      <c r="D10" s="1826" t="s">
        <v>3037</v>
      </c>
      <c r="E10" s="358" t="s">
        <v>1406</v>
      </c>
      <c r="F10" s="1368"/>
      <c r="G10" s="1853"/>
      <c r="H10" s="1293" t="s">
        <v>1036</v>
      </c>
      <c r="I10" s="1825" t="s">
        <v>1405</v>
      </c>
      <c r="J10" s="346">
        <f ca="1">ROUND(IF(M10="押一",J6/12*M11,IF(M10="押二",J6/12*2*M11,IF(M10="押三",J6/12*3*M11,J11*M11))),0)</f>
        <v>0</v>
      </c>
      <c r="K10" s="1826" t="s">
        <v>3036</v>
      </c>
      <c r="L10" s="358" t="s">
        <v>1406</v>
      </c>
      <c r="M10" s="1368" t="s">
        <v>1407</v>
      </c>
    </row>
    <row r="11" spans="1:37" ht="18" customHeight="1">
      <c r="A11" s="353"/>
      <c r="B11" s="1827" t="s">
        <v>1384</v>
      </c>
      <c r="C11" s="1180"/>
      <c r="D11" s="1828"/>
      <c r="E11" s="358" t="s">
        <v>1408</v>
      </c>
      <c r="F11" s="359">
        <f ca="1">'数据-取费表'!B39</f>
        <v>1.4999999999999999E-2</v>
      </c>
      <c r="G11" s="1853"/>
      <c r="H11" s="1301"/>
      <c r="I11" s="1827" t="s">
        <v>1384</v>
      </c>
      <c r="J11" s="1180"/>
      <c r="K11" s="748"/>
      <c r="L11" s="358"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1950</v>
      </c>
      <c r="D13" s="1333" t="s">
        <v>1411</v>
      </c>
      <c r="E13" s="1333" t="s">
        <v>1412</v>
      </c>
      <c r="F13" s="1334">
        <f ca="1">INDIRECT("'数据-取费表'!y"&amp;$G$1)</f>
        <v>1</v>
      </c>
      <c r="G13" s="1853"/>
      <c r="H13" s="1331">
        <v>2</v>
      </c>
      <c r="I13" s="1332" t="s">
        <v>1410</v>
      </c>
      <c r="J13" s="1292">
        <f ca="1">ROUND(J14*J15,0)</f>
        <v>0</v>
      </c>
      <c r="K13" s="1339" t="s">
        <v>1411</v>
      </c>
      <c r="L13" s="1854"/>
      <c r="M13" s="1855"/>
    </row>
    <row r="14" spans="1:37" ht="18" customHeight="1">
      <c r="A14" s="1203" t="s">
        <v>1031</v>
      </c>
      <c r="B14" s="347" t="s">
        <v>1413</v>
      </c>
      <c r="C14" s="363">
        <f ca="1">INDIRECT("'数据-取费表'!m"&amp;$G$1)+INDIRECT("'数据-取费表'!t"&amp;$G$1)</f>
        <v>1427</v>
      </c>
      <c r="D14" s="2948" t="s">
        <v>1414</v>
      </c>
      <c r="E14" s="2943"/>
      <c r="F14" s="364"/>
      <c r="G14" s="1853"/>
      <c r="H14" s="1203" t="s">
        <v>1032</v>
      </c>
      <c r="I14" s="347" t="s">
        <v>1415</v>
      </c>
      <c r="J14" s="24">
        <f ca="1">C29</f>
        <v>1950</v>
      </c>
      <c r="K14" s="2960"/>
      <c r="L14" s="981"/>
      <c r="M14" s="982"/>
    </row>
    <row r="15" spans="1:37" s="1860" customFormat="1" ht="18" customHeight="1" thickBot="1">
      <c r="A15" s="1203" t="s">
        <v>1033</v>
      </c>
      <c r="B15" s="347" t="s">
        <v>1416</v>
      </c>
      <c r="C15" s="24">
        <f ca="1">ROUND(C14*F15,0)</f>
        <v>43</v>
      </c>
      <c r="D15" s="365" t="s">
        <v>1417</v>
      </c>
      <c r="E15" s="365" t="s">
        <v>1418</v>
      </c>
      <c r="F15" s="366">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1419</v>
      </c>
      <c r="C16" s="24">
        <f ca="1">ROUND(INDIRECT("'数据-取费表'!m"&amp;$G$1)*F16,0)</f>
        <v>0</v>
      </c>
      <c r="D16" s="347" t="s">
        <v>1417</v>
      </c>
      <c r="E16" s="347" t="s">
        <v>1418</v>
      </c>
      <c r="F16" s="367">
        <f ca="1">IF(INDIRECT("'数据-取费表'!c"&amp;$G$1)="住宅",'数据-取费表'!B34,0)</f>
        <v>0</v>
      </c>
      <c r="G16" s="1853"/>
      <c r="H16" s="1331" t="s">
        <v>1027</v>
      </c>
      <c r="I16" s="1332" t="s">
        <v>1420</v>
      </c>
      <c r="J16" s="355">
        <f ca="1">ROUND(J17+J22+J23+J24,0)</f>
        <v>46</v>
      </c>
      <c r="K16" s="1339" t="s">
        <v>1421</v>
      </c>
      <c r="L16" s="2950"/>
      <c r="M16" s="1296"/>
    </row>
    <row r="17" spans="1:37" s="1860" customFormat="1" ht="18" customHeight="1">
      <c r="A17" s="1203" t="s">
        <v>1386</v>
      </c>
      <c r="B17" s="347" t="s">
        <v>1422</v>
      </c>
      <c r="C17" s="24">
        <f ca="1">ROUND(F17*(F43+INDIRECT("'数据-取费表'!S"&amp;$G$1))/10000,0)</f>
        <v>48</v>
      </c>
      <c r="D17" s="347" t="s">
        <v>1423</v>
      </c>
      <c r="E17" s="347" t="s">
        <v>1424</v>
      </c>
      <c r="F17" s="26">
        <f>'数据-取费表'!B35</f>
        <v>200</v>
      </c>
      <c r="G17" s="1856"/>
      <c r="H17" s="1203" t="s">
        <v>1032</v>
      </c>
      <c r="I17" s="347" t="s">
        <v>1425</v>
      </c>
      <c r="J17" s="24">
        <f ca="1">ROUND(IF(项目基本情况!B11="自然人",J5*M17,J18+J19+J20),1)</f>
        <v>16.5</v>
      </c>
      <c r="K17" s="2948" t="s">
        <v>1426</v>
      </c>
      <c r="L17" s="2946"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1428</v>
      </c>
      <c r="C18" s="24">
        <f ca="1">ROUND(C14*F18,0)</f>
        <v>21</v>
      </c>
      <c r="D18" s="347" t="s">
        <v>1417</v>
      </c>
      <c r="E18" s="347" t="s">
        <v>1418</v>
      </c>
      <c r="F18" s="367">
        <f>'数据-取费表'!B36</f>
        <v>1.4999999999999999E-2</v>
      </c>
      <c r="G18" s="1856"/>
      <c r="H18" s="1203" t="s">
        <v>1031</v>
      </c>
      <c r="I18" s="347" t="s">
        <v>1429</v>
      </c>
      <c r="J18" s="24">
        <f ca="1">ROUND(J5*M18/(1+'数据-取费表'!C42),2)</f>
        <v>0</v>
      </c>
      <c r="K18" s="2946"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7" t="s">
        <v>1431</v>
      </c>
      <c r="C19" s="24">
        <f ca="1">SUM(C14:C18)</f>
        <v>1539</v>
      </c>
      <c r="D19" s="140" t="s">
        <v>1432</v>
      </c>
      <c r="E19" s="2958"/>
      <c r="F19" s="26"/>
      <c r="G19" s="1853"/>
      <c r="H19" s="1203" t="s">
        <v>1033</v>
      </c>
      <c r="I19" s="347" t="s">
        <v>1433</v>
      </c>
      <c r="J19" s="24">
        <f ca="1">IF(K19="按租金收入计税",ROUND(J5*M19,2),ROUND(C29*M19*0.7,2))</f>
        <v>16.38</v>
      </c>
      <c r="K19" s="1830" t="s">
        <v>1434</v>
      </c>
      <c r="L19" s="347" t="s">
        <v>1418</v>
      </c>
      <c r="M19" s="367">
        <f>IF(K19="按租金收入计税",'数据-取费表'!B51,'数据-取费表'!B50)</f>
        <v>1.2E-2</v>
      </c>
    </row>
    <row r="20" spans="1:37" s="1860" customFormat="1" ht="18" customHeight="1">
      <c r="A20" s="1203" t="s">
        <v>1036</v>
      </c>
      <c r="B20" s="347" t="s">
        <v>1435</v>
      </c>
      <c r="C20" s="24">
        <f ca="1">ROUND(C19*F20,0)</f>
        <v>31</v>
      </c>
      <c r="D20" s="369" t="s">
        <v>1436</v>
      </c>
      <c r="E20" s="347" t="s">
        <v>1418</v>
      </c>
      <c r="F20" s="367">
        <f>'数据-取费表'!B37</f>
        <v>0.02</v>
      </c>
      <c r="G20" s="1856"/>
      <c r="H20" s="1203" t="s">
        <v>1385</v>
      </c>
      <c r="I20" s="164" t="s">
        <v>1437</v>
      </c>
      <c r="J20" s="25">
        <f ca="1">ROUND(M20*M21/10000,2)</f>
        <v>0.13</v>
      </c>
      <c r="K20" s="370" t="s">
        <v>1438</v>
      </c>
      <c r="L20" s="347" t="s">
        <v>1439</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7" t="s">
        <v>1440</v>
      </c>
      <c r="C21" s="24" t="s">
        <v>1</v>
      </c>
      <c r="D21" s="369" t="s">
        <v>1441</v>
      </c>
      <c r="E21" s="347" t="s">
        <v>1442</v>
      </c>
      <c r="F21" s="367">
        <f>'数据-取费表'!B38</f>
        <v>0.02</v>
      </c>
      <c r="G21" s="1856"/>
      <c r="H21" s="372"/>
      <c r="I21" s="356"/>
      <c r="J21" s="29"/>
      <c r="K21" s="373"/>
      <c r="L21" s="347" t="s">
        <v>1443</v>
      </c>
      <c r="M21" s="348">
        <f ca="1">INDIRECT("'数据-取费表'!r"&amp;$G$1)</f>
        <v>426.98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1444</v>
      </c>
      <c r="C22" s="24"/>
      <c r="D22" s="140" t="str">
        <f>IF(F23&lt;=1,"单利计息。","复利计息。")&amp;"建造成本、管理费用、销售费用产生的利息。"</f>
        <v>复利计息。建造成本、管理费用、销售费用产生的利息。</v>
      </c>
      <c r="E22" s="2958"/>
      <c r="F22" s="26"/>
      <c r="G22" s="1853"/>
      <c r="H22" s="1203" t="s">
        <v>1036</v>
      </c>
      <c r="I22" s="347" t="s">
        <v>1445</v>
      </c>
      <c r="J22" s="24">
        <f ca="1">ROUND(J14*M22,1)</f>
        <v>29.3</v>
      </c>
      <c r="K22" s="2946" t="s">
        <v>1446</v>
      </c>
      <c r="L22" s="347" t="s">
        <v>1418</v>
      </c>
      <c r="M22" s="374">
        <f ca="1">INDIRECT("'数据-取费表'!Ak"&amp;$G$1)</f>
        <v>1.4999999999999999E-2</v>
      </c>
    </row>
    <row r="23" spans="1:37" s="1860" customFormat="1" ht="18" customHeight="1">
      <c r="A23" s="1203" t="s">
        <v>1031</v>
      </c>
      <c r="B23" s="347" t="s">
        <v>1447</v>
      </c>
      <c r="C23" s="24">
        <f ca="1">IF('数据-取费表'!B22&lt;=1,ROUND(C19*F24*F23/2,0)+ROUND(C20*F24*F23/2,0),ROUND(C19*(POWER((1+F24),F23/2)-1),0)+ROUND(C20*(POWER((1+F24),F23/2)-1),0))</f>
        <v>74</v>
      </c>
      <c r="D23" s="375" t="str">
        <f>IF(F23&lt;=1,"(建造成本+管理费用)×利率×(建设周期÷2)","(建造成本+管理费用)×((1+利率)^(建设周期÷2)-1)")</f>
        <v>(建造成本+管理费用)×((1+利率)^(建设周期÷2)-1)</v>
      </c>
      <c r="E23" s="347" t="s">
        <v>1448</v>
      </c>
      <c r="F23" s="371">
        <f>'数据-取费表'!B20</f>
        <v>2</v>
      </c>
      <c r="G23" s="1856"/>
      <c r="H23" s="1203" t="s">
        <v>1072</v>
      </c>
      <c r="I23" s="347" t="s">
        <v>1449</v>
      </c>
      <c r="J23" s="24">
        <f ca="1">ROUND(J13*M23,1)</f>
        <v>0</v>
      </c>
      <c r="K23" s="2946" t="s">
        <v>1450</v>
      </c>
      <c r="L23" s="347" t="s">
        <v>1418</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1" t="s">
        <v>1389</v>
      </c>
      <c r="I24" s="1342" t="s">
        <v>1435</v>
      </c>
      <c r="J24" s="1343">
        <f ca="1">ROUND(J5*M24,1)</f>
        <v>0</v>
      </c>
      <c r="K24" s="1344" t="s">
        <v>1455</v>
      </c>
      <c r="L24" s="1342" t="s">
        <v>1418</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1456</v>
      </c>
      <c r="B25" s="347" t="s">
        <v>1457</v>
      </c>
      <c r="C25" s="24"/>
      <c r="D25" s="140" t="s">
        <v>1458</v>
      </c>
      <c r="E25" s="2958"/>
      <c r="F25" s="26"/>
      <c r="G25" s="1853"/>
      <c r="H25" s="1331" t="s">
        <v>1028</v>
      </c>
      <c r="I25" s="1346" t="s">
        <v>1459</v>
      </c>
      <c r="J25" s="355">
        <f ca="1">J5-J16</f>
        <v>-46</v>
      </c>
      <c r="K25" s="1347" t="s">
        <v>1460</v>
      </c>
      <c r="L25" s="1348"/>
      <c r="M25" s="1349"/>
    </row>
    <row r="26" spans="1:37">
      <c r="A26" s="1203" t="s">
        <v>1031</v>
      </c>
      <c r="B26" s="347" t="s">
        <v>1461</v>
      </c>
      <c r="C26" s="24">
        <f ca="1">ROUND((C19+C20)*F26,0)</f>
        <v>157</v>
      </c>
      <c r="D26" s="369" t="s">
        <v>1462</v>
      </c>
      <c r="E26" s="358" t="s">
        <v>1463</v>
      </c>
      <c r="F26" s="357">
        <f ca="1">INDIRECT("'数据-取费表'!q"&amp;$G$1)</f>
        <v>0.1</v>
      </c>
      <c r="G26" s="1853"/>
      <c r="H26" s="344" t="s">
        <v>1029</v>
      </c>
      <c r="I26" s="345" t="s">
        <v>1464</v>
      </c>
      <c r="J26" s="346">
        <f ca="1">IF(J5&lt;&gt;0,ROUND(J25*(1-((1+M28)/(1+M26))^M27)/(M26-M28),0),0)</f>
        <v>0</v>
      </c>
      <c r="K26" s="370" t="s">
        <v>1465</v>
      </c>
      <c r="L26" s="347" t="s">
        <v>1466</v>
      </c>
      <c r="M26" s="357">
        <f ca="1">INDIRECT("'数据-取费表'!I"&amp;$G$1)</f>
        <v>5.5E-2</v>
      </c>
    </row>
    <row r="27" spans="1:37" ht="18" customHeight="1">
      <c r="A27" s="1203" t="s">
        <v>1033</v>
      </c>
      <c r="B27" s="347" t="s">
        <v>1467</v>
      </c>
      <c r="C27" s="24">
        <f ca="1">ROUND(F21*F26,4)</f>
        <v>2E-3</v>
      </c>
      <c r="D27" s="369" t="s">
        <v>1468</v>
      </c>
      <c r="E27" s="365"/>
      <c r="F27" s="366"/>
      <c r="G27" s="1853"/>
      <c r="H27" s="349"/>
      <c r="I27" s="350"/>
      <c r="J27" s="351"/>
      <c r="K27" s="378" t="s">
        <v>1469</v>
      </c>
      <c r="L27" s="347" t="s">
        <v>1470</v>
      </c>
      <c r="M27" s="379">
        <f ca="1">INDIRECT("'数据-取费表'!ag"&amp;$G$1)</f>
        <v>0</v>
      </c>
    </row>
    <row r="28" spans="1:37" s="1860" customFormat="1" ht="18" customHeight="1">
      <c r="A28" s="1203"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1950</v>
      </c>
      <c r="D29" s="1344"/>
      <c r="E29" s="1342"/>
      <c r="F29" s="1345"/>
      <c r="G29" s="1856"/>
      <c r="H29" s="380" t="s">
        <v>1030</v>
      </c>
      <c r="I29" s="381" t="s">
        <v>1475</v>
      </c>
      <c r="J29" s="382">
        <f ca="1">ROUND(J26/(1+F40)^F41,0)</f>
        <v>0</v>
      </c>
      <c r="K29" s="383" t="s">
        <v>1476</v>
      </c>
      <c r="L29" s="384"/>
      <c r="M29" s="385">
        <f ca="1">INDIRECT("'数据-取费表'!k"&amp;$G$1)</f>
        <v>2377.56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92</v>
      </c>
      <c r="D30" s="1339" t="s">
        <v>1421</v>
      </c>
      <c r="E30" s="2950"/>
      <c r="F30" s="1296"/>
      <c r="G30" s="1853"/>
      <c r="H30" s="745"/>
      <c r="I30" s="746"/>
      <c r="J30" s="747"/>
      <c r="K30" s="748"/>
      <c r="L30" s="749"/>
      <c r="M30" s="750"/>
    </row>
    <row r="31" spans="1:37" ht="18" customHeight="1">
      <c r="A31" s="1203" t="s">
        <v>1032</v>
      </c>
      <c r="B31" s="347" t="s">
        <v>1425</v>
      </c>
      <c r="C31" s="24">
        <f ca="1">ROUND(IF(项目基本情况!B11="自然人",C5*F31,C32+C33+C34),1)</f>
        <v>56.5</v>
      </c>
      <c r="D31" s="2948" t="s">
        <v>1426</v>
      </c>
      <c r="E31" s="2946"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1031</v>
      </c>
      <c r="B32" s="347" t="s">
        <v>1429</v>
      </c>
      <c r="C32" s="24">
        <f ca="1">IF(项目基本情况!B11="自然人","——",ROUND(C5*F32/(1+'数据-取费表'!C42),2))</f>
        <v>17.329999999999998</v>
      </c>
      <c r="D32" s="2946" t="s">
        <v>1430</v>
      </c>
      <c r="E32" s="347" t="s">
        <v>1418</v>
      </c>
      <c r="F32" s="377">
        <f>'数据-取费表'!B41</f>
        <v>5.6000000000000001E-2</v>
      </c>
      <c r="G32" s="1853"/>
      <c r="H32" s="745"/>
      <c r="I32" s="746"/>
      <c r="J32" s="747"/>
      <c r="K32" s="748"/>
      <c r="L32" s="749"/>
      <c r="M32" s="750"/>
    </row>
    <row r="33" spans="1:18" ht="18" customHeight="1">
      <c r="A33" s="1203" t="s">
        <v>1033</v>
      </c>
      <c r="B33" s="347" t="s">
        <v>1433</v>
      </c>
      <c r="C33" s="24">
        <f ca="1">IF(项目基本情况!B11="自然人","——",IF(D33="按租金收入计税",ROUND(C5*F33,2),IF(D33="按房产原值计税",ROUND(C29*F33*0.7,2),INDIRECT("'数据-取费表'!Aj"&amp;$G$1))))</f>
        <v>39</v>
      </c>
      <c r="D33" s="1830" t="s">
        <v>3086</v>
      </c>
      <c r="E33" s="347" t="s">
        <v>1418</v>
      </c>
      <c r="F33" s="367">
        <f>IF(D33="按票据","——",IF(D33="按租金收入计税",'数据-取费表'!B51,'数据-取费表'!B50))</f>
        <v>0.12</v>
      </c>
      <c r="G33" s="1853"/>
      <c r="H33" s="1861"/>
      <c r="I33" s="1862"/>
      <c r="J33" s="1863"/>
      <c r="K33" s="1864"/>
      <c r="L33" s="1861"/>
      <c r="M33" s="1861"/>
    </row>
    <row r="34" spans="1:18" ht="18" customHeight="1">
      <c r="A34" s="1293" t="s">
        <v>1385</v>
      </c>
      <c r="B34" s="164" t="s">
        <v>1437</v>
      </c>
      <c r="C34" s="25">
        <f ca="1">IF(项目基本情况!B11="自然人","——",ROUND(F34*F35/10000,2))</f>
        <v>0.13</v>
      </c>
      <c r="D34" s="370" t="s">
        <v>1438</v>
      </c>
      <c r="E34" s="347" t="s">
        <v>1439</v>
      </c>
      <c r="F34" s="371">
        <f>'数据-取费表'!B52</f>
        <v>3</v>
      </c>
      <c r="G34" s="1853"/>
      <c r="H34" s="745"/>
      <c r="I34" s="1862"/>
      <c r="J34" s="1863"/>
      <c r="K34" s="1865"/>
      <c r="L34" s="1866"/>
      <c r="M34" s="1866"/>
    </row>
    <row r="35" spans="1:18" ht="18" customHeight="1">
      <c r="A35" s="1355"/>
      <c r="B35" s="1353"/>
      <c r="C35" s="29"/>
      <c r="D35" s="373"/>
      <c r="E35" s="347" t="s">
        <v>1443</v>
      </c>
      <c r="F35" s="348">
        <f ca="1">INDIRECT("'数据-取费表'!r"&amp;$G$1)</f>
        <v>426.98</v>
      </c>
      <c r="G35" s="1853"/>
      <c r="H35" s="745"/>
      <c r="I35" s="1862"/>
      <c r="J35" s="1863"/>
      <c r="K35" s="1864"/>
      <c r="L35" s="1861"/>
      <c r="M35" s="1861"/>
    </row>
    <row r="36" spans="1:18" ht="18" customHeight="1">
      <c r="A36" s="1354" t="s">
        <v>1036</v>
      </c>
      <c r="B36" s="347" t="s">
        <v>1445</v>
      </c>
      <c r="C36" s="24">
        <f ca="1">ROUND(C29*F36,1)</f>
        <v>29.3</v>
      </c>
      <c r="D36" s="2946" t="s">
        <v>1478</v>
      </c>
      <c r="E36" s="347" t="s">
        <v>1418</v>
      </c>
      <c r="F36" s="374">
        <f ca="1">INDIRECT("'数据-取费表'!Ak"&amp;$G$1)</f>
        <v>1.4999999999999999E-2</v>
      </c>
      <c r="G36" s="1853"/>
      <c r="H36" s="1861"/>
      <c r="I36" s="1862"/>
      <c r="J36" s="1863"/>
      <c r="K36" s="751"/>
      <c r="L36" s="1861"/>
      <c r="M36" s="1861"/>
    </row>
    <row r="37" spans="1:18" ht="18" customHeight="1">
      <c r="A37" s="1203" t="s">
        <v>1072</v>
      </c>
      <c r="B37" s="347" t="s">
        <v>1449</v>
      </c>
      <c r="C37" s="24">
        <f ca="1">ROUND(C13*F37,1)</f>
        <v>2.9</v>
      </c>
      <c r="D37" s="2946" t="s">
        <v>1450</v>
      </c>
      <c r="E37" s="347" t="s">
        <v>1418</v>
      </c>
      <c r="F37" s="376">
        <f ca="1">INDIRECT("'数据-取费表'!Al"&amp;$G$1)</f>
        <v>1.5E-3</v>
      </c>
      <c r="G37" s="1853"/>
      <c r="H37" s="1861"/>
      <c r="I37" s="1862"/>
      <c r="J37" s="1863"/>
      <c r="K37" s="751"/>
      <c r="L37" s="1861"/>
      <c r="M37" s="1861"/>
    </row>
    <row r="38" spans="1:18" ht="18" customHeight="1" thickBot="1">
      <c r="A38" s="1341" t="s">
        <v>1389</v>
      </c>
      <c r="B38" s="1342" t="s">
        <v>1435</v>
      </c>
      <c r="C38" s="1343">
        <f ca="1">ROUND(C5*F38,1)</f>
        <v>3.3</v>
      </c>
      <c r="D38" s="1344" t="s">
        <v>1455</v>
      </c>
      <c r="E38" s="1342" t="s">
        <v>1418</v>
      </c>
      <c r="F38" s="1338">
        <f ca="1">INDIRECT("'数据-取费表'!Am"&amp;$G$1)</f>
        <v>0.01</v>
      </c>
      <c r="G38" s="1853"/>
      <c r="H38" s="1861"/>
      <c r="I38" s="1862"/>
      <c r="J38" s="1863"/>
      <c r="K38" s="1867"/>
      <c r="L38" s="1861"/>
      <c r="M38" s="1861"/>
    </row>
    <row r="39" spans="1:18" ht="24.6" customHeight="1" thickTop="1">
      <c r="A39" s="1331" t="s">
        <v>1028</v>
      </c>
      <c r="B39" s="1346" t="s">
        <v>1459</v>
      </c>
      <c r="C39" s="355">
        <f ca="1">C5-C30</f>
        <v>233</v>
      </c>
      <c r="D39" s="1347" t="s">
        <v>1460</v>
      </c>
      <c r="E39" s="1348"/>
      <c r="F39" s="1349"/>
      <c r="G39" s="1853"/>
      <c r="H39" s="1861"/>
      <c r="I39" s="1862"/>
      <c r="J39" s="1863"/>
      <c r="K39" s="1867"/>
      <c r="L39" s="1861"/>
      <c r="M39" s="1861"/>
    </row>
    <row r="40" spans="1:18" ht="18" customHeight="1">
      <c r="A40" s="344" t="s">
        <v>1029</v>
      </c>
      <c r="B40" s="345" t="s">
        <v>1481</v>
      </c>
      <c r="C40" s="346">
        <f ca="1">ROUND(C39*(1-((1+F42)/(1+F40))^F41)/(F40-F42),0)</f>
        <v>5518</v>
      </c>
      <c r="D40" s="370" t="s">
        <v>1465</v>
      </c>
      <c r="E40" s="347" t="s">
        <v>1466</v>
      </c>
      <c r="F40" s="357">
        <f ca="1">INDIRECT("'数据-取费表'!I"&amp;$G$1)</f>
        <v>5.5E-2</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37.39</v>
      </c>
      <c r="G41" s="1853"/>
      <c r="H41" s="732"/>
      <c r="I41" s="1862"/>
      <c r="J41" s="1863"/>
      <c r="K41" s="751"/>
      <c r="L41" s="732"/>
      <c r="M41" s="732"/>
    </row>
    <row r="42" spans="1:18" ht="18" customHeight="1">
      <c r="A42" s="353"/>
      <c r="B42" s="354"/>
      <c r="C42" s="355"/>
      <c r="D42" s="373"/>
      <c r="E42" s="347" t="s">
        <v>1473</v>
      </c>
      <c r="F42" s="357">
        <f ca="1">INDIRECT("'数据-取费表'!v"&amp;$G$1)</f>
        <v>0.03</v>
      </c>
      <c r="G42" s="1853"/>
      <c r="H42" s="732"/>
      <c r="I42" s="1862"/>
      <c r="J42" s="1863"/>
      <c r="K42" s="751"/>
      <c r="L42" s="732"/>
      <c r="M42" s="732"/>
    </row>
    <row r="43" spans="1:18" ht="18" customHeight="1" thickBot="1">
      <c r="A43" s="380" t="s">
        <v>1030</v>
      </c>
      <c r="B43" s="381" t="s">
        <v>1483</v>
      </c>
      <c r="C43" s="382">
        <f ca="1">ROUND(C40*10000/F43,0)</f>
        <v>23209</v>
      </c>
      <c r="D43" s="383" t="s">
        <v>1484</v>
      </c>
      <c r="E43" s="384" t="s">
        <v>1485</v>
      </c>
      <c r="F43" s="385">
        <f ca="1">INDIRECT("'数据-取费表'!k"&amp;$G$1)</f>
        <v>2377.56</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f ca="1">C68-C40</f>
        <v>-8600</v>
      </c>
      <c r="D46" s="1874" t="str">
        <f>C2</f>
        <v>万元</v>
      </c>
      <c r="E46" s="1868"/>
      <c r="F46" s="1868"/>
      <c r="I46" s="1875" t="s">
        <v>1517</v>
      </c>
      <c r="J46" s="1876"/>
      <c r="K46" s="1877"/>
      <c r="L46" s="1878">
        <f ca="1">IF(M47="住宅",0,IF(L48&gt;J51,L60,J60))</f>
        <v>31</v>
      </c>
      <c r="O46" s="1879" t="s">
        <v>1518</v>
      </c>
      <c r="P46" s="1880" t="s">
        <v>1519</v>
      </c>
      <c r="Q46" s="1881" t="s">
        <v>1520</v>
      </c>
      <c r="R46" s="1881" t="s">
        <v>1521</v>
      </c>
    </row>
    <row r="47" spans="1:18" s="1844" customFormat="1" ht="13.5" thickBot="1">
      <c r="A47" s="1167" t="s">
        <v>1392</v>
      </c>
      <c r="B47" s="1199" t="s">
        <v>1393</v>
      </c>
      <c r="C47" s="1369" t="s">
        <v>1394</v>
      </c>
      <c r="D47" s="1199" t="s">
        <v>1395</v>
      </c>
      <c r="E47" s="1281" t="s">
        <v>1396</v>
      </c>
      <c r="F47" s="1282"/>
      <c r="G47" s="792"/>
      <c r="I47" s="1882" t="s">
        <v>1522</v>
      </c>
      <c r="J47" s="1883" t="s">
        <v>3087</v>
      </c>
      <c r="K47" s="1884" t="s">
        <v>1523</v>
      </c>
      <c r="L47" s="1885">
        <f ca="1">INDIRECT("'数据-取费表'!d"&amp;$G$1)</f>
        <v>40</v>
      </c>
      <c r="M47" s="1840" t="str">
        <f>IF(ISNUMBER(FIND("住宅",C1)),"住宅","非住宅")</f>
        <v>非住宅</v>
      </c>
      <c r="O47" s="1886" t="s">
        <v>1037</v>
      </c>
      <c r="P47" s="1887" t="s">
        <v>1524</v>
      </c>
      <c r="Q47" s="1888">
        <f ca="1">C40+J29</f>
        <v>5518</v>
      </c>
      <c r="R47" s="1888" t="s">
        <v>1525</v>
      </c>
    </row>
    <row r="48" spans="1:18" s="1844" customFormat="1" ht="28.5" thickBot="1">
      <c r="A48" s="1362" t="s">
        <v>1132</v>
      </c>
      <c r="B48" s="345" t="s">
        <v>1397</v>
      </c>
      <c r="C48" s="2957">
        <f ca="1">C49+C53+C55</f>
        <v>0</v>
      </c>
      <c r="D48" s="1364"/>
      <c r="E48" s="1365"/>
      <c r="F48" s="1183"/>
      <c r="G48" s="792"/>
      <c r="H48" s="793"/>
      <c r="I48" s="1889" t="s">
        <v>1526</v>
      </c>
      <c r="J48" s="1890" t="s">
        <v>3088</v>
      </c>
      <c r="K48" s="1891" t="s">
        <v>1527</v>
      </c>
      <c r="L48" s="1892">
        <f ca="1">INDIRECT("'数据-取费表'!f"&amp;$G$1)</f>
        <v>37.39</v>
      </c>
      <c r="O48" s="1886" t="s">
        <v>1038</v>
      </c>
      <c r="P48" s="1887" t="s">
        <v>1528</v>
      </c>
      <c r="Q48" s="1888">
        <f ca="1">J60</f>
        <v>31</v>
      </c>
      <c r="R48" s="1888" t="s">
        <v>1529</v>
      </c>
    </row>
    <row r="49" spans="1:18" s="1844" customFormat="1" ht="13.5" thickBot="1">
      <c r="A49" s="1196" t="s">
        <v>1133</v>
      </c>
      <c r="B49" s="1831" t="s">
        <v>1486</v>
      </c>
      <c r="C49" s="1366">
        <f ca="1">ROUND(F49*F51*F50*(1-F52)/10000,0)</f>
        <v>0</v>
      </c>
      <c r="D49" s="1278" t="s">
        <v>3027</v>
      </c>
      <c r="E49" s="1832" t="s">
        <v>1487</v>
      </c>
      <c r="F49" s="1283"/>
      <c r="G49" s="1893"/>
      <c r="H49" s="793"/>
      <c r="I49" s="1889" t="s">
        <v>1530</v>
      </c>
      <c r="J49" s="1894">
        <v>2019</v>
      </c>
      <c r="K49" s="1891" t="s">
        <v>1531</v>
      </c>
      <c r="L49" s="1895"/>
      <c r="O49" s="1896" t="s">
        <v>1039</v>
      </c>
      <c r="P49" s="1887" t="s">
        <v>1532</v>
      </c>
      <c r="Q49" s="1888">
        <f ca="1">C29</f>
        <v>1950</v>
      </c>
      <c r="R49" s="1888" t="s">
        <v>1525</v>
      </c>
    </row>
    <row r="50" spans="1:18" s="1844" customFormat="1" ht="13.5" thickBot="1">
      <c r="A50" s="1197"/>
      <c r="B50" s="1200"/>
      <c r="C50" s="1370"/>
      <c r="D50" s="1174"/>
      <c r="E50" s="1279" t="s">
        <v>1402</v>
      </c>
      <c r="F50" s="1280">
        <f ca="1">F7</f>
        <v>2377.56</v>
      </c>
      <c r="H50" s="793"/>
      <c r="I50" s="1889" t="s">
        <v>1533</v>
      </c>
      <c r="J50" s="1897">
        <f>SUMPRODUCT((I63:I65=J47)*(J62:L62=J48)*(J63:L65))</f>
        <v>60</v>
      </c>
      <c r="K50" s="1891" t="s">
        <v>1534</v>
      </c>
      <c r="L50" s="1895"/>
      <c r="M50" s="1898"/>
      <c r="O50" s="1896" t="s">
        <v>1040</v>
      </c>
      <c r="P50" s="1887" t="s">
        <v>1535</v>
      </c>
      <c r="Q50" s="1899">
        <f ca="1">J58</f>
        <v>0.4</v>
      </c>
      <c r="R50" s="1888"/>
    </row>
    <row r="51" spans="1:18" s="1844" customFormat="1" ht="13.5" thickBot="1">
      <c r="A51" s="1198"/>
      <c r="B51" s="1200"/>
      <c r="C51" s="1201"/>
      <c r="D51" s="1174"/>
      <c r="E51" s="1202" t="s">
        <v>1403</v>
      </c>
      <c r="F51" s="348">
        <f ca="1">F8</f>
        <v>12</v>
      </c>
      <c r="I51" s="1900" t="s">
        <v>1536</v>
      </c>
      <c r="J51" s="1901">
        <f>IF(J49="",J50,J49+J50-YEAR('数据-取费表'!B2))</f>
        <v>60</v>
      </c>
      <c r="K51" s="1902" t="s">
        <v>1537</v>
      </c>
      <c r="L51" s="1903">
        <f ca="1">ROUND(-PV(INDIRECT("'数据-取费表'!h"&amp;$G$1),L48,(C39-C13*C76),0),0)</f>
        <v>1128</v>
      </c>
      <c r="M51" s="1904"/>
      <c r="O51" s="1896" t="s">
        <v>1041</v>
      </c>
      <c r="P51" s="1887" t="s">
        <v>1538</v>
      </c>
      <c r="Q51" s="1899">
        <f>J52</f>
        <v>0.09</v>
      </c>
      <c r="R51" s="1888"/>
    </row>
    <row r="52" spans="1:18" s="1844" customFormat="1" ht="13.5" thickBot="1">
      <c r="A52" s="1198"/>
      <c r="B52" s="1200"/>
      <c r="C52" s="1201"/>
      <c r="D52" s="1174"/>
      <c r="E52" s="1202" t="s">
        <v>1404</v>
      </c>
      <c r="F52" s="1277"/>
      <c r="I52" s="1905" t="s">
        <v>1539</v>
      </c>
      <c r="J52" s="1906">
        <v>0.09</v>
      </c>
      <c r="K52" s="1905" t="s">
        <v>1540</v>
      </c>
      <c r="L52" s="1906"/>
      <c r="O52" s="1896" t="s">
        <v>1042</v>
      </c>
      <c r="P52" s="1887" t="s">
        <v>1541</v>
      </c>
      <c r="Q52" s="1888">
        <f ca="1">J53</f>
        <v>37.39</v>
      </c>
      <c r="R52" s="1888" t="s">
        <v>1542</v>
      </c>
    </row>
    <row r="53" spans="1:18" s="1844" customFormat="1" ht="24.75" thickBot="1">
      <c r="A53" s="1407" t="s">
        <v>1134</v>
      </c>
      <c r="B53" s="1833" t="s">
        <v>1405</v>
      </c>
      <c r="C53" s="361">
        <f ca="1">ROUND(IF(F53="押一",C49/12*F11,IF(F53="押二",C49/12*2*F11,IF(F53="押三",C49/12*3*F11,C54*F11))),0)</f>
        <v>0</v>
      </c>
      <c r="D53" s="1826" t="s">
        <v>3036</v>
      </c>
      <c r="E53" s="358"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37.39</v>
      </c>
      <c r="K53" s="3357" t="s">
        <v>1544</v>
      </c>
      <c r="L53" s="3358"/>
      <c r="O53" s="1886" t="s">
        <v>1043</v>
      </c>
      <c r="P53" s="1887" t="s">
        <v>1545</v>
      </c>
      <c r="Q53" s="1888">
        <f ca="1">Q47+Q48</f>
        <v>5549</v>
      </c>
      <c r="R53" s="1888" t="s">
        <v>1044</v>
      </c>
    </row>
    <row r="54" spans="1:18" s="1844" customFormat="1" ht="13.5" thickBot="1">
      <c r="A54" s="1408"/>
      <c r="B54" s="1827" t="s">
        <v>1384</v>
      </c>
      <c r="C54" s="1180"/>
      <c r="D54" s="1826"/>
      <c r="E54" s="2953"/>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5" t="s">
        <v>1072</v>
      </c>
      <c r="B55" s="1829" t="s">
        <v>1409</v>
      </c>
      <c r="C55" s="1336"/>
      <c r="D55" s="1826"/>
      <c r="E55" s="2953"/>
      <c r="F55" s="1909"/>
      <c r="I55" s="1912" t="s">
        <v>1547</v>
      </c>
      <c r="J55" s="1913">
        <f ca="1">ROUND(IF(J47="钢混",J57/J50,1-(1-2%)*(J50-J57)/J50),3)</f>
        <v>0.377</v>
      </c>
      <c r="K55" s="1914" t="s">
        <v>1548</v>
      </c>
      <c r="L55" s="1915" t="s">
        <v>1549</v>
      </c>
      <c r="O55" s="1879" t="s">
        <v>1518</v>
      </c>
      <c r="P55" s="1880" t="s">
        <v>1519</v>
      </c>
      <c r="Q55" s="1881" t="s">
        <v>1520</v>
      </c>
      <c r="R55" s="1881" t="s">
        <v>1521</v>
      </c>
    </row>
    <row r="56" spans="1:18" s="1844" customFormat="1" ht="25.5" thickTop="1" thickBot="1">
      <c r="A56" s="1178">
        <v>2</v>
      </c>
      <c r="B56" s="1179" t="s">
        <v>1410</v>
      </c>
      <c r="C56" s="276">
        <f ca="1">C13</f>
        <v>1950</v>
      </c>
      <c r="D56" s="1916"/>
      <c r="E56" s="1917"/>
      <c r="F56" s="1909"/>
      <c r="I56" s="1918" t="s">
        <v>1550</v>
      </c>
      <c r="J56" s="1919" t="s">
        <v>3085</v>
      </c>
      <c r="K56" s="1889" t="s">
        <v>1551</v>
      </c>
      <c r="L56" s="1892" t="str">
        <f ca="1">IF(L48&lt;J51,"——",L48-J53)</f>
        <v>——</v>
      </c>
      <c r="O56" s="1886" t="s">
        <v>1037</v>
      </c>
      <c r="P56" s="1887" t="s">
        <v>1524</v>
      </c>
      <c r="Q56" s="1888">
        <f ca="1">C40+J29</f>
        <v>5518</v>
      </c>
      <c r="R56" s="1888" t="s">
        <v>1525</v>
      </c>
    </row>
    <row r="57" spans="1:18" s="1844" customFormat="1" ht="24.75" thickBot="1">
      <c r="A57" s="1920"/>
      <c r="B57" s="1171" t="s">
        <v>1474</v>
      </c>
      <c r="C57" s="282">
        <f ca="1">C29</f>
        <v>1950</v>
      </c>
      <c r="D57" s="1921"/>
      <c r="E57" s="1922"/>
      <c r="F57" s="1923"/>
      <c r="I57" s="1924" t="s">
        <v>1552</v>
      </c>
      <c r="J57" s="1925">
        <f ca="1">IF(OR(M47="住宅",J51&lt;L48,J56="是"),"——",J51-L48)</f>
        <v>22.61</v>
      </c>
      <c r="K57" s="1889" t="s">
        <v>1553</v>
      </c>
      <c r="L57" s="1892" t="str">
        <f ca="1">IF(L48&lt;J51,"——",IF(L55="比较法",L49,IF(L55="基准地价",L50,L51)))</f>
        <v>——</v>
      </c>
      <c r="O57" s="1886" t="s">
        <v>1038</v>
      </c>
      <c r="P57" s="1887" t="s">
        <v>1554</v>
      </c>
      <c r="Q57" s="1888">
        <f ca="1">L60</f>
        <v>0</v>
      </c>
      <c r="R57" s="1888" t="s">
        <v>1555</v>
      </c>
    </row>
    <row r="58" spans="1:18" s="1844" customFormat="1" ht="24.75" thickBot="1">
      <c r="A58" s="360" t="s">
        <v>1027</v>
      </c>
      <c r="B58" s="1179" t="s">
        <v>1420</v>
      </c>
      <c r="C58" s="361">
        <f ca="1">ROUND(C59+C64+C65+C66,0)</f>
        <v>196</v>
      </c>
      <c r="D58" s="1181" t="s">
        <v>1421</v>
      </c>
      <c r="E58" s="1182"/>
      <c r="F58" s="1183"/>
      <c r="I58" s="1924" t="s">
        <v>1556</v>
      </c>
      <c r="J58" s="1926">
        <f ca="1">IF(J55&lt;0.4,0.4,J55)</f>
        <v>0.4</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4">
        <f ca="1">ROUND(IF(项目基本情况!B11="自然人",C48*F59,C60+C61+C62),1)</f>
        <v>163.9</v>
      </c>
      <c r="D59" s="1184" t="s">
        <v>1426</v>
      </c>
      <c r="E59" s="1185" t="s">
        <v>1427</v>
      </c>
      <c r="F59" s="368" t="str">
        <f ca="1">IF(项目基本情况!B11="企业","",IF(INDIRECT("'数据-取费表'!c"&amp;$G$1)="住宅",5%,IF(F49*F50*F51/12/(1+'数据-取费表'!C42)&gt;20000,12%,7%)))</f>
        <v/>
      </c>
      <c r="I59" s="1924" t="s">
        <v>1559</v>
      </c>
      <c r="J59" s="1925">
        <f ca="1">IF(OR(M47="住宅",J51&lt;L48,J56="是"),"——",ROUND(C29*J58,0))</f>
        <v>780</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4">
        <f ca="1">IF(项目基本情况!B11="自然人","——",ROUND(C48*F60/(1+'数据-取费表'!C42),2))</f>
        <v>0</v>
      </c>
      <c r="D60" s="1185" t="s">
        <v>1430</v>
      </c>
      <c r="E60" s="1171" t="s">
        <v>1418</v>
      </c>
      <c r="F60" s="377">
        <f t="shared" ref="F60:F66" si="0">F32</f>
        <v>5.6000000000000001E-2</v>
      </c>
      <c r="I60" s="1927" t="s">
        <v>1561</v>
      </c>
      <c r="J60" s="1928">
        <f ca="1">IF(OR(M47="住宅",J51&lt;L48,J56="是"),"0",ROUND(J59/(1+J52)^J53,0))</f>
        <v>31</v>
      </c>
      <c r="K60" s="1929" t="s">
        <v>1562</v>
      </c>
      <c r="L60" s="1928">
        <f ca="1">IF(OR(M47="住宅",L48&lt;J51),0,ROUND(L57*(L58/L59-1),0))</f>
        <v>0</v>
      </c>
      <c r="O60" s="1896" t="s">
        <v>1041</v>
      </c>
      <c r="P60" s="1887" t="s">
        <v>1563</v>
      </c>
      <c r="Q60" s="1888" t="e">
        <f ca="1">L58</f>
        <v>#DIV/0!</v>
      </c>
      <c r="R60" s="1888" t="s">
        <v>1564</v>
      </c>
    </row>
    <row r="61" spans="1:18" s="1844" customFormat="1" ht="13.5" thickBot="1">
      <c r="A61" s="1203" t="s">
        <v>1488</v>
      </c>
      <c r="B61" s="1171" t="s">
        <v>1433</v>
      </c>
      <c r="C61" s="24">
        <f ca="1">IF(项目基本情况!B11="自然人","——",IF(D61="按租金收入计税",ROUND(C48*F61,2),IF(D61="按房产原值计税",ROUND(C57*F61*0.7,2),INDIRECT("'数据-取费表'!Aj"&amp;$G$1))))</f>
        <v>163.80000000000001</v>
      </c>
      <c r="D61" s="1830" t="s">
        <v>1434</v>
      </c>
      <c r="E61" s="1171" t="s">
        <v>1490</v>
      </c>
      <c r="F61" s="367">
        <f t="shared" si="0"/>
        <v>0.12</v>
      </c>
      <c r="I61" s="1930"/>
      <c r="J61" s="1930"/>
      <c r="K61" s="1930"/>
      <c r="L61" s="1930"/>
      <c r="O61" s="1896" t="s">
        <v>1042</v>
      </c>
      <c r="P61" s="1887" t="str">
        <f>K59</f>
        <v>建筑物剩余耐用年限下的土地年期修正系数Kn</v>
      </c>
      <c r="Q61" s="1888" t="e">
        <f ca="1">L59</f>
        <v>#DIV/0!</v>
      </c>
      <c r="R61" s="1888" t="s">
        <v>1565</v>
      </c>
    </row>
    <row r="62" spans="1:18" s="1844" customFormat="1" ht="13.5" thickBot="1">
      <c r="A62" s="1203" t="s">
        <v>1491</v>
      </c>
      <c r="B62" s="1170" t="s">
        <v>1437</v>
      </c>
      <c r="C62" s="25">
        <f ca="1">IF(项目基本情况!B11="自然人","——",ROUND(F62*F63/10000,2))</f>
        <v>0.13</v>
      </c>
      <c r="D62" s="1186" t="s">
        <v>1493</v>
      </c>
      <c r="E62" s="1171" t="s">
        <v>1494</v>
      </c>
      <c r="F62" s="371">
        <f t="shared" si="0"/>
        <v>3</v>
      </c>
      <c r="I62" s="1931" t="s">
        <v>1566</v>
      </c>
      <c r="J62" s="1932" t="s">
        <v>1567</v>
      </c>
      <c r="K62" s="1932" t="s">
        <v>1568</v>
      </c>
      <c r="L62" s="1932" t="s">
        <v>1569</v>
      </c>
      <c r="M62" s="1933" t="s">
        <v>1570</v>
      </c>
      <c r="O62" s="1886" t="s">
        <v>1043</v>
      </c>
      <c r="P62" s="1887" t="s">
        <v>1545</v>
      </c>
      <c r="Q62" s="1888">
        <f ca="1">Q56+Q57</f>
        <v>5518</v>
      </c>
      <c r="R62" s="1888" t="s">
        <v>1044</v>
      </c>
    </row>
    <row r="63" spans="1:18" s="1844" customFormat="1" ht="13.5" thickBot="1">
      <c r="A63" s="372"/>
      <c r="B63" s="1177"/>
      <c r="C63" s="29"/>
      <c r="D63" s="1187"/>
      <c r="E63" s="1171" t="s">
        <v>1443</v>
      </c>
      <c r="F63" s="348">
        <f t="shared" ca="1" si="0"/>
        <v>426.98</v>
      </c>
      <c r="I63" s="1931" t="s">
        <v>1572</v>
      </c>
      <c r="J63" s="1932">
        <v>70</v>
      </c>
      <c r="K63" s="1932">
        <v>50</v>
      </c>
      <c r="L63" s="1932">
        <v>80</v>
      </c>
      <c r="M63" s="1934">
        <v>0.02</v>
      </c>
      <c r="O63" s="1871" t="s">
        <v>1573</v>
      </c>
      <c r="P63" s="1841"/>
      <c r="Q63" s="1841"/>
      <c r="R63" s="1841"/>
    </row>
    <row r="64" spans="1:18" s="1844" customFormat="1" ht="13.5" thickBot="1">
      <c r="A64" s="1203" t="s">
        <v>1036</v>
      </c>
      <c r="B64" s="1171" t="s">
        <v>1445</v>
      </c>
      <c r="C64" s="24">
        <f ca="1">ROUND(C57*F64,1)</f>
        <v>29.3</v>
      </c>
      <c r="D64" s="1185" t="s">
        <v>1498</v>
      </c>
      <c r="E64" s="1171" t="s">
        <v>1490</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4">
        <f ca="1">ROUND(C56*F65,1)</f>
        <v>2.9</v>
      </c>
      <c r="D65" s="1185" t="s">
        <v>1450</v>
      </c>
      <c r="E65" s="1171" t="s">
        <v>1418</v>
      </c>
      <c r="F65" s="376">
        <f t="shared" ca="1" si="0"/>
        <v>1.5E-3</v>
      </c>
      <c r="I65" s="1931" t="s">
        <v>1575</v>
      </c>
      <c r="J65" s="1932">
        <v>40</v>
      </c>
      <c r="K65" s="1932">
        <v>30</v>
      </c>
      <c r="L65" s="1932">
        <v>50</v>
      </c>
      <c r="M65" s="1934">
        <v>0.02</v>
      </c>
      <c r="O65" s="1886" t="s">
        <v>1037</v>
      </c>
      <c r="P65" s="1887" t="s">
        <v>1524</v>
      </c>
      <c r="Q65" s="1888">
        <f ca="1">C40+J29</f>
        <v>5518</v>
      </c>
      <c r="R65" s="1888" t="s">
        <v>1525</v>
      </c>
    </row>
    <row r="66" spans="1:18" s="1844" customFormat="1" ht="16.5" thickBot="1">
      <c r="A66" s="1203" t="s">
        <v>1500</v>
      </c>
      <c r="B66" s="1171" t="s">
        <v>1435</v>
      </c>
      <c r="C66" s="24">
        <f ca="1">ROUND(C48*F66,1)</f>
        <v>0</v>
      </c>
      <c r="D66" s="1185" t="s">
        <v>1501</v>
      </c>
      <c r="E66" s="1171" t="s">
        <v>1418</v>
      </c>
      <c r="F66" s="357">
        <f t="shared" ca="1" si="0"/>
        <v>0.01</v>
      </c>
      <c r="O66" s="1886" t="s">
        <v>1038</v>
      </c>
      <c r="P66" s="1887" t="s">
        <v>1554</v>
      </c>
      <c r="Q66" s="1888">
        <f ca="1">L60</f>
        <v>0</v>
      </c>
      <c r="R66" s="1888" t="s">
        <v>1577</v>
      </c>
    </row>
    <row r="67" spans="1:18" s="1844" customFormat="1" ht="16.5" thickBot="1">
      <c r="A67" s="1178" t="s">
        <v>1028</v>
      </c>
      <c r="B67" s="1188" t="s">
        <v>1459</v>
      </c>
      <c r="C67" s="361">
        <f ca="1">C48-C58</f>
        <v>-196</v>
      </c>
      <c r="D67" s="1184" t="s">
        <v>1460</v>
      </c>
      <c r="E67" s="1189"/>
      <c r="F67" s="1190"/>
      <c r="O67" s="1896" t="s">
        <v>1039</v>
      </c>
      <c r="P67" s="1887" t="s">
        <v>1558</v>
      </c>
      <c r="Q67" s="1935">
        <f ca="1">L51</f>
        <v>1128</v>
      </c>
      <c r="R67" s="1888" t="s">
        <v>1578</v>
      </c>
    </row>
    <row r="68" spans="1:18" s="1844" customFormat="1" ht="16.5" thickBot="1">
      <c r="A68" s="1168" t="s">
        <v>1029</v>
      </c>
      <c r="B68" s="1169" t="s">
        <v>1481</v>
      </c>
      <c r="C68" s="346">
        <f ca="1">ROUND(C67*(1-((1+F70)/(1+F68))^F69)/(F68-F70),0)</f>
        <v>-3082</v>
      </c>
      <c r="D68" s="1186" t="s">
        <v>1465</v>
      </c>
      <c r="E68" s="1171" t="s">
        <v>1466</v>
      </c>
      <c r="F68" s="357">
        <f ca="1">F40</f>
        <v>5.5E-2</v>
      </c>
      <c r="O68" s="1896" t="s">
        <v>1040</v>
      </c>
      <c r="P68" s="1936" t="s">
        <v>1579</v>
      </c>
      <c r="Q68" s="1888">
        <f ca="1">ROUND(Q69-Q70*Q71,0)</f>
        <v>67</v>
      </c>
      <c r="R68" s="1888" t="s">
        <v>1048</v>
      </c>
    </row>
    <row r="69" spans="1:18" s="1844" customFormat="1" ht="13.5" thickBot="1">
      <c r="A69" s="1172"/>
      <c r="B69" s="1173"/>
      <c r="C69" s="351"/>
      <c r="D69" s="1191" t="s">
        <v>1469</v>
      </c>
      <c r="E69" s="1171" t="s">
        <v>1470</v>
      </c>
      <c r="F69" s="379">
        <f ca="1">F41</f>
        <v>37.39</v>
      </c>
      <c r="O69" s="1896" t="s">
        <v>1045</v>
      </c>
      <c r="P69" s="1936" t="s">
        <v>1580</v>
      </c>
      <c r="Q69" s="1888">
        <f ca="1">C39</f>
        <v>233</v>
      </c>
      <c r="R69" s="1888" t="s">
        <v>1525</v>
      </c>
    </row>
    <row r="70" spans="1:18" s="1844" customFormat="1" ht="13.5" thickBot="1">
      <c r="A70" s="1175"/>
      <c r="B70" s="1176"/>
      <c r="C70" s="355"/>
      <c r="D70" s="1187"/>
      <c r="E70" s="1171" t="s">
        <v>1473</v>
      </c>
      <c r="F70" s="1277"/>
      <c r="O70" s="1896" t="s">
        <v>1046</v>
      </c>
      <c r="P70" s="1936" t="s">
        <v>1581</v>
      </c>
      <c r="Q70" s="1888">
        <f ca="1">C13</f>
        <v>1950</v>
      </c>
      <c r="R70" s="1888" t="s">
        <v>1525</v>
      </c>
    </row>
    <row r="71" spans="1:18" s="1844" customFormat="1" ht="13.5" thickBot="1">
      <c r="A71" s="1192" t="s">
        <v>1030</v>
      </c>
      <c r="B71" s="1193" t="s">
        <v>1483</v>
      </c>
      <c r="C71" s="382">
        <f ca="1">ROUND(C68*10000/F71,0)</f>
        <v>-12963</v>
      </c>
      <c r="D71" s="1194" t="s">
        <v>1484</v>
      </c>
      <c r="E71" s="1195" t="s">
        <v>1485</v>
      </c>
      <c r="F71" s="385">
        <f ca="1">F43</f>
        <v>2377.56</v>
      </c>
      <c r="O71" s="1896" t="s">
        <v>1047</v>
      </c>
      <c r="P71" s="1936" t="s">
        <v>1582</v>
      </c>
      <c r="Q71" s="1899">
        <f ca="1">C76</f>
        <v>8.5000000000000006E-2</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建筑物剩余耐用年限下的土地年期修正系数Kn</v>
      </c>
      <c r="Q74" s="1888" t="e">
        <f ca="1">L59</f>
        <v>#DIV/0!</v>
      </c>
      <c r="R74" s="1888" t="s">
        <v>1565</v>
      </c>
    </row>
    <row r="75" spans="1:18" ht="13.5" thickBot="1">
      <c r="A75" s="1844"/>
      <c r="B75" s="386" t="s">
        <v>1502</v>
      </c>
      <c r="C75" s="387">
        <f ca="1">ROUND(C13*C76,0)</f>
        <v>166</v>
      </c>
      <c r="D75" s="1844"/>
      <c r="E75" s="1844"/>
      <c r="F75" s="1844"/>
      <c r="K75" s="1870"/>
      <c r="L75" s="1844"/>
      <c r="O75" s="1886" t="s">
        <v>1043</v>
      </c>
      <c r="P75" s="1887" t="s">
        <v>1545</v>
      </c>
      <c r="Q75" s="1888">
        <f ca="1">Q65+Q66</f>
        <v>5518</v>
      </c>
      <c r="R75" s="1888" t="s">
        <v>1044</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0.28800000000000003</v>
      </c>
    </row>
    <row r="80" spans="1:18">
      <c r="B80" s="386" t="s">
        <v>1507</v>
      </c>
      <c r="C80" s="318">
        <f ca="1">ROUND(C75/C39,3)</f>
        <v>0.71199999999999997</v>
      </c>
    </row>
    <row r="81" spans="2:3">
      <c r="B81" s="314" t="s">
        <v>1508</v>
      </c>
      <c r="C81" s="282"/>
    </row>
    <row r="82" spans="2:3">
      <c r="B82" s="317" t="s">
        <v>1509</v>
      </c>
      <c r="C82" s="319">
        <f ca="1">1-C83</f>
        <v>0.64700000000000002</v>
      </c>
    </row>
    <row r="83" spans="2:3">
      <c r="B83" s="317" t="s">
        <v>1510</v>
      </c>
      <c r="C83" s="318">
        <f ca="1">ROUND(C13/C40,3)</f>
        <v>0.35299999999999998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zoomScalePageLayoutView="90" workbookViewId="0">
      <pane ySplit="24" topLeftCell="A25" activePane="bottomLeft" state="frozen"/>
      <selection activeCell="AB5" sqref="AB5"/>
      <selection pane="bottomLeft" activeCell="AB5" sqref="AB5"/>
    </sheetView>
  </sheetViews>
  <sheetFormatPr defaultColWidth="9" defaultRowHeight="12.75"/>
  <cols>
    <col min="1" max="1" width="11.5" style="139"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3001</v>
      </c>
      <c r="C1" s="3444" t="s">
        <v>3002</v>
      </c>
      <c r="D1" s="3445"/>
      <c r="E1" s="3445"/>
      <c r="F1" s="3445"/>
      <c r="G1" s="3445"/>
      <c r="H1" s="3445"/>
      <c r="I1" s="3445"/>
      <c r="J1" s="3445"/>
      <c r="K1" s="3445"/>
      <c r="L1" s="3445"/>
      <c r="M1" s="3445"/>
      <c r="N1" s="3445"/>
      <c r="O1" s="3445"/>
      <c r="P1" s="3445"/>
      <c r="Q1" s="3445"/>
      <c r="R1" s="3445"/>
      <c r="S1" s="3446"/>
      <c r="T1" s="1206" t="s">
        <v>3003</v>
      </c>
    </row>
    <row r="2" spans="1:45" s="707" customFormat="1">
      <c r="A2" s="1207"/>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3005</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3006</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3007</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3008</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3009</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3010</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3011</v>
      </c>
      <c r="B17" s="2917" t="s">
        <v>3012</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8" t="s">
        <v>3013</v>
      </c>
      <c r="E19" s="1794"/>
      <c r="F19" s="1794"/>
      <c r="G19" s="1794"/>
      <c r="H19" s="1282"/>
      <c r="I19" s="168"/>
      <c r="J19" s="168"/>
      <c r="K19" s="168"/>
      <c r="L19" s="168"/>
      <c r="M19" s="168"/>
      <c r="N19" s="168"/>
      <c r="O19" s="168"/>
      <c r="P19" s="168"/>
      <c r="Q19" s="168"/>
      <c r="R19" s="788"/>
      <c r="S19" s="138"/>
    </row>
    <row r="20" spans="1:45" ht="16.5" thickBot="1">
      <c r="A20" s="715" t="s">
        <v>3014</v>
      </c>
      <c r="B20" s="338" t="e">
        <f ca="1">IF(D20="——",S22,S22-F20)</f>
        <v>#REF!</v>
      </c>
      <c r="C20" s="168"/>
      <c r="D20" s="2919" t="s">
        <v>3015</v>
      </c>
      <c r="E20" s="1795"/>
      <c r="F20" s="1206" t="e">
        <f ca="1">SUMIF(INDIRECT("'"&amp;H20&amp;"'"&amp;"!A:A"),"承租人权益价值",INDIRECT("'"&amp;H20&amp;"'"&amp;"!c:c"))</f>
        <v>#REF!</v>
      </c>
      <c r="G20" s="1206" t="s">
        <v>3016</v>
      </c>
      <c r="H20" s="2920"/>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217" t="s">
        <v>33</v>
      </c>
      <c r="D22" s="3218"/>
      <c r="E22" s="3218"/>
      <c r="F22" s="3218"/>
      <c r="G22" s="3218"/>
      <c r="H22" s="3218"/>
      <c r="I22" s="3218"/>
      <c r="J22" s="3218"/>
      <c r="K22" s="3218"/>
      <c r="L22" s="3218"/>
      <c r="M22" s="3218"/>
      <c r="N22" s="3218"/>
      <c r="O22" s="3218"/>
      <c r="P22" s="3218"/>
      <c r="Q22" s="3443"/>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181294</v>
      </c>
      <c r="C2" s="2" t="s">
        <v>133</v>
      </c>
      <c r="D2" s="243"/>
      <c r="E2" s="243"/>
      <c r="F2" s="243"/>
      <c r="G2" s="243"/>
    </row>
    <row r="3" spans="1:7" s="244" customFormat="1" ht="18" customHeight="1" thickBot="1">
      <c r="A3" s="247" t="s">
        <v>85</v>
      </c>
      <c r="B3" s="248">
        <f ca="1">ROUND(B2*10000/'数据-汇总表'!E3,0)</f>
        <v>13196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1145</v>
      </c>
    </row>
    <row r="9" spans="1:7" s="258" customFormat="1" ht="13.5" customHeight="1">
      <c r="A9" s="952" t="s">
        <v>800</v>
      </c>
      <c r="B9" s="268" t="s">
        <v>93</v>
      </c>
      <c r="C9" s="269">
        <f>ROUND(D9*E9/10000,0)</f>
        <v>2148</v>
      </c>
      <c r="D9" s="1034">
        <f>'数据-汇总表'!E5</f>
        <v>130182.69</v>
      </c>
      <c r="E9" s="269">
        <f>'数据-取费表'!B27</f>
        <v>165</v>
      </c>
      <c r="F9" s="265"/>
      <c r="G9" s="270"/>
    </row>
    <row r="10" spans="1:7" s="258" customFormat="1" ht="13.5" customHeight="1">
      <c r="A10" s="952" t="s">
        <v>801</v>
      </c>
      <c r="B10" s="268" t="s">
        <v>94</v>
      </c>
      <c r="C10" s="269">
        <f>ROUND(D10*E10/10000,0)</f>
        <v>155</v>
      </c>
      <c r="D10" s="1034">
        <f>'数据-汇总表'!E6</f>
        <v>7207.3099999999977</v>
      </c>
      <c r="E10" s="269">
        <f>'数据-取费表'!B28</f>
        <v>215</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1052</v>
      </c>
      <c r="B19" s="254" t="s">
        <v>111</v>
      </c>
      <c r="C19" s="255">
        <f>IF(G19="已包含在土地取得成本中","0",ROUND(D19*E19/10000,0))</f>
        <v>2748</v>
      </c>
      <c r="D19" s="1038">
        <f>'数据-汇总表'!E3</f>
        <v>137390</v>
      </c>
      <c r="E19" s="255">
        <f>'数据-取费表'!B31</f>
        <v>200</v>
      </c>
      <c r="F19" s="275"/>
      <c r="G19" s="1" t="s">
        <v>1071</v>
      </c>
    </row>
    <row r="20" spans="1:7" s="258" customFormat="1" ht="13.5" customHeight="1">
      <c r="A20" s="950" t="s">
        <v>1054</v>
      </c>
      <c r="B20" s="254" t="s">
        <v>104</v>
      </c>
      <c r="C20" s="276">
        <f>ROUND((C5+C19)*F20,0)</f>
        <v>467</v>
      </c>
      <c r="D20" s="276"/>
      <c r="E20" s="276"/>
      <c r="F20" s="277">
        <f>'数据-取费表'!B37</f>
        <v>0.02</v>
      </c>
      <c r="G20" s="1291" t="s">
        <v>1065</v>
      </c>
    </row>
    <row r="21" spans="1:7" s="258" customFormat="1" ht="13.5" customHeight="1">
      <c r="A21" s="950" t="s">
        <v>1056</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2293</v>
      </c>
      <c r="D22" s="279">
        <f ca="1">C26</f>
        <v>1E-3</v>
      </c>
      <c r="E22" s="280" t="s">
        <v>126</v>
      </c>
      <c r="F22" s="281">
        <f ca="1">'数据-取费表'!B40</f>
        <v>4.7500000000000001E-2</v>
      </c>
      <c r="G22" s="1291" t="str">
        <f>IF('数据-取费表'!B22&lt;=1,"单利计息","复利计息")</f>
        <v>复利计息</v>
      </c>
    </row>
    <row r="23" spans="1:7" s="258" customFormat="1" ht="13.5" customHeight="1">
      <c r="A23" s="953" t="s">
        <v>794</v>
      </c>
      <c r="B23" s="259" t="s">
        <v>1058</v>
      </c>
      <c r="C23" s="1357">
        <f ca="1">ROUND(IF('数据-取费表'!B22&lt;=1,C5*F22*'数据-取费表'!B23,C5*(POWER((1+F22),'数据-取费表'!B23)-1)),0)</f>
        <v>2004</v>
      </c>
      <c r="D23" s="282"/>
      <c r="E23" s="282"/>
      <c r="F23" s="283"/>
      <c r="G23" s="284" t="s">
        <v>108</v>
      </c>
    </row>
    <row r="24" spans="1:7" s="258" customFormat="1" ht="13.5" customHeight="1">
      <c r="A24" s="953" t="s">
        <v>792</v>
      </c>
      <c r="B24" s="259" t="s">
        <v>1053</v>
      </c>
      <c r="C24" s="1357">
        <f ca="1">ROUND(IF('数据-取费表'!B22&lt;=1,C19*F22*('数据-取费表'!B19/2+'数据-取费表'!B21),C19*(POWER((1+F22),('数据-取费表'!B19/2+'数据-取费表'!B21))-1)),0)</f>
        <v>267</v>
      </c>
      <c r="D24" s="282"/>
      <c r="E24" s="282"/>
      <c r="F24" s="283"/>
      <c r="G24" s="284" t="s">
        <v>109</v>
      </c>
    </row>
    <row r="25" spans="1:7" s="258" customFormat="1" ht="24">
      <c r="A25" s="953" t="s">
        <v>793</v>
      </c>
      <c r="B25" s="259" t="s">
        <v>1055</v>
      </c>
      <c r="C25" s="1357">
        <f ca="1">ROUND(IF('数据-取费表'!B22&lt;=1,C20*F22*'数据-取费表'!B23/2,C20*(POWER((1+F22),'数据-取费表'!B23/2)-1)),0)</f>
        <v>22</v>
      </c>
      <c r="D25" s="282"/>
      <c r="E25" s="285"/>
      <c r="F25" s="283"/>
      <c r="G25" s="286" t="s">
        <v>110</v>
      </c>
    </row>
    <row r="26" spans="1:7" s="258" customFormat="1">
      <c r="A26" s="953" t="s">
        <v>795</v>
      </c>
      <c r="B26" s="259" t="s">
        <v>1057</v>
      </c>
      <c r="C26" s="282">
        <f ca="1">ROUND(IF('数据-取费表'!B22&lt;=1,F21*F22*'数据-取费表'!B23/2,F21*(POWER((1+F22),'数据-取费表'!B23/2)-1)),4)</f>
        <v>1E-3</v>
      </c>
      <c r="D26" s="282"/>
      <c r="E26" s="285"/>
      <c r="F26" s="283"/>
      <c r="G26" s="287"/>
    </row>
    <row r="27" spans="1:7" s="258" customFormat="1" ht="24.75">
      <c r="A27" s="950" t="s">
        <v>787</v>
      </c>
      <c r="B27" s="288" t="s">
        <v>112</v>
      </c>
      <c r="C27" s="289">
        <f>C28</f>
        <v>2383</v>
      </c>
      <c r="D27" s="279">
        <f>C29</f>
        <v>2E-3</v>
      </c>
      <c r="E27" s="280" t="s">
        <v>126</v>
      </c>
      <c r="F27" s="290">
        <f>'数据-取费表'!Q16</f>
        <v>0.1</v>
      </c>
      <c r="G27" s="291" t="s">
        <v>1066</v>
      </c>
    </row>
    <row r="28" spans="1:7" s="258" customFormat="1" ht="13.5" customHeight="1">
      <c r="A28" s="953" t="s">
        <v>794</v>
      </c>
      <c r="B28" s="292" t="s">
        <v>1059</v>
      </c>
      <c r="C28" s="293">
        <f>ROUND((C5+C19+C20)*F27*'数据-取费表'!B21/'数据-取费表'!B20,0)</f>
        <v>2383</v>
      </c>
      <c r="D28" s="279"/>
      <c r="E28" s="280"/>
      <c r="F28" s="290"/>
      <c r="G28" s="291"/>
    </row>
    <row r="29" spans="1:7" s="258" customFormat="1" ht="13.5" customHeight="1">
      <c r="A29" s="953" t="s">
        <v>792</v>
      </c>
      <c r="B29" s="292" t="s">
        <v>1060</v>
      </c>
      <c r="C29" s="282">
        <f>ROUND(C21*F27*'数据-取费表'!B21/'数据-取费表'!B20,4)</f>
        <v>2E-3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30856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118720</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107988</v>
      </c>
      <c r="D34" s="261"/>
      <c r="E34" s="264"/>
      <c r="F34" s="301">
        <f>IF('数据-取费表'!B24=0,1,'数据-取费表'!N16)</f>
        <v>1</v>
      </c>
      <c r="G34" s="263" t="s">
        <v>116</v>
      </c>
    </row>
    <row r="35" spans="1:7" ht="13.5" customHeight="1">
      <c r="A35" s="953" t="s">
        <v>796</v>
      </c>
      <c r="B35" s="259" t="s">
        <v>60</v>
      </c>
      <c r="C35" s="264">
        <f>ROUND(C34*F35,0)</f>
        <v>3240</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3124</v>
      </c>
      <c r="D36" s="264"/>
      <c r="E36" s="264"/>
      <c r="F36" s="303">
        <f>'数据-取费表'!B34</f>
        <v>0.03</v>
      </c>
      <c r="G36" s="304" t="s">
        <v>62</v>
      </c>
    </row>
    <row r="37" spans="1:7" s="302" customFormat="1" ht="13.5" customHeight="1">
      <c r="A37" s="953" t="s">
        <v>798</v>
      </c>
      <c r="B37" s="259" t="s">
        <v>118</v>
      </c>
      <c r="C37" s="293">
        <f>ROUND(E37*D37*F34/10000,0)</f>
        <v>2748</v>
      </c>
      <c r="D37" s="261">
        <f>'数据-汇总表'!E3</f>
        <v>137390</v>
      </c>
      <c r="E37" s="293">
        <f>'数据-取费表'!B35</f>
        <v>200</v>
      </c>
      <c r="F37" s="303"/>
      <c r="G37" s="305" t="s">
        <v>119</v>
      </c>
    </row>
    <row r="38" spans="1:7" ht="13.5" customHeight="1">
      <c r="A38" s="953" t="s">
        <v>799</v>
      </c>
      <c r="B38" s="259" t="s">
        <v>63</v>
      </c>
      <c r="C38" s="264">
        <f>ROUND(C34*F38,0)</f>
        <v>1620</v>
      </c>
      <c r="D38" s="264"/>
      <c r="E38" s="264"/>
      <c r="F38" s="303">
        <f>'数据-取费表'!B36</f>
        <v>1.4999999999999999E-2</v>
      </c>
      <c r="G38" s="263" t="s">
        <v>117</v>
      </c>
    </row>
    <row r="39" spans="1:7" s="258" customFormat="1" ht="13.5" customHeight="1">
      <c r="A39" s="950" t="s">
        <v>783</v>
      </c>
      <c r="B39" s="254" t="s">
        <v>104</v>
      </c>
      <c r="C39" s="276">
        <f>ROUND(C33*F20,0)</f>
        <v>2374</v>
      </c>
      <c r="D39" s="276"/>
      <c r="E39" s="276"/>
      <c r="F39" s="277"/>
      <c r="G39" s="1291" t="s">
        <v>1068</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5752</v>
      </c>
      <c r="D41" s="279">
        <f ca="1">C44</f>
        <v>1E-3</v>
      </c>
      <c r="E41" s="280" t="s">
        <v>129</v>
      </c>
      <c r="F41" s="281"/>
      <c r="G41" s="1291" t="str">
        <f>IF('数据-取费表'!B22&lt;=1,"单利计息","复利计息")</f>
        <v>复利计息</v>
      </c>
    </row>
    <row r="42" spans="1:7" ht="13.5" customHeight="1">
      <c r="A42" s="953" t="s">
        <v>794</v>
      </c>
      <c r="B42" s="259" t="s">
        <v>1058</v>
      </c>
      <c r="C42" s="282">
        <f ca="1">ROUND(IF('数据-取费表'!B22&lt;=1,C33*F22*'数据-取费表'!B21/2,C33*(POWER((1+F22),'数据-取费表'!B21/2)-1)),0)</f>
        <v>5639</v>
      </c>
      <c r="D42" s="282"/>
      <c r="E42" s="282"/>
      <c r="F42" s="283"/>
      <c r="G42" s="3302" t="s">
        <v>121</v>
      </c>
    </row>
    <row r="43" spans="1:7" ht="13.5" customHeight="1">
      <c r="A43" s="953" t="s">
        <v>792</v>
      </c>
      <c r="B43" s="259" t="s">
        <v>1061</v>
      </c>
      <c r="C43" s="282">
        <f ca="1">ROUND(IF('数据-取费表'!B22&lt;=1,C39*F22*'数据-取费表'!B21/2,C39*(POWER((1+F22),'数据-取费表'!B21/2)-1)),0)</f>
        <v>113</v>
      </c>
      <c r="D43" s="282"/>
      <c r="E43" s="282"/>
      <c r="F43" s="283"/>
      <c r="G43" s="3303"/>
    </row>
    <row r="44" spans="1:7" ht="13.5" customHeight="1">
      <c r="A44" s="953" t="s">
        <v>793</v>
      </c>
      <c r="B44" s="259" t="s">
        <v>1063</v>
      </c>
      <c r="C44" s="282">
        <f ca="1">ROUND(IF('数据-取费表'!B22&lt;=1,C40*F22*'数据-取费表'!B21/2,C40*(POWER((1+F22),'数据-取费表'!B21/2)-1)),4)</f>
        <v>1E-3</v>
      </c>
      <c r="D44" s="282"/>
      <c r="E44" s="282"/>
      <c r="F44" s="283"/>
      <c r="G44" s="3304"/>
    </row>
    <row r="45" spans="1:7" s="258" customFormat="1" ht="13.5" customHeight="1">
      <c r="A45" s="950" t="s">
        <v>786</v>
      </c>
      <c r="B45" s="288" t="s">
        <v>112</v>
      </c>
      <c r="C45" s="289">
        <f>C46</f>
        <v>12109</v>
      </c>
      <c r="D45" s="279">
        <f>C47</f>
        <v>2E-3</v>
      </c>
      <c r="E45" s="280" t="s">
        <v>129</v>
      </c>
      <c r="F45" s="290"/>
      <c r="G45" s="291" t="s">
        <v>1069</v>
      </c>
    </row>
    <row r="46" spans="1:7" s="258" customFormat="1" ht="13.5" customHeight="1">
      <c r="A46" s="953" t="s">
        <v>794</v>
      </c>
      <c r="B46" s="292" t="s">
        <v>1062</v>
      </c>
      <c r="C46" s="293">
        <f>ROUND((C33+C39)*F27,0)</f>
        <v>12109</v>
      </c>
      <c r="D46" s="307"/>
      <c r="E46" s="280"/>
      <c r="F46" s="290"/>
      <c r="G46" s="291"/>
    </row>
    <row r="47" spans="1:7" s="258" customFormat="1" ht="13.5" customHeight="1">
      <c r="A47" s="953" t="s">
        <v>792</v>
      </c>
      <c r="B47" s="292" t="s">
        <v>1064</v>
      </c>
      <c r="C47" s="282">
        <f>ROUND(C40*F27,4)</f>
        <v>2E-3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150438</v>
      </c>
      <c r="D49" s="276"/>
      <c r="E49" s="276"/>
      <c r="F49" s="308"/>
      <c r="G49" s="278" t="s">
        <v>1070</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150438</v>
      </c>
      <c r="D51" s="276"/>
      <c r="E51" s="276"/>
      <c r="F51" s="308"/>
      <c r="G51" s="278" t="s">
        <v>64</v>
      </c>
    </row>
    <row r="52" spans="1:7" s="252" customFormat="1" ht="16.5" thickBot="1">
      <c r="A52" s="309" t="s">
        <v>65</v>
      </c>
      <c r="B52" s="310"/>
      <c r="C52" s="311">
        <f ca="1">C31+C51</f>
        <v>181294</v>
      </c>
      <c r="D52" s="310"/>
      <c r="E52" s="310"/>
      <c r="F52" s="310"/>
      <c r="G52" s="312"/>
    </row>
    <row r="55" spans="1:7" ht="15">
      <c r="B55" s="314" t="s">
        <v>66</v>
      </c>
      <c r="C55" s="315"/>
    </row>
    <row r="56" spans="1:7">
      <c r="B56" s="317" t="s">
        <v>67</v>
      </c>
      <c r="C56" s="318">
        <f ca="1">ROUND(C51/C52,3)</f>
        <v>0.83</v>
      </c>
    </row>
    <row r="57" spans="1:7">
      <c r="B57" s="317" t="s">
        <v>68</v>
      </c>
      <c r="C57" s="319">
        <f ca="1">1-C56</f>
        <v>0.17000000000000004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125" style="812" customWidth="1"/>
    <col min="6" max="6" width="9" style="812"/>
    <col min="7" max="8" width="9" style="827"/>
    <col min="9" max="16384" width="9" style="812"/>
  </cols>
  <sheetData>
    <row r="1" spans="1:19">
      <c r="A1" s="3447" t="s">
        <v>156</v>
      </c>
      <c r="B1" s="3447"/>
      <c r="C1" s="3447"/>
      <c r="D1" s="3447"/>
      <c r="E1" s="3447"/>
      <c r="F1" s="344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448" t="s">
        <v>169</v>
      </c>
      <c r="B2" s="3448"/>
      <c r="C2" s="3448"/>
      <c r="D2" s="3448"/>
      <c r="E2" s="3448"/>
      <c r="F2" s="344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44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45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54" customWidth="1"/>
    <col min="2" max="2" width="10.125" style="812" customWidth="1"/>
  </cols>
  <sheetData>
    <row r="1" spans="1:6">
      <c r="A1" s="3447" t="s">
        <v>868</v>
      </c>
      <c r="B1" s="3447"/>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24.75" thickBot="1">
      <c r="A72" s="839" t="s">
        <v>137</v>
      </c>
      <c r="B72" s="833" t="s">
        <v>882</v>
      </c>
      <c r="C72" s="1079"/>
      <c r="D72" s="1079"/>
      <c r="E72" s="1079"/>
      <c r="F72" s="1067">
        <v>0.05</v>
      </c>
    </row>
    <row r="73" spans="1:6" ht="24.75" thickBot="1">
      <c r="A73" s="839" t="s">
        <v>137</v>
      </c>
      <c r="B73" s="833" t="s">
        <v>883</v>
      </c>
      <c r="C73" s="1079"/>
      <c r="D73" s="1079"/>
      <c r="E73" s="1079"/>
      <c r="F73" s="1067">
        <v>0.05</v>
      </c>
    </row>
    <row r="74" spans="1:6" ht="24.75" thickBot="1">
      <c r="A74" s="839" t="s">
        <v>137</v>
      </c>
      <c r="B74" s="833" t="s">
        <v>884</v>
      </c>
      <c r="C74" s="1079"/>
      <c r="D74" s="1079"/>
      <c r="E74" s="1079"/>
      <c r="F74" s="1067">
        <v>0.05</v>
      </c>
    </row>
    <row r="75" spans="1:6" ht="24.7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24.7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24.7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40" customWidth="1"/>
    <col min="2" max="2" width="13.125" style="1646" customWidth="1"/>
    <col min="3" max="3" width="15.625" style="1646" customWidth="1"/>
    <col min="4" max="4" width="9.375" style="1646" bestFit="1" customWidth="1"/>
    <col min="5" max="5" width="13.5" style="1646" customWidth="1"/>
    <col min="6" max="6" width="8.875" style="1646"/>
    <col min="7" max="7" width="9.375" style="1646" bestFit="1" customWidth="1"/>
    <col min="8" max="8" width="12.125" style="1646" customWidth="1"/>
    <col min="9" max="9" width="8.875" style="1646"/>
    <col min="10" max="10" width="9.375" style="1646" bestFit="1" customWidth="1"/>
    <col min="11" max="11" width="4" style="1640" customWidth="1"/>
    <col min="12" max="12" width="5.125" style="1646" customWidth="1"/>
    <col min="13" max="13" width="13.875" style="1646" customWidth="1"/>
    <col min="14" max="256" width="8.875" style="1646"/>
    <col min="257" max="257" width="4.875" style="1637" customWidth="1"/>
    <col min="258" max="258" width="13.125" style="1637" customWidth="1"/>
    <col min="259" max="259" width="15.625" style="1637" customWidth="1"/>
    <col min="260" max="260" width="9.375" style="1637" bestFit="1" customWidth="1"/>
    <col min="261" max="261" width="13.5" style="1637" customWidth="1"/>
    <col min="262" max="262" width="8.875" style="1637"/>
    <col min="263" max="263" width="9.375" style="1637" bestFit="1" customWidth="1"/>
    <col min="264" max="265" width="8.875" style="1637"/>
    <col min="266" max="266" width="9.375" style="1637" bestFit="1" customWidth="1"/>
    <col min="267" max="267" width="4" style="1637" customWidth="1"/>
    <col min="268" max="268" width="5.125" style="1637" customWidth="1"/>
    <col min="269" max="269" width="13.875" style="1637" customWidth="1"/>
    <col min="270" max="512" width="8.875" style="1637"/>
    <col min="513" max="513" width="4.875" style="1637" customWidth="1"/>
    <col min="514" max="514" width="13.125" style="1637" customWidth="1"/>
    <col min="515" max="515" width="15.625" style="1637" customWidth="1"/>
    <col min="516" max="516" width="9.375" style="1637" bestFit="1" customWidth="1"/>
    <col min="517" max="517" width="13.5" style="1637" customWidth="1"/>
    <col min="518" max="518" width="8.875" style="1637"/>
    <col min="519" max="519" width="9.375" style="1637" bestFit="1" customWidth="1"/>
    <col min="520" max="521" width="8.875" style="1637"/>
    <col min="522" max="522" width="9.375" style="1637" bestFit="1" customWidth="1"/>
    <col min="523" max="523" width="4" style="1637" customWidth="1"/>
    <col min="524" max="524" width="5.125" style="1637" customWidth="1"/>
    <col min="525" max="525" width="13.875" style="1637" customWidth="1"/>
    <col min="526" max="768" width="8.875" style="1637"/>
    <col min="769" max="769" width="4.875" style="1637" customWidth="1"/>
    <col min="770" max="770" width="13.125" style="1637" customWidth="1"/>
    <col min="771" max="771" width="15.625" style="1637" customWidth="1"/>
    <col min="772" max="772" width="9.375" style="1637" bestFit="1" customWidth="1"/>
    <col min="773" max="773" width="13.5" style="1637" customWidth="1"/>
    <col min="774" max="774" width="8.875" style="1637"/>
    <col min="775" max="775" width="9.375" style="1637" bestFit="1" customWidth="1"/>
    <col min="776" max="777" width="8.875" style="1637"/>
    <col min="778" max="778" width="9.375" style="1637" bestFit="1" customWidth="1"/>
    <col min="779" max="779" width="4" style="1637" customWidth="1"/>
    <col min="780" max="780" width="5.125" style="1637" customWidth="1"/>
    <col min="781" max="781" width="13.875" style="1637" customWidth="1"/>
    <col min="782" max="1024" width="8.875" style="1637"/>
    <col min="1025" max="1025" width="4.875" style="1637" customWidth="1"/>
    <col min="1026" max="1026" width="13.125" style="1637" customWidth="1"/>
    <col min="1027" max="1027" width="15.625" style="1637" customWidth="1"/>
    <col min="1028" max="1028" width="9.375" style="1637" bestFit="1" customWidth="1"/>
    <col min="1029" max="1029" width="13.5" style="1637" customWidth="1"/>
    <col min="1030" max="1030" width="8.875" style="1637"/>
    <col min="1031" max="1031" width="9.375" style="1637" bestFit="1" customWidth="1"/>
    <col min="1032" max="1033" width="8.875" style="1637"/>
    <col min="1034" max="1034" width="9.375" style="1637" bestFit="1" customWidth="1"/>
    <col min="1035" max="1035" width="4" style="1637" customWidth="1"/>
    <col min="1036" max="1036" width="5.125" style="1637" customWidth="1"/>
    <col min="1037" max="1037" width="13.875" style="1637" customWidth="1"/>
    <col min="1038" max="1280" width="8.875" style="1637"/>
    <col min="1281" max="1281" width="4.875" style="1637" customWidth="1"/>
    <col min="1282" max="1282" width="13.125" style="1637" customWidth="1"/>
    <col min="1283" max="1283" width="15.625" style="1637" customWidth="1"/>
    <col min="1284" max="1284" width="9.375" style="1637" bestFit="1" customWidth="1"/>
    <col min="1285" max="1285" width="13.5" style="1637" customWidth="1"/>
    <col min="1286" max="1286" width="8.875" style="1637"/>
    <col min="1287" max="1287" width="9.375" style="1637" bestFit="1" customWidth="1"/>
    <col min="1288" max="1289" width="8.875" style="1637"/>
    <col min="1290" max="1290" width="9.375" style="1637" bestFit="1" customWidth="1"/>
    <col min="1291" max="1291" width="4" style="1637" customWidth="1"/>
    <col min="1292" max="1292" width="5.125" style="1637" customWidth="1"/>
    <col min="1293" max="1293" width="13.875" style="1637" customWidth="1"/>
    <col min="1294" max="1536" width="8.875" style="1637"/>
    <col min="1537" max="1537" width="4.875" style="1637" customWidth="1"/>
    <col min="1538" max="1538" width="13.125" style="1637" customWidth="1"/>
    <col min="1539" max="1539" width="15.625" style="1637" customWidth="1"/>
    <col min="1540" max="1540" width="9.375" style="1637" bestFit="1" customWidth="1"/>
    <col min="1541" max="1541" width="13.5" style="1637" customWidth="1"/>
    <col min="1542" max="1542" width="8.875" style="1637"/>
    <col min="1543" max="1543" width="9.375" style="1637" bestFit="1" customWidth="1"/>
    <col min="1544" max="1545" width="8.875" style="1637"/>
    <col min="1546" max="1546" width="9.375" style="1637" bestFit="1" customWidth="1"/>
    <col min="1547" max="1547" width="4" style="1637" customWidth="1"/>
    <col min="1548" max="1548" width="5.125" style="1637" customWidth="1"/>
    <col min="1549" max="1549" width="13.875" style="1637" customWidth="1"/>
    <col min="1550" max="1792" width="8.875" style="1637"/>
    <col min="1793" max="1793" width="4.875" style="1637" customWidth="1"/>
    <col min="1794" max="1794" width="13.125" style="1637" customWidth="1"/>
    <col min="1795" max="1795" width="15.625" style="1637" customWidth="1"/>
    <col min="1796" max="1796" width="9.375" style="1637" bestFit="1" customWidth="1"/>
    <col min="1797" max="1797" width="13.5" style="1637" customWidth="1"/>
    <col min="1798" max="1798" width="8.875" style="1637"/>
    <col min="1799" max="1799" width="9.375" style="1637" bestFit="1" customWidth="1"/>
    <col min="1800" max="1801" width="8.875" style="1637"/>
    <col min="1802" max="1802" width="9.375" style="1637" bestFit="1" customWidth="1"/>
    <col min="1803" max="1803" width="4" style="1637" customWidth="1"/>
    <col min="1804" max="1804" width="5.125" style="1637" customWidth="1"/>
    <col min="1805" max="1805" width="13.875" style="1637" customWidth="1"/>
    <col min="1806" max="2048" width="8.875" style="1637"/>
    <col min="2049" max="2049" width="4.875" style="1637" customWidth="1"/>
    <col min="2050" max="2050" width="13.125" style="1637" customWidth="1"/>
    <col min="2051" max="2051" width="15.625" style="1637" customWidth="1"/>
    <col min="2052" max="2052" width="9.375" style="1637" bestFit="1" customWidth="1"/>
    <col min="2053" max="2053" width="13.5" style="1637" customWidth="1"/>
    <col min="2054" max="2054" width="8.875" style="1637"/>
    <col min="2055" max="2055" width="9.375" style="1637" bestFit="1" customWidth="1"/>
    <col min="2056" max="2057" width="8.875" style="1637"/>
    <col min="2058" max="2058" width="9.375" style="1637" bestFit="1" customWidth="1"/>
    <col min="2059" max="2059" width="4" style="1637" customWidth="1"/>
    <col min="2060" max="2060" width="5.125" style="1637" customWidth="1"/>
    <col min="2061" max="2061" width="13.875" style="1637" customWidth="1"/>
    <col min="2062" max="2304" width="8.875" style="1637"/>
    <col min="2305" max="2305" width="4.875" style="1637" customWidth="1"/>
    <col min="2306" max="2306" width="13.125" style="1637" customWidth="1"/>
    <col min="2307" max="2307" width="15.625" style="1637" customWidth="1"/>
    <col min="2308" max="2308" width="9.375" style="1637" bestFit="1" customWidth="1"/>
    <col min="2309" max="2309" width="13.5" style="1637" customWidth="1"/>
    <col min="2310" max="2310" width="8.875" style="1637"/>
    <col min="2311" max="2311" width="9.375" style="1637" bestFit="1" customWidth="1"/>
    <col min="2312" max="2313" width="8.875" style="1637"/>
    <col min="2314" max="2314" width="9.375" style="1637" bestFit="1" customWidth="1"/>
    <col min="2315" max="2315" width="4" style="1637" customWidth="1"/>
    <col min="2316" max="2316" width="5.125" style="1637" customWidth="1"/>
    <col min="2317" max="2317" width="13.875" style="1637" customWidth="1"/>
    <col min="2318" max="2560" width="8.875" style="1637"/>
    <col min="2561" max="2561" width="4.875" style="1637" customWidth="1"/>
    <col min="2562" max="2562" width="13.125" style="1637" customWidth="1"/>
    <col min="2563" max="2563" width="15.625" style="1637" customWidth="1"/>
    <col min="2564" max="2564" width="9.375" style="1637" bestFit="1" customWidth="1"/>
    <col min="2565" max="2565" width="13.5" style="1637" customWidth="1"/>
    <col min="2566" max="2566" width="8.875" style="1637"/>
    <col min="2567" max="2567" width="9.375" style="1637" bestFit="1" customWidth="1"/>
    <col min="2568" max="2569" width="8.875" style="1637"/>
    <col min="2570" max="2570" width="9.375" style="1637" bestFit="1" customWidth="1"/>
    <col min="2571" max="2571" width="4" style="1637" customWidth="1"/>
    <col min="2572" max="2572" width="5.125" style="1637" customWidth="1"/>
    <col min="2573" max="2573" width="13.875" style="1637" customWidth="1"/>
    <col min="2574" max="2816" width="8.875" style="1637"/>
    <col min="2817" max="2817" width="4.875" style="1637" customWidth="1"/>
    <col min="2818" max="2818" width="13.125" style="1637" customWidth="1"/>
    <col min="2819" max="2819" width="15.625" style="1637" customWidth="1"/>
    <col min="2820" max="2820" width="9.375" style="1637" bestFit="1" customWidth="1"/>
    <col min="2821" max="2821" width="13.5" style="1637" customWidth="1"/>
    <col min="2822" max="2822" width="8.875" style="1637"/>
    <col min="2823" max="2823" width="9.375" style="1637" bestFit="1" customWidth="1"/>
    <col min="2824" max="2825" width="8.875" style="1637"/>
    <col min="2826" max="2826" width="9.375" style="1637" bestFit="1" customWidth="1"/>
    <col min="2827" max="2827" width="4" style="1637" customWidth="1"/>
    <col min="2828" max="2828" width="5.125" style="1637" customWidth="1"/>
    <col min="2829" max="2829" width="13.875" style="1637" customWidth="1"/>
    <col min="2830" max="3072" width="8.875" style="1637"/>
    <col min="3073" max="3073" width="4.875" style="1637" customWidth="1"/>
    <col min="3074" max="3074" width="13.125" style="1637" customWidth="1"/>
    <col min="3075" max="3075" width="15.625" style="1637" customWidth="1"/>
    <col min="3076" max="3076" width="9.375" style="1637" bestFit="1" customWidth="1"/>
    <col min="3077" max="3077" width="13.5" style="1637" customWidth="1"/>
    <col min="3078" max="3078" width="8.875" style="1637"/>
    <col min="3079" max="3079" width="9.375" style="1637" bestFit="1" customWidth="1"/>
    <col min="3080" max="3081" width="8.875" style="1637"/>
    <col min="3082" max="3082" width="9.375" style="1637" bestFit="1" customWidth="1"/>
    <col min="3083" max="3083" width="4" style="1637" customWidth="1"/>
    <col min="3084" max="3084" width="5.125" style="1637" customWidth="1"/>
    <col min="3085" max="3085" width="13.875" style="1637" customWidth="1"/>
    <col min="3086" max="3328" width="8.875" style="1637"/>
    <col min="3329" max="3329" width="4.875" style="1637" customWidth="1"/>
    <col min="3330" max="3330" width="13.125" style="1637" customWidth="1"/>
    <col min="3331" max="3331" width="15.625" style="1637" customWidth="1"/>
    <col min="3332" max="3332" width="9.375" style="1637" bestFit="1" customWidth="1"/>
    <col min="3333" max="3333" width="13.5" style="1637" customWidth="1"/>
    <col min="3334" max="3334" width="8.875" style="1637"/>
    <col min="3335" max="3335" width="9.375" style="1637" bestFit="1" customWidth="1"/>
    <col min="3336" max="3337" width="8.875" style="1637"/>
    <col min="3338" max="3338" width="9.375" style="1637" bestFit="1" customWidth="1"/>
    <col min="3339" max="3339" width="4" style="1637" customWidth="1"/>
    <col min="3340" max="3340" width="5.125" style="1637" customWidth="1"/>
    <col min="3341" max="3341" width="13.875" style="1637" customWidth="1"/>
    <col min="3342" max="3584" width="8.875" style="1637"/>
    <col min="3585" max="3585" width="4.875" style="1637" customWidth="1"/>
    <col min="3586" max="3586" width="13.125" style="1637" customWidth="1"/>
    <col min="3587" max="3587" width="15.625" style="1637" customWidth="1"/>
    <col min="3588" max="3588" width="9.375" style="1637" bestFit="1" customWidth="1"/>
    <col min="3589" max="3589" width="13.5" style="1637" customWidth="1"/>
    <col min="3590" max="3590" width="8.875" style="1637"/>
    <col min="3591" max="3591" width="9.375" style="1637" bestFit="1" customWidth="1"/>
    <col min="3592" max="3593" width="8.875" style="1637"/>
    <col min="3594" max="3594" width="9.375" style="1637" bestFit="1" customWidth="1"/>
    <col min="3595" max="3595" width="4" style="1637" customWidth="1"/>
    <col min="3596" max="3596" width="5.125" style="1637" customWidth="1"/>
    <col min="3597" max="3597" width="13.875" style="1637" customWidth="1"/>
    <col min="3598" max="3840" width="8.875" style="1637"/>
    <col min="3841" max="3841" width="4.875" style="1637" customWidth="1"/>
    <col min="3842" max="3842" width="13.125" style="1637" customWidth="1"/>
    <col min="3843" max="3843" width="15.625" style="1637" customWidth="1"/>
    <col min="3844" max="3844" width="9.375" style="1637" bestFit="1" customWidth="1"/>
    <col min="3845" max="3845" width="13.5" style="1637" customWidth="1"/>
    <col min="3846" max="3846" width="8.875" style="1637"/>
    <col min="3847" max="3847" width="9.375" style="1637" bestFit="1" customWidth="1"/>
    <col min="3848" max="3849" width="8.875" style="1637"/>
    <col min="3850" max="3850" width="9.375" style="1637" bestFit="1" customWidth="1"/>
    <col min="3851" max="3851" width="4" style="1637" customWidth="1"/>
    <col min="3852" max="3852" width="5.125" style="1637" customWidth="1"/>
    <col min="3853" max="3853" width="13.875" style="1637" customWidth="1"/>
    <col min="3854" max="4096" width="8.875" style="1637"/>
    <col min="4097" max="4097" width="4.875" style="1637" customWidth="1"/>
    <col min="4098" max="4098" width="13.125" style="1637" customWidth="1"/>
    <col min="4099" max="4099" width="15.625" style="1637" customWidth="1"/>
    <col min="4100" max="4100" width="9.375" style="1637" bestFit="1" customWidth="1"/>
    <col min="4101" max="4101" width="13.5" style="1637" customWidth="1"/>
    <col min="4102" max="4102" width="8.875" style="1637"/>
    <col min="4103" max="4103" width="9.375" style="1637" bestFit="1" customWidth="1"/>
    <col min="4104" max="4105" width="8.875" style="1637"/>
    <col min="4106" max="4106" width="9.375" style="1637" bestFit="1" customWidth="1"/>
    <col min="4107" max="4107" width="4" style="1637" customWidth="1"/>
    <col min="4108" max="4108" width="5.125" style="1637" customWidth="1"/>
    <col min="4109" max="4109" width="13.875" style="1637" customWidth="1"/>
    <col min="4110" max="4352" width="8.875" style="1637"/>
    <col min="4353" max="4353" width="4.875" style="1637" customWidth="1"/>
    <col min="4354" max="4354" width="13.125" style="1637" customWidth="1"/>
    <col min="4355" max="4355" width="15.625" style="1637" customWidth="1"/>
    <col min="4356" max="4356" width="9.375" style="1637" bestFit="1" customWidth="1"/>
    <col min="4357" max="4357" width="13.5" style="1637" customWidth="1"/>
    <col min="4358" max="4358" width="8.875" style="1637"/>
    <col min="4359" max="4359" width="9.375" style="1637" bestFit="1" customWidth="1"/>
    <col min="4360" max="4361" width="8.875" style="1637"/>
    <col min="4362" max="4362" width="9.375" style="1637" bestFit="1" customWidth="1"/>
    <col min="4363" max="4363" width="4" style="1637" customWidth="1"/>
    <col min="4364" max="4364" width="5.125" style="1637" customWidth="1"/>
    <col min="4365" max="4365" width="13.875" style="1637" customWidth="1"/>
    <col min="4366" max="4608" width="8.875" style="1637"/>
    <col min="4609" max="4609" width="4.875" style="1637" customWidth="1"/>
    <col min="4610" max="4610" width="13.125" style="1637" customWidth="1"/>
    <col min="4611" max="4611" width="15.625" style="1637" customWidth="1"/>
    <col min="4612" max="4612" width="9.375" style="1637" bestFit="1" customWidth="1"/>
    <col min="4613" max="4613" width="13.5" style="1637" customWidth="1"/>
    <col min="4614" max="4614" width="8.875" style="1637"/>
    <col min="4615" max="4615" width="9.375" style="1637" bestFit="1" customWidth="1"/>
    <col min="4616" max="4617" width="8.875" style="1637"/>
    <col min="4618" max="4618" width="9.375" style="1637" bestFit="1" customWidth="1"/>
    <col min="4619" max="4619" width="4" style="1637" customWidth="1"/>
    <col min="4620" max="4620" width="5.125" style="1637" customWidth="1"/>
    <col min="4621" max="4621" width="13.875" style="1637" customWidth="1"/>
    <col min="4622" max="4864" width="8.875" style="1637"/>
    <col min="4865" max="4865" width="4.875" style="1637" customWidth="1"/>
    <col min="4866" max="4866" width="13.125" style="1637" customWidth="1"/>
    <col min="4867" max="4867" width="15.625" style="1637" customWidth="1"/>
    <col min="4868" max="4868" width="9.375" style="1637" bestFit="1" customWidth="1"/>
    <col min="4869" max="4869" width="13.5" style="1637" customWidth="1"/>
    <col min="4870" max="4870" width="8.875" style="1637"/>
    <col min="4871" max="4871" width="9.375" style="1637" bestFit="1" customWidth="1"/>
    <col min="4872" max="4873" width="8.875" style="1637"/>
    <col min="4874" max="4874" width="9.375" style="1637" bestFit="1" customWidth="1"/>
    <col min="4875" max="4875" width="4" style="1637" customWidth="1"/>
    <col min="4876" max="4876" width="5.125" style="1637" customWidth="1"/>
    <col min="4877" max="4877" width="13.875" style="1637" customWidth="1"/>
    <col min="4878" max="5120" width="8.875" style="1637"/>
    <col min="5121" max="5121" width="4.875" style="1637" customWidth="1"/>
    <col min="5122" max="5122" width="13.125" style="1637" customWidth="1"/>
    <col min="5123" max="5123" width="15.625" style="1637" customWidth="1"/>
    <col min="5124" max="5124" width="9.375" style="1637" bestFit="1" customWidth="1"/>
    <col min="5125" max="5125" width="13.5" style="1637" customWidth="1"/>
    <col min="5126" max="5126" width="8.875" style="1637"/>
    <col min="5127" max="5127" width="9.375" style="1637" bestFit="1" customWidth="1"/>
    <col min="5128" max="5129" width="8.875" style="1637"/>
    <col min="5130" max="5130" width="9.375" style="1637" bestFit="1" customWidth="1"/>
    <col min="5131" max="5131" width="4" style="1637" customWidth="1"/>
    <col min="5132" max="5132" width="5.125" style="1637" customWidth="1"/>
    <col min="5133" max="5133" width="13.875" style="1637" customWidth="1"/>
    <col min="5134" max="5376" width="8.875" style="1637"/>
    <col min="5377" max="5377" width="4.875" style="1637" customWidth="1"/>
    <col min="5378" max="5378" width="13.125" style="1637" customWidth="1"/>
    <col min="5379" max="5379" width="15.625" style="1637" customWidth="1"/>
    <col min="5380" max="5380" width="9.375" style="1637" bestFit="1" customWidth="1"/>
    <col min="5381" max="5381" width="13.5" style="1637" customWidth="1"/>
    <col min="5382" max="5382" width="8.875" style="1637"/>
    <col min="5383" max="5383" width="9.375" style="1637" bestFit="1" customWidth="1"/>
    <col min="5384" max="5385" width="8.875" style="1637"/>
    <col min="5386" max="5386" width="9.375" style="1637" bestFit="1" customWidth="1"/>
    <col min="5387" max="5387" width="4" style="1637" customWidth="1"/>
    <col min="5388" max="5388" width="5.125" style="1637" customWidth="1"/>
    <col min="5389" max="5389" width="13.875" style="1637" customWidth="1"/>
    <col min="5390" max="5632" width="8.875" style="1637"/>
    <col min="5633" max="5633" width="4.875" style="1637" customWidth="1"/>
    <col min="5634" max="5634" width="13.125" style="1637" customWidth="1"/>
    <col min="5635" max="5635" width="15.625" style="1637" customWidth="1"/>
    <col min="5636" max="5636" width="9.375" style="1637" bestFit="1" customWidth="1"/>
    <col min="5637" max="5637" width="13.5" style="1637" customWidth="1"/>
    <col min="5638" max="5638" width="8.875" style="1637"/>
    <col min="5639" max="5639" width="9.375" style="1637" bestFit="1" customWidth="1"/>
    <col min="5640" max="5641" width="8.875" style="1637"/>
    <col min="5642" max="5642" width="9.375" style="1637" bestFit="1" customWidth="1"/>
    <col min="5643" max="5643" width="4" style="1637" customWidth="1"/>
    <col min="5644" max="5644" width="5.125" style="1637" customWidth="1"/>
    <col min="5645" max="5645" width="13.875" style="1637" customWidth="1"/>
    <col min="5646" max="5888" width="8.875" style="1637"/>
    <col min="5889" max="5889" width="4.875" style="1637" customWidth="1"/>
    <col min="5890" max="5890" width="13.125" style="1637" customWidth="1"/>
    <col min="5891" max="5891" width="15.625" style="1637" customWidth="1"/>
    <col min="5892" max="5892" width="9.375" style="1637" bestFit="1" customWidth="1"/>
    <col min="5893" max="5893" width="13.5" style="1637" customWidth="1"/>
    <col min="5894" max="5894" width="8.875" style="1637"/>
    <col min="5895" max="5895" width="9.375" style="1637" bestFit="1" customWidth="1"/>
    <col min="5896" max="5897" width="8.875" style="1637"/>
    <col min="5898" max="5898" width="9.375" style="1637" bestFit="1" customWidth="1"/>
    <col min="5899" max="5899" width="4" style="1637" customWidth="1"/>
    <col min="5900" max="5900" width="5.125" style="1637" customWidth="1"/>
    <col min="5901" max="5901" width="13.875" style="1637" customWidth="1"/>
    <col min="5902" max="6144" width="8.875" style="1637"/>
    <col min="6145" max="6145" width="4.875" style="1637" customWidth="1"/>
    <col min="6146" max="6146" width="13.125" style="1637" customWidth="1"/>
    <col min="6147" max="6147" width="15.625" style="1637" customWidth="1"/>
    <col min="6148" max="6148" width="9.375" style="1637" bestFit="1" customWidth="1"/>
    <col min="6149" max="6149" width="13.5" style="1637" customWidth="1"/>
    <col min="6150" max="6150" width="8.875" style="1637"/>
    <col min="6151" max="6151" width="9.375" style="1637" bestFit="1" customWidth="1"/>
    <col min="6152" max="6153" width="8.875" style="1637"/>
    <col min="6154" max="6154" width="9.375" style="1637" bestFit="1" customWidth="1"/>
    <col min="6155" max="6155" width="4" style="1637" customWidth="1"/>
    <col min="6156" max="6156" width="5.125" style="1637" customWidth="1"/>
    <col min="6157" max="6157" width="13.875" style="1637" customWidth="1"/>
    <col min="6158" max="6400" width="8.875" style="1637"/>
    <col min="6401" max="6401" width="4.875" style="1637" customWidth="1"/>
    <col min="6402" max="6402" width="13.125" style="1637" customWidth="1"/>
    <col min="6403" max="6403" width="15.625" style="1637" customWidth="1"/>
    <col min="6404" max="6404" width="9.375" style="1637" bestFit="1" customWidth="1"/>
    <col min="6405" max="6405" width="13.5" style="1637" customWidth="1"/>
    <col min="6406" max="6406" width="8.875" style="1637"/>
    <col min="6407" max="6407" width="9.375" style="1637" bestFit="1" customWidth="1"/>
    <col min="6408" max="6409" width="8.875" style="1637"/>
    <col min="6410" max="6410" width="9.375" style="1637" bestFit="1" customWidth="1"/>
    <col min="6411" max="6411" width="4" style="1637" customWidth="1"/>
    <col min="6412" max="6412" width="5.125" style="1637" customWidth="1"/>
    <col min="6413" max="6413" width="13.875" style="1637" customWidth="1"/>
    <col min="6414" max="6656" width="8.875" style="1637"/>
    <col min="6657" max="6657" width="4.875" style="1637" customWidth="1"/>
    <col min="6658" max="6658" width="13.125" style="1637" customWidth="1"/>
    <col min="6659" max="6659" width="15.625" style="1637" customWidth="1"/>
    <col min="6660" max="6660" width="9.375" style="1637" bestFit="1" customWidth="1"/>
    <col min="6661" max="6661" width="13.5" style="1637" customWidth="1"/>
    <col min="6662" max="6662" width="8.875" style="1637"/>
    <col min="6663" max="6663" width="9.375" style="1637" bestFit="1" customWidth="1"/>
    <col min="6664" max="6665" width="8.875" style="1637"/>
    <col min="6666" max="6666" width="9.375" style="1637" bestFit="1" customWidth="1"/>
    <col min="6667" max="6667" width="4" style="1637" customWidth="1"/>
    <col min="6668" max="6668" width="5.125" style="1637" customWidth="1"/>
    <col min="6669" max="6669" width="13.875" style="1637" customWidth="1"/>
    <col min="6670" max="6912" width="8.875" style="1637"/>
    <col min="6913" max="6913" width="4.875" style="1637" customWidth="1"/>
    <col min="6914" max="6914" width="13.125" style="1637" customWidth="1"/>
    <col min="6915" max="6915" width="15.625" style="1637" customWidth="1"/>
    <col min="6916" max="6916" width="9.375" style="1637" bestFit="1" customWidth="1"/>
    <col min="6917" max="6917" width="13.5" style="1637" customWidth="1"/>
    <col min="6918" max="6918" width="8.875" style="1637"/>
    <col min="6919" max="6919" width="9.375" style="1637" bestFit="1" customWidth="1"/>
    <col min="6920" max="6921" width="8.875" style="1637"/>
    <col min="6922" max="6922" width="9.375" style="1637" bestFit="1" customWidth="1"/>
    <col min="6923" max="6923" width="4" style="1637" customWidth="1"/>
    <col min="6924" max="6924" width="5.125" style="1637" customWidth="1"/>
    <col min="6925" max="6925" width="13.875" style="1637" customWidth="1"/>
    <col min="6926" max="7168" width="8.875" style="1637"/>
    <col min="7169" max="7169" width="4.875" style="1637" customWidth="1"/>
    <col min="7170" max="7170" width="13.125" style="1637" customWidth="1"/>
    <col min="7171" max="7171" width="15.625" style="1637" customWidth="1"/>
    <col min="7172" max="7172" width="9.375" style="1637" bestFit="1" customWidth="1"/>
    <col min="7173" max="7173" width="13.5" style="1637" customWidth="1"/>
    <col min="7174" max="7174" width="8.875" style="1637"/>
    <col min="7175" max="7175" width="9.375" style="1637" bestFit="1" customWidth="1"/>
    <col min="7176" max="7177" width="8.875" style="1637"/>
    <col min="7178" max="7178" width="9.375" style="1637" bestFit="1" customWidth="1"/>
    <col min="7179" max="7179" width="4" style="1637" customWidth="1"/>
    <col min="7180" max="7180" width="5.125" style="1637" customWidth="1"/>
    <col min="7181" max="7181" width="13.875" style="1637" customWidth="1"/>
    <col min="7182" max="7424" width="8.875" style="1637"/>
    <col min="7425" max="7425" width="4.875" style="1637" customWidth="1"/>
    <col min="7426" max="7426" width="13.125" style="1637" customWidth="1"/>
    <col min="7427" max="7427" width="15.625" style="1637" customWidth="1"/>
    <col min="7428" max="7428" width="9.375" style="1637" bestFit="1" customWidth="1"/>
    <col min="7429" max="7429" width="13.5" style="1637" customWidth="1"/>
    <col min="7430" max="7430" width="8.875" style="1637"/>
    <col min="7431" max="7431" width="9.375" style="1637" bestFit="1" customWidth="1"/>
    <col min="7432" max="7433" width="8.875" style="1637"/>
    <col min="7434" max="7434" width="9.375" style="1637" bestFit="1" customWidth="1"/>
    <col min="7435" max="7435" width="4" style="1637" customWidth="1"/>
    <col min="7436" max="7436" width="5.125" style="1637" customWidth="1"/>
    <col min="7437" max="7437" width="13.875" style="1637" customWidth="1"/>
    <col min="7438" max="7680" width="8.875" style="1637"/>
    <col min="7681" max="7681" width="4.875" style="1637" customWidth="1"/>
    <col min="7682" max="7682" width="13.125" style="1637" customWidth="1"/>
    <col min="7683" max="7683" width="15.625" style="1637" customWidth="1"/>
    <col min="7684" max="7684" width="9.375" style="1637" bestFit="1" customWidth="1"/>
    <col min="7685" max="7685" width="13.5" style="1637" customWidth="1"/>
    <col min="7686" max="7686" width="8.875" style="1637"/>
    <col min="7687" max="7687" width="9.375" style="1637" bestFit="1" customWidth="1"/>
    <col min="7688" max="7689" width="8.875" style="1637"/>
    <col min="7690" max="7690" width="9.375" style="1637" bestFit="1" customWidth="1"/>
    <col min="7691" max="7691" width="4" style="1637" customWidth="1"/>
    <col min="7692" max="7692" width="5.125" style="1637" customWidth="1"/>
    <col min="7693" max="7693" width="13.875" style="1637" customWidth="1"/>
    <col min="7694" max="7936" width="8.875" style="1637"/>
    <col min="7937" max="7937" width="4.875" style="1637" customWidth="1"/>
    <col min="7938" max="7938" width="13.125" style="1637" customWidth="1"/>
    <col min="7939" max="7939" width="15.625" style="1637" customWidth="1"/>
    <col min="7940" max="7940" width="9.375" style="1637" bestFit="1" customWidth="1"/>
    <col min="7941" max="7941" width="13.5" style="1637" customWidth="1"/>
    <col min="7942" max="7942" width="8.875" style="1637"/>
    <col min="7943" max="7943" width="9.375" style="1637" bestFit="1" customWidth="1"/>
    <col min="7944" max="7945" width="8.875" style="1637"/>
    <col min="7946" max="7946" width="9.375" style="1637" bestFit="1" customWidth="1"/>
    <col min="7947" max="7947" width="4" style="1637" customWidth="1"/>
    <col min="7948" max="7948" width="5.125" style="1637" customWidth="1"/>
    <col min="7949" max="7949" width="13.875" style="1637" customWidth="1"/>
    <col min="7950" max="8192" width="8.875" style="1637"/>
    <col min="8193" max="8193" width="4.875" style="1637" customWidth="1"/>
    <col min="8194" max="8194" width="13.125" style="1637" customWidth="1"/>
    <col min="8195" max="8195" width="15.625" style="1637" customWidth="1"/>
    <col min="8196" max="8196" width="9.375" style="1637" bestFit="1" customWidth="1"/>
    <col min="8197" max="8197" width="13.5" style="1637" customWidth="1"/>
    <col min="8198" max="8198" width="8.875" style="1637"/>
    <col min="8199" max="8199" width="9.375" style="1637" bestFit="1" customWidth="1"/>
    <col min="8200" max="8201" width="8.875" style="1637"/>
    <col min="8202" max="8202" width="9.375" style="1637" bestFit="1" customWidth="1"/>
    <col min="8203" max="8203" width="4" style="1637" customWidth="1"/>
    <col min="8204" max="8204" width="5.125" style="1637" customWidth="1"/>
    <col min="8205" max="8205" width="13.875" style="1637" customWidth="1"/>
    <col min="8206" max="8448" width="8.875" style="1637"/>
    <col min="8449" max="8449" width="4.875" style="1637" customWidth="1"/>
    <col min="8450" max="8450" width="13.125" style="1637" customWidth="1"/>
    <col min="8451" max="8451" width="15.625" style="1637" customWidth="1"/>
    <col min="8452" max="8452" width="9.375" style="1637" bestFit="1" customWidth="1"/>
    <col min="8453" max="8453" width="13.5" style="1637" customWidth="1"/>
    <col min="8454" max="8454" width="8.875" style="1637"/>
    <col min="8455" max="8455" width="9.375" style="1637" bestFit="1" customWidth="1"/>
    <col min="8456" max="8457" width="8.875" style="1637"/>
    <col min="8458" max="8458" width="9.375" style="1637" bestFit="1" customWidth="1"/>
    <col min="8459" max="8459" width="4" style="1637" customWidth="1"/>
    <col min="8460" max="8460" width="5.125" style="1637" customWidth="1"/>
    <col min="8461" max="8461" width="13.875" style="1637" customWidth="1"/>
    <col min="8462" max="8704" width="8.875" style="1637"/>
    <col min="8705" max="8705" width="4.875" style="1637" customWidth="1"/>
    <col min="8706" max="8706" width="13.125" style="1637" customWidth="1"/>
    <col min="8707" max="8707" width="15.625" style="1637" customWidth="1"/>
    <col min="8708" max="8708" width="9.375" style="1637" bestFit="1" customWidth="1"/>
    <col min="8709" max="8709" width="13.5" style="1637" customWidth="1"/>
    <col min="8710" max="8710" width="8.875" style="1637"/>
    <col min="8711" max="8711" width="9.375" style="1637" bestFit="1" customWidth="1"/>
    <col min="8712" max="8713" width="8.875" style="1637"/>
    <col min="8714" max="8714" width="9.375" style="1637" bestFit="1" customWidth="1"/>
    <col min="8715" max="8715" width="4" style="1637" customWidth="1"/>
    <col min="8716" max="8716" width="5.125" style="1637" customWidth="1"/>
    <col min="8717" max="8717" width="13.875" style="1637" customWidth="1"/>
    <col min="8718" max="8960" width="8.875" style="1637"/>
    <col min="8961" max="8961" width="4.875" style="1637" customWidth="1"/>
    <col min="8962" max="8962" width="13.125" style="1637" customWidth="1"/>
    <col min="8963" max="8963" width="15.625" style="1637" customWidth="1"/>
    <col min="8964" max="8964" width="9.375" style="1637" bestFit="1" customWidth="1"/>
    <col min="8965" max="8965" width="13.5" style="1637" customWidth="1"/>
    <col min="8966" max="8966" width="8.875" style="1637"/>
    <col min="8967" max="8967" width="9.375" style="1637" bestFit="1" customWidth="1"/>
    <col min="8968" max="8969" width="8.875" style="1637"/>
    <col min="8970" max="8970" width="9.375" style="1637" bestFit="1" customWidth="1"/>
    <col min="8971" max="8971" width="4" style="1637" customWidth="1"/>
    <col min="8972" max="8972" width="5.125" style="1637" customWidth="1"/>
    <col min="8973" max="8973" width="13.875" style="1637" customWidth="1"/>
    <col min="8974" max="9216" width="8.875" style="1637"/>
    <col min="9217" max="9217" width="4.875" style="1637" customWidth="1"/>
    <col min="9218" max="9218" width="13.125" style="1637" customWidth="1"/>
    <col min="9219" max="9219" width="15.625" style="1637" customWidth="1"/>
    <col min="9220" max="9220" width="9.375" style="1637" bestFit="1" customWidth="1"/>
    <col min="9221" max="9221" width="13.5" style="1637" customWidth="1"/>
    <col min="9222" max="9222" width="8.875" style="1637"/>
    <col min="9223" max="9223" width="9.375" style="1637" bestFit="1" customWidth="1"/>
    <col min="9224" max="9225" width="8.875" style="1637"/>
    <col min="9226" max="9226" width="9.375" style="1637" bestFit="1" customWidth="1"/>
    <col min="9227" max="9227" width="4" style="1637" customWidth="1"/>
    <col min="9228" max="9228" width="5.125" style="1637" customWidth="1"/>
    <col min="9229" max="9229" width="13.875" style="1637" customWidth="1"/>
    <col min="9230" max="9472" width="8.875" style="1637"/>
    <col min="9473" max="9473" width="4.875" style="1637" customWidth="1"/>
    <col min="9474" max="9474" width="13.125" style="1637" customWidth="1"/>
    <col min="9475" max="9475" width="15.625" style="1637" customWidth="1"/>
    <col min="9476" max="9476" width="9.375" style="1637" bestFit="1" customWidth="1"/>
    <col min="9477" max="9477" width="13.5" style="1637" customWidth="1"/>
    <col min="9478" max="9478" width="8.875" style="1637"/>
    <col min="9479" max="9479" width="9.375" style="1637" bestFit="1" customWidth="1"/>
    <col min="9480" max="9481" width="8.875" style="1637"/>
    <col min="9482" max="9482" width="9.375" style="1637" bestFit="1" customWidth="1"/>
    <col min="9483" max="9483" width="4" style="1637" customWidth="1"/>
    <col min="9484" max="9484" width="5.125" style="1637" customWidth="1"/>
    <col min="9485" max="9485" width="13.875" style="1637" customWidth="1"/>
    <col min="9486" max="9728" width="8.875" style="1637"/>
    <col min="9729" max="9729" width="4.875" style="1637" customWidth="1"/>
    <col min="9730" max="9730" width="13.125" style="1637" customWidth="1"/>
    <col min="9731" max="9731" width="15.625" style="1637" customWidth="1"/>
    <col min="9732" max="9732" width="9.375" style="1637" bestFit="1" customWidth="1"/>
    <col min="9733" max="9733" width="13.5" style="1637" customWidth="1"/>
    <col min="9734" max="9734" width="8.875" style="1637"/>
    <col min="9735" max="9735" width="9.375" style="1637" bestFit="1" customWidth="1"/>
    <col min="9736" max="9737" width="8.875" style="1637"/>
    <col min="9738" max="9738" width="9.375" style="1637" bestFit="1" customWidth="1"/>
    <col min="9739" max="9739" width="4" style="1637" customWidth="1"/>
    <col min="9740" max="9740" width="5.125" style="1637" customWidth="1"/>
    <col min="9741" max="9741" width="13.875" style="1637" customWidth="1"/>
    <col min="9742" max="9984" width="8.875" style="1637"/>
    <col min="9985" max="9985" width="4.875" style="1637" customWidth="1"/>
    <col min="9986" max="9986" width="13.125" style="1637" customWidth="1"/>
    <col min="9987" max="9987" width="15.625" style="1637" customWidth="1"/>
    <col min="9988" max="9988" width="9.375" style="1637" bestFit="1" customWidth="1"/>
    <col min="9989" max="9989" width="13.5" style="1637" customWidth="1"/>
    <col min="9990" max="9990" width="8.875" style="1637"/>
    <col min="9991" max="9991" width="9.375" style="1637" bestFit="1" customWidth="1"/>
    <col min="9992" max="9993" width="8.875" style="1637"/>
    <col min="9994" max="9994" width="9.375" style="1637" bestFit="1" customWidth="1"/>
    <col min="9995" max="9995" width="4" style="1637" customWidth="1"/>
    <col min="9996" max="9996" width="5.125" style="1637" customWidth="1"/>
    <col min="9997" max="9997" width="13.875" style="1637" customWidth="1"/>
    <col min="9998" max="10240" width="8.875" style="1637"/>
    <col min="10241" max="10241" width="4.875" style="1637" customWidth="1"/>
    <col min="10242" max="10242" width="13.125" style="1637" customWidth="1"/>
    <col min="10243" max="10243" width="15.625" style="1637" customWidth="1"/>
    <col min="10244" max="10244" width="9.375" style="1637" bestFit="1" customWidth="1"/>
    <col min="10245" max="10245" width="13.5" style="1637" customWidth="1"/>
    <col min="10246" max="10246" width="8.875" style="1637"/>
    <col min="10247" max="10247" width="9.375" style="1637" bestFit="1" customWidth="1"/>
    <col min="10248" max="10249" width="8.875" style="1637"/>
    <col min="10250" max="10250" width="9.375" style="1637" bestFit="1" customWidth="1"/>
    <col min="10251" max="10251" width="4" style="1637" customWidth="1"/>
    <col min="10252" max="10252" width="5.125" style="1637" customWidth="1"/>
    <col min="10253" max="10253" width="13.875" style="1637" customWidth="1"/>
    <col min="10254" max="10496" width="8.875" style="1637"/>
    <col min="10497" max="10497" width="4.875" style="1637" customWidth="1"/>
    <col min="10498" max="10498" width="13.125" style="1637" customWidth="1"/>
    <col min="10499" max="10499" width="15.625" style="1637" customWidth="1"/>
    <col min="10500" max="10500" width="9.375" style="1637" bestFit="1" customWidth="1"/>
    <col min="10501" max="10501" width="13.5" style="1637" customWidth="1"/>
    <col min="10502" max="10502" width="8.875" style="1637"/>
    <col min="10503" max="10503" width="9.375" style="1637" bestFit="1" customWidth="1"/>
    <col min="10504" max="10505" width="8.875" style="1637"/>
    <col min="10506" max="10506" width="9.375" style="1637" bestFit="1" customWidth="1"/>
    <col min="10507" max="10507" width="4" style="1637" customWidth="1"/>
    <col min="10508" max="10508" width="5.125" style="1637" customWidth="1"/>
    <col min="10509" max="10509" width="13.875" style="1637" customWidth="1"/>
    <col min="10510" max="10752" width="8.875" style="1637"/>
    <col min="10753" max="10753" width="4.875" style="1637" customWidth="1"/>
    <col min="10754" max="10754" width="13.125" style="1637" customWidth="1"/>
    <col min="10755" max="10755" width="15.625" style="1637" customWidth="1"/>
    <col min="10756" max="10756" width="9.375" style="1637" bestFit="1" customWidth="1"/>
    <col min="10757" max="10757" width="13.5" style="1637" customWidth="1"/>
    <col min="10758" max="10758" width="8.875" style="1637"/>
    <col min="10759" max="10759" width="9.375" style="1637" bestFit="1" customWidth="1"/>
    <col min="10760" max="10761" width="8.875" style="1637"/>
    <col min="10762" max="10762" width="9.375" style="1637" bestFit="1" customWidth="1"/>
    <col min="10763" max="10763" width="4" style="1637" customWidth="1"/>
    <col min="10764" max="10764" width="5.125" style="1637" customWidth="1"/>
    <col min="10765" max="10765" width="13.875" style="1637" customWidth="1"/>
    <col min="10766" max="11008" width="8.875" style="1637"/>
    <col min="11009" max="11009" width="4.875" style="1637" customWidth="1"/>
    <col min="11010" max="11010" width="13.125" style="1637" customWidth="1"/>
    <col min="11011" max="11011" width="15.625" style="1637" customWidth="1"/>
    <col min="11012" max="11012" width="9.375" style="1637" bestFit="1" customWidth="1"/>
    <col min="11013" max="11013" width="13.5" style="1637" customWidth="1"/>
    <col min="11014" max="11014" width="8.875" style="1637"/>
    <col min="11015" max="11015" width="9.375" style="1637" bestFit="1" customWidth="1"/>
    <col min="11016" max="11017" width="8.875" style="1637"/>
    <col min="11018" max="11018" width="9.375" style="1637" bestFit="1" customWidth="1"/>
    <col min="11019" max="11019" width="4" style="1637" customWidth="1"/>
    <col min="11020" max="11020" width="5.125" style="1637" customWidth="1"/>
    <col min="11021" max="11021" width="13.875" style="1637" customWidth="1"/>
    <col min="11022" max="11264" width="8.875" style="1637"/>
    <col min="11265" max="11265" width="4.875" style="1637" customWidth="1"/>
    <col min="11266" max="11266" width="13.125" style="1637" customWidth="1"/>
    <col min="11267" max="11267" width="15.625" style="1637" customWidth="1"/>
    <col min="11268" max="11268" width="9.375" style="1637" bestFit="1" customWidth="1"/>
    <col min="11269" max="11269" width="13.5" style="1637" customWidth="1"/>
    <col min="11270" max="11270" width="8.875" style="1637"/>
    <col min="11271" max="11271" width="9.375" style="1637" bestFit="1" customWidth="1"/>
    <col min="11272" max="11273" width="8.875" style="1637"/>
    <col min="11274" max="11274" width="9.375" style="1637" bestFit="1" customWidth="1"/>
    <col min="11275" max="11275" width="4" style="1637" customWidth="1"/>
    <col min="11276" max="11276" width="5.125" style="1637" customWidth="1"/>
    <col min="11277" max="11277" width="13.875" style="1637" customWidth="1"/>
    <col min="11278" max="11520" width="8.875" style="1637"/>
    <col min="11521" max="11521" width="4.875" style="1637" customWidth="1"/>
    <col min="11522" max="11522" width="13.125" style="1637" customWidth="1"/>
    <col min="11523" max="11523" width="15.625" style="1637" customWidth="1"/>
    <col min="11524" max="11524" width="9.375" style="1637" bestFit="1" customWidth="1"/>
    <col min="11525" max="11525" width="13.5" style="1637" customWidth="1"/>
    <col min="11526" max="11526" width="8.875" style="1637"/>
    <col min="11527" max="11527" width="9.375" style="1637" bestFit="1" customWidth="1"/>
    <col min="11528" max="11529" width="8.875" style="1637"/>
    <col min="11530" max="11530" width="9.375" style="1637" bestFit="1" customWidth="1"/>
    <col min="11531" max="11531" width="4" style="1637" customWidth="1"/>
    <col min="11532" max="11532" width="5.125" style="1637" customWidth="1"/>
    <col min="11533" max="11533" width="13.875" style="1637" customWidth="1"/>
    <col min="11534" max="11776" width="8.875" style="1637"/>
    <col min="11777" max="11777" width="4.875" style="1637" customWidth="1"/>
    <col min="11778" max="11778" width="13.125" style="1637" customWidth="1"/>
    <col min="11779" max="11779" width="15.625" style="1637" customWidth="1"/>
    <col min="11780" max="11780" width="9.375" style="1637" bestFit="1" customWidth="1"/>
    <col min="11781" max="11781" width="13.5" style="1637" customWidth="1"/>
    <col min="11782" max="11782" width="8.875" style="1637"/>
    <col min="11783" max="11783" width="9.375" style="1637" bestFit="1" customWidth="1"/>
    <col min="11784" max="11785" width="8.875" style="1637"/>
    <col min="11786" max="11786" width="9.375" style="1637" bestFit="1" customWidth="1"/>
    <col min="11787" max="11787" width="4" style="1637" customWidth="1"/>
    <col min="11788" max="11788" width="5.125" style="1637" customWidth="1"/>
    <col min="11789" max="11789" width="13.875" style="1637" customWidth="1"/>
    <col min="11790" max="12032" width="8.875" style="1637"/>
    <col min="12033" max="12033" width="4.875" style="1637" customWidth="1"/>
    <col min="12034" max="12034" width="13.125" style="1637" customWidth="1"/>
    <col min="12035" max="12035" width="15.625" style="1637" customWidth="1"/>
    <col min="12036" max="12036" width="9.375" style="1637" bestFit="1" customWidth="1"/>
    <col min="12037" max="12037" width="13.5" style="1637" customWidth="1"/>
    <col min="12038" max="12038" width="8.875" style="1637"/>
    <col min="12039" max="12039" width="9.375" style="1637" bestFit="1" customWidth="1"/>
    <col min="12040" max="12041" width="8.875" style="1637"/>
    <col min="12042" max="12042" width="9.375" style="1637" bestFit="1" customWidth="1"/>
    <col min="12043" max="12043" width="4" style="1637" customWidth="1"/>
    <col min="12044" max="12044" width="5.125" style="1637" customWidth="1"/>
    <col min="12045" max="12045" width="13.875" style="1637" customWidth="1"/>
    <col min="12046" max="12288" width="8.875" style="1637"/>
    <col min="12289" max="12289" width="4.875" style="1637" customWidth="1"/>
    <col min="12290" max="12290" width="13.125" style="1637" customWidth="1"/>
    <col min="12291" max="12291" width="15.625" style="1637" customWidth="1"/>
    <col min="12292" max="12292" width="9.375" style="1637" bestFit="1" customWidth="1"/>
    <col min="12293" max="12293" width="13.5" style="1637" customWidth="1"/>
    <col min="12294" max="12294" width="8.875" style="1637"/>
    <col min="12295" max="12295" width="9.375" style="1637" bestFit="1" customWidth="1"/>
    <col min="12296" max="12297" width="8.875" style="1637"/>
    <col min="12298" max="12298" width="9.375" style="1637" bestFit="1" customWidth="1"/>
    <col min="12299" max="12299" width="4" style="1637" customWidth="1"/>
    <col min="12300" max="12300" width="5.125" style="1637" customWidth="1"/>
    <col min="12301" max="12301" width="13.875" style="1637" customWidth="1"/>
    <col min="12302" max="12544" width="8.875" style="1637"/>
    <col min="12545" max="12545" width="4.875" style="1637" customWidth="1"/>
    <col min="12546" max="12546" width="13.125" style="1637" customWidth="1"/>
    <col min="12547" max="12547" width="15.625" style="1637" customWidth="1"/>
    <col min="12548" max="12548" width="9.375" style="1637" bestFit="1" customWidth="1"/>
    <col min="12549" max="12549" width="13.5" style="1637" customWidth="1"/>
    <col min="12550" max="12550" width="8.875" style="1637"/>
    <col min="12551" max="12551" width="9.375" style="1637" bestFit="1" customWidth="1"/>
    <col min="12552" max="12553" width="8.875" style="1637"/>
    <col min="12554" max="12554" width="9.375" style="1637" bestFit="1" customWidth="1"/>
    <col min="12555" max="12555" width="4" style="1637" customWidth="1"/>
    <col min="12556" max="12556" width="5.125" style="1637" customWidth="1"/>
    <col min="12557" max="12557" width="13.875" style="1637" customWidth="1"/>
    <col min="12558" max="12800" width="8.875" style="1637"/>
    <col min="12801" max="12801" width="4.875" style="1637" customWidth="1"/>
    <col min="12802" max="12802" width="13.125" style="1637" customWidth="1"/>
    <col min="12803" max="12803" width="15.625" style="1637" customWidth="1"/>
    <col min="12804" max="12804" width="9.375" style="1637" bestFit="1" customWidth="1"/>
    <col min="12805" max="12805" width="13.5" style="1637" customWidth="1"/>
    <col min="12806" max="12806" width="8.875" style="1637"/>
    <col min="12807" max="12807" width="9.375" style="1637" bestFit="1" customWidth="1"/>
    <col min="12808" max="12809" width="8.875" style="1637"/>
    <col min="12810" max="12810" width="9.375" style="1637" bestFit="1" customWidth="1"/>
    <col min="12811" max="12811" width="4" style="1637" customWidth="1"/>
    <col min="12812" max="12812" width="5.125" style="1637" customWidth="1"/>
    <col min="12813" max="12813" width="13.875" style="1637" customWidth="1"/>
    <col min="12814" max="13056" width="8.875" style="1637"/>
    <col min="13057" max="13057" width="4.875" style="1637" customWidth="1"/>
    <col min="13058" max="13058" width="13.125" style="1637" customWidth="1"/>
    <col min="13059" max="13059" width="15.625" style="1637" customWidth="1"/>
    <col min="13060" max="13060" width="9.375" style="1637" bestFit="1" customWidth="1"/>
    <col min="13061" max="13061" width="13.5" style="1637" customWidth="1"/>
    <col min="13062" max="13062" width="8.875" style="1637"/>
    <col min="13063" max="13063" width="9.375" style="1637" bestFit="1" customWidth="1"/>
    <col min="13064" max="13065" width="8.875" style="1637"/>
    <col min="13066" max="13066" width="9.375" style="1637" bestFit="1" customWidth="1"/>
    <col min="13067" max="13067" width="4" style="1637" customWidth="1"/>
    <col min="13068" max="13068" width="5.125" style="1637" customWidth="1"/>
    <col min="13069" max="13069" width="13.875" style="1637" customWidth="1"/>
    <col min="13070" max="13312" width="8.875" style="1637"/>
    <col min="13313" max="13313" width="4.875" style="1637" customWidth="1"/>
    <col min="13314" max="13314" width="13.125" style="1637" customWidth="1"/>
    <col min="13315" max="13315" width="15.625" style="1637" customWidth="1"/>
    <col min="13316" max="13316" width="9.375" style="1637" bestFit="1" customWidth="1"/>
    <col min="13317" max="13317" width="13.5" style="1637" customWidth="1"/>
    <col min="13318" max="13318" width="8.875" style="1637"/>
    <col min="13319" max="13319" width="9.375" style="1637" bestFit="1" customWidth="1"/>
    <col min="13320" max="13321" width="8.875" style="1637"/>
    <col min="13322" max="13322" width="9.375" style="1637" bestFit="1" customWidth="1"/>
    <col min="13323" max="13323" width="4" style="1637" customWidth="1"/>
    <col min="13324" max="13324" width="5.125" style="1637" customWidth="1"/>
    <col min="13325" max="13325" width="13.875" style="1637" customWidth="1"/>
    <col min="13326" max="13568" width="8.875" style="1637"/>
    <col min="13569" max="13569" width="4.875" style="1637" customWidth="1"/>
    <col min="13570" max="13570" width="13.125" style="1637" customWidth="1"/>
    <col min="13571" max="13571" width="15.625" style="1637" customWidth="1"/>
    <col min="13572" max="13572" width="9.375" style="1637" bestFit="1" customWidth="1"/>
    <col min="13573" max="13573" width="13.5" style="1637" customWidth="1"/>
    <col min="13574" max="13574" width="8.875" style="1637"/>
    <col min="13575" max="13575" width="9.375" style="1637" bestFit="1" customWidth="1"/>
    <col min="13576" max="13577" width="8.875" style="1637"/>
    <col min="13578" max="13578" width="9.375" style="1637" bestFit="1" customWidth="1"/>
    <col min="13579" max="13579" width="4" style="1637" customWidth="1"/>
    <col min="13580" max="13580" width="5.125" style="1637" customWidth="1"/>
    <col min="13581" max="13581" width="13.875" style="1637" customWidth="1"/>
    <col min="13582" max="13824" width="8.875" style="1637"/>
    <col min="13825" max="13825" width="4.875" style="1637" customWidth="1"/>
    <col min="13826" max="13826" width="13.125" style="1637" customWidth="1"/>
    <col min="13827" max="13827" width="15.625" style="1637" customWidth="1"/>
    <col min="13828" max="13828" width="9.375" style="1637" bestFit="1" customWidth="1"/>
    <col min="13829" max="13829" width="13.5" style="1637" customWidth="1"/>
    <col min="13830" max="13830" width="8.875" style="1637"/>
    <col min="13831" max="13831" width="9.375" style="1637" bestFit="1" customWidth="1"/>
    <col min="13832" max="13833" width="8.875" style="1637"/>
    <col min="13834" max="13834" width="9.375" style="1637" bestFit="1" customWidth="1"/>
    <col min="13835" max="13835" width="4" style="1637" customWidth="1"/>
    <col min="13836" max="13836" width="5.125" style="1637" customWidth="1"/>
    <col min="13837" max="13837" width="13.875" style="1637" customWidth="1"/>
    <col min="13838" max="14080" width="8.875" style="1637"/>
    <col min="14081" max="14081" width="4.875" style="1637" customWidth="1"/>
    <col min="14082" max="14082" width="13.125" style="1637" customWidth="1"/>
    <col min="14083" max="14083" width="15.625" style="1637" customWidth="1"/>
    <col min="14084" max="14084" width="9.375" style="1637" bestFit="1" customWidth="1"/>
    <col min="14085" max="14085" width="13.5" style="1637" customWidth="1"/>
    <col min="14086" max="14086" width="8.875" style="1637"/>
    <col min="14087" max="14087" width="9.375" style="1637" bestFit="1" customWidth="1"/>
    <col min="14088" max="14089" width="8.875" style="1637"/>
    <col min="14090" max="14090" width="9.375" style="1637" bestFit="1" customWidth="1"/>
    <col min="14091" max="14091" width="4" style="1637" customWidth="1"/>
    <col min="14092" max="14092" width="5.125" style="1637" customWidth="1"/>
    <col min="14093" max="14093" width="13.875" style="1637" customWidth="1"/>
    <col min="14094" max="14336" width="8.875" style="1637"/>
    <col min="14337" max="14337" width="4.875" style="1637" customWidth="1"/>
    <col min="14338" max="14338" width="13.125" style="1637" customWidth="1"/>
    <col min="14339" max="14339" width="15.625" style="1637" customWidth="1"/>
    <col min="14340" max="14340" width="9.375" style="1637" bestFit="1" customWidth="1"/>
    <col min="14341" max="14341" width="13.5" style="1637" customWidth="1"/>
    <col min="14342" max="14342" width="8.875" style="1637"/>
    <col min="14343" max="14343" width="9.375" style="1637" bestFit="1" customWidth="1"/>
    <col min="14344" max="14345" width="8.875" style="1637"/>
    <col min="14346" max="14346" width="9.375" style="1637" bestFit="1" customWidth="1"/>
    <col min="14347" max="14347" width="4" style="1637" customWidth="1"/>
    <col min="14348" max="14348" width="5.125" style="1637" customWidth="1"/>
    <col min="14349" max="14349" width="13.875" style="1637" customWidth="1"/>
    <col min="14350" max="14592" width="8.875" style="1637"/>
    <col min="14593" max="14593" width="4.875" style="1637" customWidth="1"/>
    <col min="14594" max="14594" width="13.125" style="1637" customWidth="1"/>
    <col min="14595" max="14595" width="15.625" style="1637" customWidth="1"/>
    <col min="14596" max="14596" width="9.375" style="1637" bestFit="1" customWidth="1"/>
    <col min="14597" max="14597" width="13.5" style="1637" customWidth="1"/>
    <col min="14598" max="14598" width="8.875" style="1637"/>
    <col min="14599" max="14599" width="9.375" style="1637" bestFit="1" customWidth="1"/>
    <col min="14600" max="14601" width="8.875" style="1637"/>
    <col min="14602" max="14602" width="9.375" style="1637" bestFit="1" customWidth="1"/>
    <col min="14603" max="14603" width="4" style="1637" customWidth="1"/>
    <col min="14604" max="14604" width="5.125" style="1637" customWidth="1"/>
    <col min="14605" max="14605" width="13.875" style="1637" customWidth="1"/>
    <col min="14606" max="14848" width="8.875" style="1637"/>
    <col min="14849" max="14849" width="4.875" style="1637" customWidth="1"/>
    <col min="14850" max="14850" width="13.125" style="1637" customWidth="1"/>
    <col min="14851" max="14851" width="15.625" style="1637" customWidth="1"/>
    <col min="14852" max="14852" width="9.375" style="1637" bestFit="1" customWidth="1"/>
    <col min="14853" max="14853" width="13.5" style="1637" customWidth="1"/>
    <col min="14854" max="14854" width="8.875" style="1637"/>
    <col min="14855" max="14855" width="9.375" style="1637" bestFit="1" customWidth="1"/>
    <col min="14856" max="14857" width="8.875" style="1637"/>
    <col min="14858" max="14858" width="9.375" style="1637" bestFit="1" customWidth="1"/>
    <col min="14859" max="14859" width="4" style="1637" customWidth="1"/>
    <col min="14860" max="14860" width="5.125" style="1637" customWidth="1"/>
    <col min="14861" max="14861" width="13.875" style="1637" customWidth="1"/>
    <col min="14862" max="15104" width="8.875" style="1637"/>
    <col min="15105" max="15105" width="4.875" style="1637" customWidth="1"/>
    <col min="15106" max="15106" width="13.125" style="1637" customWidth="1"/>
    <col min="15107" max="15107" width="15.625" style="1637" customWidth="1"/>
    <col min="15108" max="15108" width="9.375" style="1637" bestFit="1" customWidth="1"/>
    <col min="15109" max="15109" width="13.5" style="1637" customWidth="1"/>
    <col min="15110" max="15110" width="8.875" style="1637"/>
    <col min="15111" max="15111" width="9.375" style="1637" bestFit="1" customWidth="1"/>
    <col min="15112" max="15113" width="8.875" style="1637"/>
    <col min="15114" max="15114" width="9.375" style="1637" bestFit="1" customWidth="1"/>
    <col min="15115" max="15115" width="4" style="1637" customWidth="1"/>
    <col min="15116" max="15116" width="5.125" style="1637" customWidth="1"/>
    <col min="15117" max="15117" width="13.875" style="1637" customWidth="1"/>
    <col min="15118" max="15360" width="8.875" style="1637"/>
    <col min="15361" max="15361" width="4.875" style="1637" customWidth="1"/>
    <col min="15362" max="15362" width="13.125" style="1637" customWidth="1"/>
    <col min="15363" max="15363" width="15.625" style="1637" customWidth="1"/>
    <col min="15364" max="15364" width="9.375" style="1637" bestFit="1" customWidth="1"/>
    <col min="15365" max="15365" width="13.5" style="1637" customWidth="1"/>
    <col min="15366" max="15366" width="8.875" style="1637"/>
    <col min="15367" max="15367" width="9.375" style="1637" bestFit="1" customWidth="1"/>
    <col min="15368" max="15369" width="8.875" style="1637"/>
    <col min="15370" max="15370" width="9.375" style="1637" bestFit="1" customWidth="1"/>
    <col min="15371" max="15371" width="4" style="1637" customWidth="1"/>
    <col min="15372" max="15372" width="5.125" style="1637" customWidth="1"/>
    <col min="15373" max="15373" width="13.875" style="1637" customWidth="1"/>
    <col min="15374" max="15616" width="8.875" style="1637"/>
    <col min="15617" max="15617" width="4.875" style="1637" customWidth="1"/>
    <col min="15618" max="15618" width="13.125" style="1637" customWidth="1"/>
    <col min="15619" max="15619" width="15.625" style="1637" customWidth="1"/>
    <col min="15620" max="15620" width="9.375" style="1637" bestFit="1" customWidth="1"/>
    <col min="15621" max="15621" width="13.5" style="1637" customWidth="1"/>
    <col min="15622" max="15622" width="8.875" style="1637"/>
    <col min="15623" max="15623" width="9.375" style="1637" bestFit="1" customWidth="1"/>
    <col min="15624" max="15625" width="8.875" style="1637"/>
    <col min="15626" max="15626" width="9.375" style="1637" bestFit="1" customWidth="1"/>
    <col min="15627" max="15627" width="4" style="1637" customWidth="1"/>
    <col min="15628" max="15628" width="5.125" style="1637" customWidth="1"/>
    <col min="15629" max="15629" width="13.875" style="1637" customWidth="1"/>
    <col min="15630" max="15872" width="8.875" style="1637"/>
    <col min="15873" max="15873" width="4.875" style="1637" customWidth="1"/>
    <col min="15874" max="15874" width="13.125" style="1637" customWidth="1"/>
    <col min="15875" max="15875" width="15.625" style="1637" customWidth="1"/>
    <col min="15876" max="15876" width="9.375" style="1637" bestFit="1" customWidth="1"/>
    <col min="15877" max="15877" width="13.5" style="1637" customWidth="1"/>
    <col min="15878" max="15878" width="8.875" style="1637"/>
    <col min="15879" max="15879" width="9.375" style="1637" bestFit="1" customWidth="1"/>
    <col min="15880" max="15881" width="8.875" style="1637"/>
    <col min="15882" max="15882" width="9.375" style="1637" bestFit="1" customWidth="1"/>
    <col min="15883" max="15883" width="4" style="1637" customWidth="1"/>
    <col min="15884" max="15884" width="5.125" style="1637" customWidth="1"/>
    <col min="15885" max="15885" width="13.875" style="1637" customWidth="1"/>
    <col min="15886" max="16128" width="8.875" style="1637"/>
    <col min="16129" max="16129" width="4.875" style="1637" customWidth="1"/>
    <col min="16130" max="16130" width="13.125" style="1637" customWidth="1"/>
    <col min="16131" max="16131" width="15.625" style="1637" customWidth="1"/>
    <col min="16132" max="16132" width="9.375" style="1637" bestFit="1" customWidth="1"/>
    <col min="16133" max="16133" width="13.5" style="1637" customWidth="1"/>
    <col min="16134" max="16134" width="8.875" style="1637"/>
    <col min="16135" max="16135" width="9.375" style="1637" bestFit="1" customWidth="1"/>
    <col min="16136" max="16137" width="8.875" style="1637"/>
    <col min="16138" max="16138" width="9.375" style="1637" bestFit="1" customWidth="1"/>
    <col min="16139" max="16139" width="4" style="1637" customWidth="1"/>
    <col min="16140" max="16140" width="5.125" style="1637" customWidth="1"/>
    <col min="16141" max="16141" width="13.875" style="1637" customWidth="1"/>
    <col min="16142" max="16384" width="8.875" style="1637"/>
  </cols>
  <sheetData>
    <row r="1" spans="1:257" s="1701" customFormat="1" ht="14.25" thickBot="1">
      <c r="A1" s="1695"/>
      <c r="B1" s="1702" t="s">
        <v>1296</v>
      </c>
      <c r="C1" s="1696">
        <f>项目基本情况!D3</f>
        <v>43482</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3116" t="s">
        <v>1658</v>
      </c>
      <c r="B1" s="3116"/>
      <c r="C1" s="3116"/>
      <c r="D1" s="3116"/>
    </row>
    <row r="2" spans="1:4" ht="18">
      <c r="A2" s="3117" t="s">
        <v>1642</v>
      </c>
      <c r="B2" s="3117"/>
      <c r="C2" s="3117"/>
      <c r="D2" s="3117"/>
    </row>
    <row r="3" spans="1:4" ht="18.75">
      <c r="A3" s="1979" t="s">
        <v>1643</v>
      </c>
      <c r="B3" s="1979" t="s">
        <v>1644</v>
      </c>
      <c r="C3" s="1979" t="s">
        <v>1645</v>
      </c>
      <c r="D3" s="1979" t="s">
        <v>1646</v>
      </c>
    </row>
    <row r="4" spans="1:4" ht="56.25" customHeight="1">
      <c r="A4" s="1980" t="str">
        <f>项目基本情况!B4</f>
        <v>王鹏</v>
      </c>
      <c r="B4" s="1981">
        <f ca="1">项目基本情况!C4</f>
        <v>1120050019</v>
      </c>
      <c r="C4" s="1982"/>
      <c r="D4" s="1983" t="s">
        <v>1647</v>
      </c>
    </row>
    <row r="5" spans="1:4" ht="56.25" customHeight="1">
      <c r="A5" s="1980" t="str">
        <f>项目基本情况!D4</f>
        <v>郑燚</v>
      </c>
      <c r="B5" s="1981">
        <f ca="1">项目基本情况!E4</f>
        <v>1120070131</v>
      </c>
      <c r="C5" s="1984"/>
      <c r="D5" s="1983" t="s">
        <v>1647</v>
      </c>
    </row>
    <row r="6" spans="1:4" ht="18">
      <c r="A6" s="3117" t="s">
        <v>1648</v>
      </c>
      <c r="B6" s="3117"/>
      <c r="C6" s="3117"/>
      <c r="D6" s="3117"/>
    </row>
    <row r="7" spans="1:4" ht="18.75">
      <c r="A7" s="1979" t="s">
        <v>1643</v>
      </c>
      <c r="B7" s="1981" t="s">
        <v>1649</v>
      </c>
      <c r="C7" s="1979" t="s">
        <v>1645</v>
      </c>
      <c r="D7" s="1979" t="s">
        <v>1646</v>
      </c>
    </row>
    <row r="8" spans="1:4" ht="56.25" customHeight="1">
      <c r="A8" s="1985" t="s">
        <v>866</v>
      </c>
      <c r="B8" s="1985" t="s">
        <v>1</v>
      </c>
      <c r="C8" s="1982"/>
      <c r="D8" s="1983" t="s">
        <v>1647</v>
      </c>
    </row>
    <row r="9" spans="1:4">
      <c r="A9" s="728"/>
      <c r="B9" s="728"/>
      <c r="C9" s="728"/>
      <c r="D9" s="728"/>
    </row>
    <row r="10" spans="1:4" ht="18.75">
      <c r="A10" s="1986" t="s">
        <v>1650</v>
      </c>
      <c r="B10" s="728"/>
      <c r="C10" s="728"/>
      <c r="D10" s="728"/>
    </row>
    <row r="11" spans="1:4" ht="30" customHeight="1">
      <c r="A11" s="3118" t="s">
        <v>1651</v>
      </c>
      <c r="B11" s="3119"/>
      <c r="C11" s="3119"/>
      <c r="D11" s="3119"/>
    </row>
    <row r="12" spans="1:4" ht="15.75">
      <c r="A12" s="31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0"/>
      <c r="C12" s="3120"/>
      <c r="D12" s="3120"/>
    </row>
    <row r="13" spans="1:4" ht="30" customHeight="1">
      <c r="A13" s="31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0"/>
      <c r="C13" s="3120"/>
      <c r="D13" s="3120"/>
    </row>
    <row r="14" spans="1:4" ht="15.75" customHeight="1">
      <c r="A14" s="3119" t="str">
        <f>IF(项目基本情况!B8="抵押","4.本次评估估价师所知悉的法定优先受偿款情况说明如下：","——")</f>
        <v>4.本次评估估价师所知悉的法定优先受偿款情况说明如下：</v>
      </c>
      <c r="B14" s="3120"/>
      <c r="C14" s="3120"/>
      <c r="D14" s="3120"/>
    </row>
    <row r="15" spans="1:4" ht="42" customHeight="1">
      <c r="A15" s="3119"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根据《不动产登记证明》[粤（2017）深圳市不动产证明第0149727号；粤（2018）深圳市不动产证明第0052753号]复印件，估价对象已抵押给，权利范围为，权利价值为。</v>
      </c>
      <c r="B15" s="3119"/>
      <c r="C15" s="3119"/>
      <c r="D15" s="3119"/>
    </row>
    <row r="16" spans="1:4" ht="30" customHeight="1">
      <c r="A16" s="3122" t="s">
        <v>1652</v>
      </c>
      <c r="B16" s="3122"/>
      <c r="C16" s="3122"/>
      <c r="D16" s="3122"/>
    </row>
    <row r="17" spans="1:4" ht="144" customHeight="1">
      <c r="A17" s="3122" t="s">
        <v>1653</v>
      </c>
      <c r="B17" s="3122"/>
      <c r="C17" s="3122"/>
      <c r="D17" s="3122"/>
    </row>
    <row r="18" spans="1:4" ht="15.75" customHeight="1">
      <c r="A18" s="3119" t="str">
        <f>IF(项目基本情况!B8="抵押",'结果表（住宅）'!K120,"——")</f>
        <v>故，本次评估不存在估价师知悉的法定优先受偿款</v>
      </c>
      <c r="B18" s="3119"/>
      <c r="C18" s="3119"/>
      <c r="D18" s="3119"/>
    </row>
    <row r="19" spans="1:4" ht="46.5" customHeight="1">
      <c r="A19" s="31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9"/>
      <c r="C19" s="3119"/>
      <c r="D19" s="3119"/>
    </row>
    <row r="20" spans="1:4" ht="57.75" customHeight="1">
      <c r="A20" s="3119"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9"/>
      <c r="C20" s="3119"/>
      <c r="D20" s="3119"/>
    </row>
    <row r="21" spans="1:4" ht="57.75" customHeight="1">
      <c r="A21" s="3123"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3"/>
      <c r="C21" s="3123"/>
      <c r="D21" s="3123"/>
    </row>
    <row r="22" spans="1:4" ht="18.75" customHeight="1">
      <c r="A22" s="3124" t="s">
        <v>1654</v>
      </c>
      <c r="B22" s="3124"/>
      <c r="C22" s="3124"/>
      <c r="D22" s="3124"/>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3121">
        <v>42551</v>
      </c>
      <c r="D31" s="31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3130" t="s">
        <v>1665</v>
      </c>
      <c r="B15" s="3125" t="s">
        <v>136</v>
      </c>
      <c r="C15" s="3126"/>
    </row>
    <row r="16" spans="1:7" ht="13.5">
      <c r="A16" s="3131"/>
      <c r="B16" s="3125" t="s">
        <v>69</v>
      </c>
      <c r="C16" s="3126"/>
    </row>
    <row r="17" spans="1:3" ht="13.5">
      <c r="A17" s="3131"/>
      <c r="B17" s="3128" t="s">
        <v>1666</v>
      </c>
      <c r="C17" s="2002" t="s">
        <v>1665</v>
      </c>
    </row>
    <row r="18" spans="1:3" ht="13.5">
      <c r="A18" s="3131"/>
      <c r="B18" s="3128"/>
      <c r="C18" s="2002" t="s">
        <v>1667</v>
      </c>
    </row>
    <row r="19" spans="1:3" ht="13.5">
      <c r="A19" s="3131"/>
      <c r="B19" s="3128"/>
      <c r="C19" s="2002" t="s">
        <v>1668</v>
      </c>
    </row>
    <row r="20" spans="1:3" ht="13.5">
      <c r="A20" s="3132"/>
      <c r="B20" s="3127" t="s">
        <v>1669</v>
      </c>
      <c r="C20" s="3126"/>
    </row>
    <row r="21" spans="1:3" ht="13.5">
      <c r="A21" s="2003" t="s">
        <v>1670</v>
      </c>
      <c r="B21" s="2004"/>
      <c r="C21" s="2005"/>
    </row>
    <row r="22" spans="1:3" ht="13.5">
      <c r="A22" s="3129" t="s">
        <v>1671</v>
      </c>
      <c r="B22" s="3127" t="s">
        <v>1672</v>
      </c>
      <c r="C22" s="3126"/>
    </row>
    <row r="23" spans="1:3" ht="13.5">
      <c r="A23" s="3129"/>
      <c r="B23" s="3127" t="s">
        <v>1673</v>
      </c>
      <c r="C23" s="3126"/>
    </row>
    <row r="24" spans="1:3" ht="13.5">
      <c r="A24" s="3129"/>
      <c r="B24" s="3127" t="s">
        <v>1674</v>
      </c>
      <c r="C24" s="3126"/>
    </row>
    <row r="25" spans="1:3" ht="13.5">
      <c r="A25" s="3129"/>
      <c r="B25" s="3128" t="s">
        <v>1675</v>
      </c>
      <c r="C25" s="2002" t="s">
        <v>1676</v>
      </c>
    </row>
    <row r="26" spans="1:3" ht="13.5">
      <c r="A26" s="3129"/>
      <c r="B26" s="3128"/>
      <c r="C26" s="2002" t="s">
        <v>1677</v>
      </c>
    </row>
    <row r="27" spans="1:3" ht="13.5">
      <c r="A27" s="3129"/>
      <c r="B27" s="3128"/>
      <c r="C27" s="2002" t="s">
        <v>1678</v>
      </c>
    </row>
    <row r="28" spans="1:3" ht="13.5">
      <c r="A28" s="3129"/>
      <c r="B28" s="3128"/>
      <c r="C28" s="2002" t="s">
        <v>1679</v>
      </c>
    </row>
    <row r="29" spans="1:3" ht="13.5">
      <c r="A29" s="3129"/>
      <c r="B29" s="3128"/>
      <c r="C29" s="2002" t="s">
        <v>1680</v>
      </c>
    </row>
    <row r="30" spans="1:3" ht="13.5">
      <c r="A30" s="3129"/>
      <c r="B30" s="3128"/>
      <c r="C30" s="2002" t="s">
        <v>1681</v>
      </c>
    </row>
    <row r="31" spans="1:3" ht="13.5">
      <c r="A31" s="3129"/>
      <c r="B31" s="3128"/>
      <c r="C31" s="2002" t="s">
        <v>1682</v>
      </c>
    </row>
    <row r="32" spans="1:3" ht="13.5">
      <c r="A32" s="3129"/>
      <c r="B32" s="3128"/>
      <c r="C32" s="2002" t="s">
        <v>1683</v>
      </c>
    </row>
    <row r="33" spans="1:3" ht="13.5">
      <c r="A33" s="3129"/>
      <c r="B33" s="3128"/>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70" zoomScaleSheetLayoutView="7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43487</v>
      </c>
      <c r="C2" s="1021" t="s">
        <v>826</v>
      </c>
      <c r="D2" s="1021"/>
    </row>
    <row r="3" spans="1:6" ht="24" customHeight="1">
      <c r="A3" s="1022" t="s">
        <v>827</v>
      </c>
      <c r="B3" s="1023" t="s">
        <v>828</v>
      </c>
      <c r="C3" s="2345" t="s">
        <v>829</v>
      </c>
      <c r="D3" s="2348" t="s">
        <v>830</v>
      </c>
      <c r="E3" s="1024" t="s">
        <v>831</v>
      </c>
      <c r="F3" s="1023" t="s">
        <v>829</v>
      </c>
    </row>
    <row r="4" spans="1:6" ht="24" customHeight="1">
      <c r="A4" s="1704" t="s">
        <v>832</v>
      </c>
      <c r="B4" s="1024">
        <f ca="1">IF(C4&lt;B2,"已过期",1119970066)</f>
        <v>1119970066</v>
      </c>
      <c r="C4" s="2346">
        <v>43849</v>
      </c>
      <c r="D4" s="2349" t="s">
        <v>832</v>
      </c>
      <c r="E4" s="1024">
        <f ca="1">IF(F4&lt;B2,"已过期",96010014)</f>
        <v>96010014</v>
      </c>
      <c r="F4" s="1032">
        <v>47118</v>
      </c>
    </row>
    <row r="5" spans="1:6" ht="24" customHeight="1">
      <c r="A5" s="1704" t="s">
        <v>833</v>
      </c>
      <c r="B5" s="1024">
        <f ca="1">IF(C5&lt;B2,"已过期",1119970074)</f>
        <v>1119970074</v>
      </c>
      <c r="C5" s="2346">
        <v>43849</v>
      </c>
      <c r="D5" s="2349" t="s">
        <v>833</v>
      </c>
      <c r="E5" s="1024">
        <f ca="1">IF(F5&lt;B2,"已过期",2002110027)</f>
        <v>2002110027</v>
      </c>
      <c r="F5" s="1032">
        <v>46752</v>
      </c>
    </row>
    <row r="6" spans="1:6" ht="24" customHeight="1">
      <c r="A6" s="1704" t="s">
        <v>834</v>
      </c>
      <c r="B6" s="1024">
        <f ca="1">IF(C6&lt;B2,"已过期",1119970111)</f>
        <v>1119970111</v>
      </c>
      <c r="C6" s="2346">
        <v>43849</v>
      </c>
      <c r="D6" s="2349" t="s">
        <v>834</v>
      </c>
      <c r="E6" s="1024">
        <f ca="1">IF(F6&lt;B2,"已过期",94010078)</f>
        <v>94010078</v>
      </c>
      <c r="F6" s="1032">
        <v>46387</v>
      </c>
    </row>
    <row r="7" spans="1:6" ht="24" customHeight="1">
      <c r="A7" s="1704" t="s">
        <v>835</v>
      </c>
      <c r="B7" s="1024">
        <f ca="1">IF(C7&lt;B2,"已过期",1120050019)</f>
        <v>1120050019</v>
      </c>
      <c r="C7" s="2346">
        <v>44395</v>
      </c>
      <c r="D7" s="2349" t="s">
        <v>835</v>
      </c>
      <c r="E7" s="1024">
        <f ca="1">IF(F7&lt;B2,"已过期",2002110030)</f>
        <v>2002110030</v>
      </c>
      <c r="F7" s="1032">
        <v>46387</v>
      </c>
    </row>
    <row r="8" spans="1:6" ht="24" customHeight="1">
      <c r="A8" s="1704" t="s">
        <v>836</v>
      </c>
      <c r="B8" s="1024">
        <f ca="1">IF(C8&lt;B2,"已过期",1120000080)</f>
        <v>1120000080</v>
      </c>
      <c r="C8" s="2346">
        <v>43849</v>
      </c>
      <c r="D8" s="2349" t="s">
        <v>836</v>
      </c>
      <c r="E8" s="1024">
        <f ca="1">IF(F8&lt;B2,"已过期",2000110082)</f>
        <v>2000110082</v>
      </c>
      <c r="F8" s="1032">
        <v>46387</v>
      </c>
    </row>
    <row r="9" spans="1:6" ht="24" customHeight="1">
      <c r="A9" s="1704" t="s">
        <v>837</v>
      </c>
      <c r="B9" s="1024">
        <f ca="1">IF(C9&lt;B2,"已过期",1419970001)</f>
        <v>1419970001</v>
      </c>
      <c r="C9" s="2346">
        <v>43867</v>
      </c>
      <c r="D9" s="2349" t="s">
        <v>837</v>
      </c>
      <c r="E9" s="1024">
        <f ca="1">IF(F9&lt;B2,"已过期",2002110125)</f>
        <v>2002110125</v>
      </c>
      <c r="F9" s="1032">
        <v>47118</v>
      </c>
    </row>
    <row r="10" spans="1:6" ht="24" customHeight="1">
      <c r="A10" s="1704" t="s">
        <v>838</v>
      </c>
      <c r="B10" s="1024" t="str">
        <f ca="1">IF(C10&lt;B2,"已过期",1120060040)</f>
        <v>已过期</v>
      </c>
      <c r="C10" s="2346">
        <v>43483</v>
      </c>
      <c r="D10" s="2349" t="s">
        <v>838</v>
      </c>
      <c r="E10" s="1024">
        <f ca="1">IF(F10&lt;B2,"已过期",2004110096)</f>
        <v>2004110096</v>
      </c>
      <c r="F10" s="1032">
        <v>47118</v>
      </c>
    </row>
    <row r="11" spans="1:6" ht="24" customHeight="1">
      <c r="A11" s="1704" t="s">
        <v>839</v>
      </c>
      <c r="B11" s="1024">
        <f ca="1">IF(C11&lt;B2,"已过期",1120100036)</f>
        <v>1120100036</v>
      </c>
      <c r="C11" s="2346">
        <v>43622</v>
      </c>
      <c r="D11" s="2349" t="s">
        <v>839</v>
      </c>
      <c r="E11" s="1024">
        <f ca="1">IF(F11&lt;B2,"已过期",2010110070)</f>
        <v>2010110070</v>
      </c>
      <c r="F11" s="1032">
        <v>47907</v>
      </c>
    </row>
    <row r="12" spans="1:6" ht="24" customHeight="1">
      <c r="A12" s="1704"/>
      <c r="B12" s="1024"/>
      <c r="C12" s="2936"/>
      <c r="D12" s="1704"/>
      <c r="E12" s="1024"/>
      <c r="F12" s="1032"/>
    </row>
    <row r="13" spans="1:6" ht="24" customHeight="1">
      <c r="A13" s="1704" t="s">
        <v>840</v>
      </c>
      <c r="B13" s="1024">
        <f ca="1">IF(C13&lt;B2,"已过期",1120070131)</f>
        <v>1120070131</v>
      </c>
      <c r="C13" s="2346">
        <v>43814</v>
      </c>
      <c r="D13" s="2349" t="s">
        <v>840</v>
      </c>
      <c r="E13" s="1024">
        <f ca="1">IF(F13&lt;B2,"已过期",2014110011)</f>
        <v>2014110011</v>
      </c>
      <c r="F13" s="1032">
        <v>49302</v>
      </c>
    </row>
    <row r="14" spans="1:6" ht="24" customHeight="1">
      <c r="A14" s="1704" t="s">
        <v>3042</v>
      </c>
      <c r="B14" s="1024">
        <f ca="1">IF(C14&lt;B2,"已过期",1120040230)</f>
        <v>1120040230</v>
      </c>
      <c r="C14" s="2346">
        <v>43835</v>
      </c>
      <c r="D14" s="2349" t="s">
        <v>3042</v>
      </c>
      <c r="E14" s="1024">
        <f ca="1">IF(F14&lt;B2,"已过期",98030020)</f>
        <v>98030020</v>
      </c>
      <c r="F14" s="1032">
        <v>47118</v>
      </c>
    </row>
    <row r="15" spans="1:6" ht="24" customHeight="1">
      <c r="A15" s="1705" t="s">
        <v>3043</v>
      </c>
      <c r="B15" s="1024">
        <f ca="1">IF(C15&lt;B2,"已过期",1120070085)</f>
        <v>1120070085</v>
      </c>
      <c r="C15" s="2346">
        <v>43814</v>
      </c>
      <c r="D15" s="2350" t="s">
        <v>3043</v>
      </c>
      <c r="E15" s="1024">
        <f ca="1">IF(F15&lt;B2,"已过期",2004110128)</f>
        <v>2004110128</v>
      </c>
      <c r="F15" s="1025">
        <v>47118</v>
      </c>
    </row>
    <row r="16" spans="1:6" ht="24" customHeight="1">
      <c r="A16" s="1704" t="s">
        <v>3044</v>
      </c>
      <c r="B16" s="1024">
        <f ca="1">IF(C16&lt;B2,"已过期",1120140022)</f>
        <v>1120140022</v>
      </c>
      <c r="C16" s="2936">
        <v>44029</v>
      </c>
      <c r="D16" s="2349" t="s">
        <v>3044</v>
      </c>
      <c r="E16" s="1024">
        <f ca="1">IF(F16&lt;B2,"已过期",2008110059)</f>
        <v>2008110059</v>
      </c>
      <c r="F16" s="1032">
        <v>47177</v>
      </c>
    </row>
    <row r="17" spans="1:7" ht="24" customHeight="1">
      <c r="A17" s="1704"/>
      <c r="B17" s="1024"/>
      <c r="C17" s="2346"/>
      <c r="D17" s="2349" t="s">
        <v>3045</v>
      </c>
      <c r="E17" s="1024">
        <f ca="1">IF(F17&lt;B2,"已过期",2014110076)</f>
        <v>2014110076</v>
      </c>
      <c r="F17" s="1032">
        <v>49302</v>
      </c>
    </row>
    <row r="18" spans="1:7" ht="24" customHeight="1">
      <c r="A18" s="1704"/>
      <c r="B18" s="1024"/>
      <c r="C18" s="2346"/>
      <c r="D18" s="2349"/>
      <c r="E18" s="1024"/>
      <c r="F18" s="1032"/>
    </row>
    <row r="19" spans="1:7" ht="24" customHeight="1">
      <c r="A19" s="1704"/>
      <c r="B19" s="1024"/>
      <c r="C19" s="2346"/>
      <c r="D19" s="2349"/>
      <c r="E19" s="1024"/>
      <c r="F19" s="1024"/>
    </row>
    <row r="20" spans="1:7" ht="24" customHeight="1">
      <c r="A20" s="1704"/>
      <c r="B20" s="1024"/>
      <c r="C20" s="2346"/>
      <c r="D20" s="2349"/>
      <c r="E20" s="1024"/>
      <c r="F20" s="1024"/>
    </row>
    <row r="21" spans="1:7" ht="24" customHeight="1">
      <c r="A21" s="1704"/>
      <c r="B21" s="1024"/>
      <c r="C21" s="2346"/>
      <c r="D21" s="2349" t="s">
        <v>841</v>
      </c>
      <c r="E21" s="1024">
        <f ca="1">IF(F21&lt;B2,"已过期",2011110090)</f>
        <v>2011110090</v>
      </c>
      <c r="F21" s="1032">
        <v>48302</v>
      </c>
    </row>
    <row r="22" spans="1:7" ht="24" customHeight="1">
      <c r="A22" s="1704" t="s">
        <v>842</v>
      </c>
      <c r="B22" s="1024">
        <f ca="1">IF(C22&lt;B2,"已过期",1120020033)</f>
        <v>1120020033</v>
      </c>
      <c r="C22" s="2936">
        <v>44339</v>
      </c>
      <c r="D22" s="2349" t="s">
        <v>842</v>
      </c>
      <c r="E22" s="1024">
        <f ca="1">IF(F22&lt;B2,"已过期",2000110137)</f>
        <v>2000110137</v>
      </c>
      <c r="F22" s="1032">
        <v>46387</v>
      </c>
    </row>
    <row r="23" spans="1:7" ht="24" customHeight="1">
      <c r="A23" s="1704"/>
      <c r="B23" s="1024"/>
      <c r="C23" s="2346"/>
      <c r="D23" s="2349"/>
      <c r="E23" s="1024"/>
      <c r="F23" s="1024"/>
    </row>
    <row r="24" spans="1:7" s="1026" customFormat="1" ht="24" customHeight="1">
      <c r="A24" s="1705" t="s">
        <v>1329</v>
      </c>
      <c r="B24" s="1705" t="s">
        <v>1329</v>
      </c>
      <c r="C24" s="2347" t="s">
        <v>1329</v>
      </c>
      <c r="D24" s="2350" t="s">
        <v>1329</v>
      </c>
      <c r="E24" s="1705" t="s">
        <v>1329</v>
      </c>
      <c r="F24" s="1705" t="s">
        <v>1329</v>
      </c>
    </row>
    <row r="25" spans="1:7" ht="24" customHeight="1">
      <c r="A25" s="3133" t="s">
        <v>843</v>
      </c>
      <c r="B25" s="3133"/>
      <c r="C25" s="3133"/>
      <c r="D25" s="3133"/>
      <c r="E25" s="3133"/>
      <c r="F25" s="3133"/>
      <c r="G25" s="3133"/>
    </row>
    <row r="26" spans="1:7" s="1027" customFormat="1" ht="24" customHeight="1">
      <c r="A26" s="3134" t="s">
        <v>844</v>
      </c>
      <c r="B26" s="3134"/>
      <c r="C26" s="3135"/>
      <c r="D26" s="3136" t="s">
        <v>845</v>
      </c>
      <c r="E26" s="3134"/>
      <c r="F26" s="3134"/>
    </row>
    <row r="27" spans="1:7" s="1029" customFormat="1" ht="24" customHeight="1">
      <c r="A27" s="1028" t="s">
        <v>846</v>
      </c>
      <c r="B27" s="1023" t="s">
        <v>847</v>
      </c>
      <c r="C27" s="2345" t="s">
        <v>848</v>
      </c>
      <c r="D27" s="2353" t="s">
        <v>846</v>
      </c>
      <c r="E27" s="1023" t="s">
        <v>847</v>
      </c>
      <c r="F27" s="1023" t="s">
        <v>848</v>
      </c>
    </row>
    <row r="28" spans="1:7" s="1029" customFormat="1" ht="24" customHeight="1">
      <c r="A28" s="1030" t="s">
        <v>849</v>
      </c>
      <c r="B28" s="1031" t="s">
        <v>850</v>
      </c>
      <c r="C28" s="2351">
        <v>43725</v>
      </c>
      <c r="D28" s="2354" t="s">
        <v>851</v>
      </c>
      <c r="E28" s="1030" t="s">
        <v>852</v>
      </c>
      <c r="F28" s="1060">
        <v>44377</v>
      </c>
    </row>
    <row r="29" spans="1:7" s="1029" customFormat="1" ht="24" customHeight="1">
      <c r="A29" s="1030"/>
      <c r="B29" s="1030"/>
      <c r="C29" s="2352"/>
      <c r="D29" s="2354"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6" type="noConversion"/>
  <conditionalFormatting sqref="C28">
    <cfRule type="expression" dxfId="251" priority="88">
      <formula>AND($C28-TODAY()&lt;30,TODAY()&lt;$C28)</formula>
    </cfRule>
  </conditionalFormatting>
  <conditionalFormatting sqref="C28 F4">
    <cfRule type="cellIs" dxfId="250" priority="90" stopIfTrue="1" operator="lessThan">
      <formula>$B$2</formula>
    </cfRule>
  </conditionalFormatting>
  <conditionalFormatting sqref="C5">
    <cfRule type="expression" dxfId="249" priority="85">
      <formula>AND($C5-TODAY()&lt;30,TODAY()&lt;$C5)</formula>
    </cfRule>
  </conditionalFormatting>
  <conditionalFormatting sqref="C5 F5">
    <cfRule type="cellIs" dxfId="248" priority="86" stopIfTrue="1" operator="lessThan">
      <formula>$B$2</formula>
    </cfRule>
  </conditionalFormatting>
  <conditionalFormatting sqref="F6 F8 F10">
    <cfRule type="cellIs" dxfId="247" priority="84" stopIfTrue="1" operator="lessThan">
      <formula>$B$2</formula>
    </cfRule>
  </conditionalFormatting>
  <conditionalFormatting sqref="C4:C11 C13 C23 C17:C21">
    <cfRule type="expression" dxfId="246" priority="82">
      <formula>AND($C4-TODAY()&lt;30,TODAY()&lt;$C4)</formula>
    </cfRule>
  </conditionalFormatting>
  <conditionalFormatting sqref="F7 F9 F11 C4:C11 C13 C23 C17:C21">
    <cfRule type="cellIs" dxfId="245" priority="83" stopIfTrue="1" operator="lessThan">
      <formula>$B$2</formula>
    </cfRule>
  </conditionalFormatting>
  <conditionalFormatting sqref="C18">
    <cfRule type="expression" dxfId="244" priority="72">
      <formula>AND($C18-TODAY()&lt;30,TODAY()&lt;$C18)</formula>
    </cfRule>
  </conditionalFormatting>
  <conditionalFormatting sqref="C18">
    <cfRule type="cellIs" dxfId="243" priority="73" stopIfTrue="1" operator="lessThan">
      <formula>$B$2</formula>
    </cfRule>
  </conditionalFormatting>
  <conditionalFormatting sqref="C20">
    <cfRule type="expression" dxfId="242" priority="70">
      <formula>AND($C20-TODAY()&lt;30,TODAY()&lt;$C20)</formula>
    </cfRule>
  </conditionalFormatting>
  <conditionalFormatting sqref="C20">
    <cfRule type="cellIs" dxfId="241" priority="71" stopIfTrue="1" operator="lessThan">
      <formula>$B$2</formula>
    </cfRule>
  </conditionalFormatting>
  <conditionalFormatting sqref="C17">
    <cfRule type="expression" dxfId="240" priority="64">
      <formula>AND($C17-TODAY()&lt;30,TODAY()&lt;$C17)</formula>
    </cfRule>
  </conditionalFormatting>
  <conditionalFormatting sqref="C17">
    <cfRule type="cellIs" dxfId="239" priority="65" stopIfTrue="1" operator="lessThan">
      <formula>$B$2</formula>
    </cfRule>
  </conditionalFormatting>
  <conditionalFormatting sqref="C19">
    <cfRule type="expression" dxfId="238" priority="62">
      <formula>AND($C19-TODAY()&lt;30,TODAY()&lt;$C19)</formula>
    </cfRule>
  </conditionalFormatting>
  <conditionalFormatting sqref="C19">
    <cfRule type="cellIs" dxfId="237" priority="63" stopIfTrue="1" operator="lessThan">
      <formula>$B$2</formula>
    </cfRule>
  </conditionalFormatting>
  <conditionalFormatting sqref="C21">
    <cfRule type="expression" dxfId="236" priority="60">
      <formula>AND($C21-TODAY()&lt;30,TODAY()&lt;$C21)</formula>
    </cfRule>
  </conditionalFormatting>
  <conditionalFormatting sqref="C21">
    <cfRule type="cellIs" dxfId="235" priority="61" stopIfTrue="1" operator="lessThan">
      <formula>$B$2</formula>
    </cfRule>
  </conditionalFormatting>
  <conditionalFormatting sqref="C23">
    <cfRule type="expression" dxfId="234" priority="58">
      <formula>AND($C23-TODAY()&lt;30,TODAY()&lt;$C23)</formula>
    </cfRule>
  </conditionalFormatting>
  <conditionalFormatting sqref="C23">
    <cfRule type="cellIs" dxfId="233" priority="59" stopIfTrue="1" operator="lessThan">
      <formula>$B$2</formula>
    </cfRule>
  </conditionalFormatting>
  <conditionalFormatting sqref="F18">
    <cfRule type="cellIs" dxfId="232" priority="55" stopIfTrue="1" operator="lessThan">
      <formula>$B$2</formula>
    </cfRule>
  </conditionalFormatting>
  <conditionalFormatting sqref="F22">
    <cfRule type="cellIs" dxfId="231" priority="54" stopIfTrue="1" operator="lessThan">
      <formula>$B$2</formula>
    </cfRule>
  </conditionalFormatting>
  <conditionalFormatting sqref="F21">
    <cfRule type="cellIs" dxfId="230" priority="53" stopIfTrue="1" operator="lessThan">
      <formula>$B$2</formula>
    </cfRule>
  </conditionalFormatting>
  <conditionalFormatting sqref="B4:B11 E4:E11 B17:B23 E18:E23 B13 E13">
    <cfRule type="cellIs" dxfId="229" priority="51" stopIfTrue="1" operator="equal">
      <formula>"已过期"</formula>
    </cfRule>
  </conditionalFormatting>
  <conditionalFormatting sqref="A24:F24">
    <cfRule type="cellIs" dxfId="228" priority="47" stopIfTrue="1" operator="equal">
      <formula>"已过期"</formula>
    </cfRule>
  </conditionalFormatting>
  <conditionalFormatting sqref="F28">
    <cfRule type="expression" dxfId="227" priority="45">
      <formula>AND($E28-TODAY()&lt;30,TODAY()&lt;$E28)</formula>
    </cfRule>
  </conditionalFormatting>
  <conditionalFormatting sqref="F28">
    <cfRule type="cellIs" dxfId="226" priority="46" stopIfTrue="1" operator="lessThan">
      <formula>$B$2</formula>
    </cfRule>
  </conditionalFormatting>
  <conditionalFormatting sqref="F29">
    <cfRule type="expression" dxfId="225" priority="41" stopIfTrue="1">
      <formula>AND($E29-TODAY()&lt;30,TODAY()&lt;$E29)</formula>
    </cfRule>
  </conditionalFormatting>
  <conditionalFormatting sqref="F29">
    <cfRule type="cellIs" dxfId="224" priority="42" stopIfTrue="1" operator="lessThan">
      <formula>$B$2</formula>
    </cfRule>
  </conditionalFormatting>
  <conditionalFormatting sqref="F13">
    <cfRule type="cellIs" dxfId="223" priority="34" stopIfTrue="1" operator="lessThan">
      <formula>$B$2</formula>
    </cfRule>
  </conditionalFormatting>
  <conditionalFormatting sqref="C12">
    <cfRule type="expression" dxfId="222" priority="32">
      <formula>AND($C12-TODAY()&lt;30,TODAY()&lt;$C12)</formula>
    </cfRule>
  </conditionalFormatting>
  <conditionalFormatting sqref="C12">
    <cfRule type="cellIs" dxfId="221" priority="33" stopIfTrue="1" operator="lessThan">
      <formula>$B$2</formula>
    </cfRule>
  </conditionalFormatting>
  <conditionalFormatting sqref="C12">
    <cfRule type="expression" dxfId="220" priority="30">
      <formula>AND($C12-TODAY()&lt;30,TODAY()&lt;$C12)</formula>
    </cfRule>
  </conditionalFormatting>
  <conditionalFormatting sqref="C12">
    <cfRule type="cellIs" dxfId="219" priority="31" stopIfTrue="1" operator="lessThan">
      <formula>$B$2</formula>
    </cfRule>
  </conditionalFormatting>
  <conditionalFormatting sqref="B12">
    <cfRule type="cellIs" dxfId="218" priority="29" stopIfTrue="1" operator="equal">
      <formula>"已过期"</formula>
    </cfRule>
  </conditionalFormatting>
  <conditionalFormatting sqref="E12">
    <cfRule type="cellIs" dxfId="217" priority="28" stopIfTrue="1" operator="equal">
      <formula>"已过期"</formula>
    </cfRule>
  </conditionalFormatting>
  <conditionalFormatting sqref="F12">
    <cfRule type="cellIs" dxfId="216" priority="27" stopIfTrue="1" operator="lessThan">
      <formula>$B$2</formula>
    </cfRule>
  </conditionalFormatting>
  <conditionalFormatting sqref="C22">
    <cfRule type="expression" dxfId="215" priority="25">
      <formula>AND($C22-TODAY()&lt;30,TODAY()&lt;$C22)</formula>
    </cfRule>
  </conditionalFormatting>
  <conditionalFormatting sqref="C22">
    <cfRule type="cellIs" dxfId="214" priority="26" stopIfTrue="1" operator="lessThan">
      <formula>$B$2</formula>
    </cfRule>
  </conditionalFormatting>
  <conditionalFormatting sqref="C22">
    <cfRule type="expression" dxfId="213" priority="23">
      <formula>AND($C22-TODAY()&lt;30,TODAY()&lt;$C22)</formula>
    </cfRule>
  </conditionalFormatting>
  <conditionalFormatting sqref="C22">
    <cfRule type="cellIs" dxfId="212" priority="24" stopIfTrue="1" operator="lessThan">
      <formula>$B$2</formula>
    </cfRule>
  </conditionalFormatting>
  <conditionalFormatting sqref="C16">
    <cfRule type="expression" dxfId="211" priority="21">
      <formula>AND($C16-TODAY()&lt;30,TODAY()&lt;$C16)</formula>
    </cfRule>
  </conditionalFormatting>
  <conditionalFormatting sqref="C16">
    <cfRule type="cellIs" dxfId="210" priority="22" stopIfTrue="1" operator="lessThan">
      <formula>$B$2</formula>
    </cfRule>
  </conditionalFormatting>
  <conditionalFormatting sqref="C16">
    <cfRule type="expression" dxfId="209" priority="19">
      <formula>AND($C16-TODAY()&lt;30,TODAY()&lt;$C16)</formula>
    </cfRule>
  </conditionalFormatting>
  <conditionalFormatting sqref="C16">
    <cfRule type="cellIs" dxfId="208" priority="20" stopIfTrue="1" operator="lessThan">
      <formula>$B$2</formula>
    </cfRule>
  </conditionalFormatting>
  <conditionalFormatting sqref="B16">
    <cfRule type="cellIs" dxfId="207" priority="18" stopIfTrue="1" operator="equal">
      <formula>"已过期"</formula>
    </cfRule>
  </conditionalFormatting>
  <conditionalFormatting sqref="C14:C15">
    <cfRule type="expression" dxfId="206" priority="16">
      <formula>AND($C14-TODAY()&lt;30,TODAY()&lt;$C14)</formula>
    </cfRule>
  </conditionalFormatting>
  <conditionalFormatting sqref="C14:C15">
    <cfRule type="cellIs" dxfId="205" priority="17" stopIfTrue="1" operator="lessThan">
      <formula>$B$2</formula>
    </cfRule>
  </conditionalFormatting>
  <conditionalFormatting sqref="C14">
    <cfRule type="expression" dxfId="204" priority="14">
      <formula>AND($C14-TODAY()&lt;30,TODAY()&lt;$C14)</formula>
    </cfRule>
  </conditionalFormatting>
  <conditionalFormatting sqref="C14">
    <cfRule type="cellIs" dxfId="203" priority="15" stopIfTrue="1" operator="lessThan">
      <formula>$B$2</formula>
    </cfRule>
  </conditionalFormatting>
  <conditionalFormatting sqref="C15">
    <cfRule type="expression" dxfId="202" priority="12">
      <formula>AND($C15-TODAY()&lt;30,TODAY()&lt;$C15)</formula>
    </cfRule>
  </conditionalFormatting>
  <conditionalFormatting sqref="C15">
    <cfRule type="cellIs" dxfId="201" priority="13" stopIfTrue="1" operator="lessThan">
      <formula>$B$2</formula>
    </cfRule>
  </conditionalFormatting>
  <conditionalFormatting sqref="B14">
    <cfRule type="cellIs" dxfId="200" priority="11" stopIfTrue="1" operator="equal">
      <formula>"已过期"</formula>
    </cfRule>
  </conditionalFormatting>
  <conditionalFormatting sqref="B15">
    <cfRule type="cellIs" dxfId="199" priority="10" stopIfTrue="1" operator="equal">
      <formula>"已过期"</formula>
    </cfRule>
  </conditionalFormatting>
  <conditionalFormatting sqref="A15">
    <cfRule type="cellIs" dxfId="198" priority="9" stopIfTrue="1" operator="equal">
      <formula>"已过期"</formula>
    </cfRule>
  </conditionalFormatting>
  <conditionalFormatting sqref="C15">
    <cfRule type="expression" dxfId="197" priority="8">
      <formula>AND($C15-TODAY()&lt;30,TODAY()&lt;$C15)</formula>
    </cfRule>
  </conditionalFormatting>
  <conditionalFormatting sqref="F16">
    <cfRule type="cellIs" dxfId="196" priority="7" stopIfTrue="1" operator="lessThan">
      <formula>$B$2</formula>
    </cfRule>
  </conditionalFormatting>
  <conditionalFormatting sqref="E16 E14">
    <cfRule type="cellIs" dxfId="195" priority="6" stopIfTrue="1" operator="equal">
      <formula>"已过期"</formula>
    </cfRule>
  </conditionalFormatting>
  <conditionalFormatting sqref="E15">
    <cfRule type="cellIs" dxfId="194" priority="5" stopIfTrue="1" operator="equal">
      <formula>"已过期"</formula>
    </cfRule>
  </conditionalFormatting>
  <conditionalFormatting sqref="D15">
    <cfRule type="cellIs" dxfId="193" priority="4" stopIfTrue="1" operator="equal">
      <formula>"已过期"</formula>
    </cfRule>
  </conditionalFormatting>
  <conditionalFormatting sqref="F17">
    <cfRule type="cellIs" dxfId="192" priority="3" stopIfTrue="1" operator="lessThan">
      <formula>$B$2</formula>
    </cfRule>
  </conditionalFormatting>
  <conditionalFormatting sqref="E17">
    <cfRule type="cellIs" dxfId="191" priority="2" stopIfTrue="1" operator="equal">
      <formula>"已过期"</formula>
    </cfRule>
  </conditionalFormatting>
  <conditionalFormatting sqref="F14">
    <cfRule type="cellIs" dxfId="19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149</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规证</vt:lpstr>
      <vt:lpstr>数据-汇总表</vt:lpstr>
      <vt:lpstr>数据-取费表</vt:lpstr>
      <vt:lpstr>估价对象房地状况</vt:lpstr>
      <vt:lpstr>成本估算表</vt:lpstr>
      <vt:lpstr>预期售价</vt:lpstr>
      <vt:lpstr>系统读取表</vt:lpstr>
      <vt:lpstr>结果表（住宅）</vt:lpstr>
      <vt:lpstr>成本法</vt:lpstr>
      <vt:lpstr>成本法 (元)</vt:lpstr>
      <vt:lpstr>假设开发法</vt:lpstr>
      <vt:lpstr>比较法-住宅</vt:lpstr>
      <vt:lpstr>收益法（住宅）</vt:lpstr>
      <vt:lpstr>收益法（汇总）</vt:lpstr>
      <vt:lpstr>住宅案例</vt:lpstr>
      <vt:lpstr>住宅案例（二手房）</vt:lpstr>
      <vt:lpstr>住宅案例（租金）</vt:lpstr>
      <vt:lpstr>结果表 (商业)</vt:lpstr>
      <vt:lpstr>收益法 (元)</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比较法-商业</vt:lpstr>
      <vt:lpstr>收益法（商业）</vt:lpstr>
      <vt:lpstr>商业案例</vt:lpstr>
      <vt:lpstr>Sheet16</vt:lpstr>
      <vt:lpstr>结果表 (公寓)</vt:lpstr>
      <vt:lpstr>比较法-公寓</vt:lpstr>
      <vt:lpstr>收益法（公寓）</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'收益法（公寓）'!Print_Area</vt:lpstr>
      <vt:lpstr>'收益法（商业）'!Print_Area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住宅朝向</vt:lpstr>
      <vt:lpstr>'比较法-公寓'!住宅房型</vt:lpstr>
      <vt:lpstr>住宅房型</vt:lpstr>
      <vt:lpstr>'比较法-公寓'!住宅公共部分装修</vt:lpstr>
      <vt:lpstr>住宅公共部分装修</vt:lpstr>
      <vt:lpstr>'比较法-公寓'!住宅基础设施水平</vt:lpstr>
      <vt:lpstr>住宅基础设施水平</vt:lpstr>
      <vt:lpstr>'比较法-公寓'!住宅建筑结构</vt:lpstr>
      <vt:lpstr>住宅建筑结构</vt:lpstr>
      <vt:lpstr>'比较法-公寓'!住宅建筑类型</vt:lpstr>
      <vt:lpstr>住宅建筑类型</vt:lpstr>
      <vt:lpstr>'比较法-公寓'!住宅建筑品质</vt:lpstr>
      <vt:lpstr>住宅建筑品质</vt:lpstr>
      <vt:lpstr>'比较法-公寓'!住宅交易情况</vt:lpstr>
      <vt:lpstr>住宅交易情况</vt:lpstr>
      <vt:lpstr>'比较法-公寓'!住宅楼层</vt:lpstr>
      <vt:lpstr>住宅楼层</vt:lpstr>
      <vt:lpstr>'比较法-公寓'!住宅内部装修</vt:lpstr>
      <vt:lpstr>住宅内部装修</vt:lpstr>
      <vt:lpstr>'比较法-公寓'!住宅物业管理</vt:lpstr>
      <vt:lpstr>住宅物业管理</vt:lpstr>
      <vt:lpstr>'比较法-公寓'!住宅用途</vt:lpstr>
      <vt:lpstr>住宅用途</vt:lpstr>
      <vt:lpstr>'比较法-公寓'!住宅主力户型面积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2019-01-22T10:09:50Z</dcterms:modified>
</cp:coreProperties>
</file>