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36" i="33" l="1"/>
  <c r="E36" i="33"/>
  <c r="C33" i="33"/>
  <c r="E59" i="33"/>
  <c r="F59" i="33" s="1"/>
  <c r="G59" i="33" s="1"/>
  <c r="H59" i="33" s="1"/>
  <c r="I59" i="33" s="1"/>
  <c r="J59" i="33" s="1"/>
  <c r="K59" i="33" s="1"/>
  <c r="L59" i="33" s="1"/>
  <c r="M59" i="33" s="1"/>
  <c r="D59" i="33"/>
  <c r="Y6" i="1" l="1"/>
  <c r="B27" i="31" l="1"/>
  <c r="B26" i="31"/>
  <c r="D33" i="43"/>
  <c r="U4" i="43"/>
  <c r="U3" i="43"/>
  <c r="U2" i="43"/>
  <c r="D29" i="43"/>
  <c r="B25" i="31" l="1"/>
  <c r="B24" i="31"/>
  <c r="C36" i="33"/>
  <c r="G47" i="33"/>
  <c r="N6" i="1"/>
  <c r="D3"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8" i="3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S446" i="31" s="1"/>
  <c r="R447" i="31"/>
  <c r="S447" i="31" s="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T25" i="31" s="1"/>
  <c r="O25" i="31"/>
  <c r="M25" i="31"/>
  <c r="K25" i="31"/>
  <c r="G25" i="31"/>
  <c r="E25" i="31"/>
  <c r="S392" i="31"/>
  <c r="S360" i="31"/>
  <c r="S328" i="31"/>
  <c r="S298" i="31"/>
  <c r="S266" i="31"/>
  <c r="S249" i="31"/>
  <c r="S245" i="31"/>
  <c r="S241" i="31"/>
  <c r="S237" i="31"/>
  <c r="S233" i="31"/>
  <c r="S229" i="31"/>
  <c r="S225"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87" i="31"/>
  <c r="S479" i="31"/>
  <c r="S471" i="31"/>
  <c r="S442" i="31"/>
  <c r="S438" i="31"/>
  <c r="S434" i="31"/>
  <c r="S430" i="31"/>
  <c r="S119" i="31"/>
  <c r="S115"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5" i="31"/>
  <c r="S91" i="31"/>
  <c r="S87" i="31"/>
  <c r="S83" i="31"/>
  <c r="S79" i="31"/>
  <c r="S29" i="31"/>
  <c r="S101" i="31"/>
  <c r="S105" i="31"/>
  <c r="S109"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7" i="33" s="1"/>
  <c r="F32" i="33"/>
  <c r="AA32" i="33" s="1"/>
  <c r="J19" i="33"/>
  <c r="AC19"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T26" i="31" s="1"/>
  <c r="K26" i="31"/>
  <c r="I27" i="31"/>
  <c r="Q27" i="31"/>
  <c r="T27" i="31" s="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K9" i="1"/>
  <c r="M9" i="1" s="1"/>
  <c r="AE9" i="1"/>
  <c r="D93" i="9"/>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S42" i="33"/>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E65" i="39"/>
  <c r="G30" i="6"/>
  <c r="G31" i="6" s="1"/>
  <c r="J56" i="9"/>
  <c r="J57" i="9"/>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D9" i="53"/>
  <c r="B25" i="72"/>
  <c r="B24" i="72"/>
  <c r="G6" i="1"/>
  <c r="H85" i="43"/>
  <c r="H81" i="43"/>
  <c r="H84" i="43"/>
  <c r="H88" i="43"/>
  <c r="H78" i="43"/>
  <c r="C17" i="43"/>
  <c r="F33" i="43"/>
  <c r="K17" i="43"/>
  <c r="F34" i="43"/>
  <c r="N6" i="43"/>
  <c r="F48" i="43" s="1"/>
  <c r="N3" i="43"/>
  <c r="F38" i="43"/>
  <c r="F37" i="43"/>
  <c r="M9" i="43"/>
  <c r="N5" i="43"/>
  <c r="M12" i="43"/>
  <c r="B19" i="53"/>
  <c r="B37" i="72"/>
  <c r="C7" i="39"/>
  <c r="C68" i="39"/>
  <c r="D68" i="39" s="1"/>
  <c r="C7" i="35"/>
  <c r="C7" i="33"/>
  <c r="C7" i="21"/>
  <c r="C58" i="21" s="1"/>
  <c r="C7" i="40"/>
  <c r="C63" i="40" s="1"/>
  <c r="M47" i="9"/>
  <c r="G19" i="43"/>
  <c r="O19" i="43" s="1"/>
  <c r="T35" i="4"/>
  <c r="A19" i="51"/>
  <c r="B14" i="72" s="1"/>
  <c r="C46" i="36"/>
  <c r="D46" i="36" s="1"/>
  <c r="C59" i="34"/>
  <c r="D59" i="34" s="1"/>
  <c r="E59" i="34" s="1"/>
  <c r="F59" i="34" s="1"/>
  <c r="G59" i="34" s="1"/>
  <c r="C52" i="37"/>
  <c r="D52" i="37" s="1"/>
  <c r="A4" i="51"/>
  <c r="B6" i="72"/>
  <c r="C48" i="35"/>
  <c r="D48" i="35" s="1"/>
  <c r="C4" i="12"/>
  <c r="H66" i="43"/>
  <c r="H65" i="43"/>
  <c r="H64" i="43"/>
  <c r="H63" i="43"/>
  <c r="H72" i="43"/>
  <c r="L20" i="6"/>
  <c r="L27" i="6" s="1"/>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U37"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E63" i="39"/>
  <c r="T11" i="1"/>
  <c r="D19" i="12"/>
  <c r="C19" i="12" s="1"/>
  <c r="AQ9" i="1"/>
  <c r="AR11" i="1"/>
  <c r="T9" i="1"/>
  <c r="T13" i="1"/>
  <c r="E114" i="3"/>
  <c r="E278" i="3"/>
  <c r="E415" i="3"/>
  <c r="E563" i="3"/>
  <c r="E395" i="3"/>
  <c r="E172" i="3"/>
  <c r="E260" i="3"/>
  <c r="E445" i="3"/>
  <c r="E550" i="3"/>
  <c r="E535"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J25" i="33"/>
  <c r="AC25" i="33" s="1"/>
  <c r="U23" i="33"/>
  <c r="F23" i="33"/>
  <c r="AA19" i="33"/>
  <c r="H19" i="33"/>
  <c r="U19" i="33" s="1"/>
  <c r="G81" i="33"/>
  <c r="AB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s="1"/>
  <c r="J59" i="9"/>
  <c r="J61" i="9"/>
  <c r="E353" i="3"/>
  <c r="E385" i="3"/>
  <c r="E495" i="3"/>
  <c r="E518" i="3"/>
  <c r="AN6" i="3"/>
  <c r="AI6" i="3"/>
  <c r="E586" i="3"/>
  <c r="E578" i="3"/>
  <c r="E402" i="3"/>
  <c r="E423" i="3"/>
  <c r="E350" i="3"/>
  <c r="E382" i="3"/>
  <c r="E303" i="3"/>
  <c r="E263" i="3"/>
  <c r="E301" i="3"/>
  <c r="E245" i="3"/>
  <c r="E159"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5" i="62"/>
  <c r="B73" i="72"/>
  <c r="AP7"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A23" i="33"/>
  <c r="S23" i="33"/>
  <c r="U23" i="21"/>
  <c r="AB23" i="21"/>
  <c r="AC23" i="21"/>
  <c r="W23" i="21"/>
  <c r="AC11" i="37"/>
  <c r="W11" i="37"/>
  <c r="W11" i="34"/>
  <c r="AC11" i="34"/>
  <c r="R7" i="1"/>
  <c r="F34" i="11"/>
  <c r="F11" i="12"/>
  <c r="C23" i="12" s="1"/>
  <c r="F34" i="68"/>
  <c r="R8" i="1"/>
  <c r="AE7" i="1"/>
  <c r="AE8" i="1"/>
  <c r="H109" i="9"/>
  <c r="H110" i="9"/>
  <c r="D18" i="53" s="1"/>
  <c r="B35" i="72" s="1"/>
  <c r="D124" i="9"/>
  <c r="D10" i="52" s="1"/>
  <c r="D16" i="53"/>
  <c r="B34" i="72"/>
  <c r="D17" i="53"/>
  <c r="B36" i="72" s="1"/>
  <c r="D125" i="9"/>
  <c r="D11" i="52" s="1"/>
  <c r="H112" i="9"/>
  <c r="D21" i="53" s="1"/>
  <c r="B39" i="72" s="1"/>
  <c r="H111" i="9"/>
  <c r="D126" i="9"/>
  <c r="I14" i="74" s="1"/>
  <c r="B8" i="74" s="1"/>
  <c r="D19" i="53"/>
  <c r="D59" i="9"/>
  <c r="M55" i="9"/>
  <c r="B38" i="72"/>
  <c r="D20" i="53"/>
  <c r="B40" i="72"/>
  <c r="AD3" i="71"/>
  <c r="B4" i="62"/>
  <c r="B71" i="72"/>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E46" i="36"/>
  <c r="F46" i="36" s="1"/>
  <c r="G46" i="36" s="1"/>
  <c r="H46" i="36" s="1"/>
  <c r="I46" i="36"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B22" i="49"/>
  <c r="H59" i="34"/>
  <c r="V11" i="71"/>
  <c r="C11" i="71"/>
  <c r="D12" i="71"/>
  <c r="I59" i="34"/>
  <c r="J59" i="34" s="1"/>
  <c r="D9" i="71"/>
  <c r="T11" i="71"/>
  <c r="D10" i="71"/>
  <c r="D11" i="71"/>
  <c r="U11" i="71"/>
  <c r="E8" i="49"/>
  <c r="E2" i="69"/>
  <c r="M26" i="67"/>
  <c r="B11" i="76"/>
  <c r="F8" i="67"/>
  <c r="C14" i="15"/>
  <c r="F7" i="73"/>
  <c r="D4" i="73"/>
  <c r="L48" i="67"/>
  <c r="F26" i="15"/>
  <c r="B7" i="76"/>
  <c r="E12" i="76"/>
  <c r="F16" i="67"/>
  <c r="F6" i="73"/>
  <c r="F37" i="15"/>
  <c r="D5" i="73"/>
  <c r="D35" i="9"/>
  <c r="J15" i="67"/>
  <c r="F9" i="67"/>
  <c r="B9" i="76"/>
  <c r="E8" i="76"/>
  <c r="F36" i="15"/>
  <c r="M28" i="67"/>
  <c r="AO13" i="1"/>
  <c r="D2" i="35"/>
  <c r="F40" i="67"/>
  <c r="L47" i="67"/>
  <c r="C76" i="67"/>
  <c r="AO9" i="1"/>
  <c r="L47" i="15"/>
  <c r="M23" i="15"/>
  <c r="M23" i="67"/>
  <c r="F38" i="15"/>
  <c r="F42" i="15"/>
  <c r="D3" i="73"/>
  <c r="F4" i="73"/>
  <c r="M8" i="15"/>
  <c r="M9" i="15"/>
  <c r="B12" i="76"/>
  <c r="M26" i="15"/>
  <c r="D6" i="73"/>
  <c r="F7" i="67"/>
  <c r="E11" i="76"/>
  <c r="E7" i="76"/>
  <c r="D2" i="36"/>
  <c r="F37" i="67"/>
  <c r="M27" i="67"/>
  <c r="F16" i="15"/>
  <c r="AO11" i="1"/>
  <c r="AO7" i="1"/>
  <c r="F6" i="67"/>
  <c r="D2" i="37"/>
  <c r="AO8" i="1"/>
  <c r="F8" i="15"/>
  <c r="D34" i="9"/>
  <c r="D2" i="21"/>
  <c r="F3" i="73"/>
  <c r="F5" i="73"/>
  <c r="E10" i="76"/>
  <c r="F13" i="15"/>
  <c r="F9" i="15"/>
  <c r="F20" i="31"/>
  <c r="B10" i="76"/>
  <c r="M29" i="15"/>
  <c r="M29" i="67"/>
  <c r="M24" i="15"/>
  <c r="E13" i="76"/>
  <c r="M24" i="67"/>
  <c r="F35" i="67"/>
  <c r="D2" i="34"/>
  <c r="D7" i="73"/>
  <c r="L48" i="15"/>
  <c r="J15" i="15"/>
  <c r="F40" i="15"/>
  <c r="M6" i="15"/>
  <c r="E2" i="68"/>
  <c r="F6" i="15"/>
  <c r="M22" i="15"/>
  <c r="D2" i="33"/>
  <c r="C76" i="15"/>
  <c r="F43" i="67"/>
  <c r="M8" i="67"/>
  <c r="E9" i="76"/>
  <c r="AO10" i="1"/>
  <c r="F42" i="67"/>
  <c r="M21" i="67"/>
  <c r="M6" i="67"/>
  <c r="M28" i="15"/>
  <c r="F43" i="15"/>
  <c r="F7" i="15"/>
  <c r="B13" i="76"/>
  <c r="F38" i="67"/>
  <c r="B8" i="76"/>
  <c r="F36" i="67"/>
  <c r="F13" i="67"/>
  <c r="F41" i="67"/>
  <c r="M22" i="67"/>
  <c r="F26" i="67"/>
  <c r="AO12" i="1"/>
  <c r="M9" i="67"/>
  <c r="AA37" i="33" l="1"/>
  <c r="S37" i="33"/>
  <c r="F27" i="33"/>
  <c r="W23" i="33"/>
  <c r="U42" i="33"/>
  <c r="S28" i="33"/>
  <c r="AC28" i="33"/>
  <c r="G111" i="33"/>
  <c r="H111" i="33" s="1"/>
  <c r="I111" i="33" s="1"/>
  <c r="J111" i="33" s="1"/>
  <c r="K111" i="33" s="1"/>
  <c r="L111" i="33" s="1"/>
  <c r="M111" i="33" s="1"/>
  <c r="J36" i="33"/>
  <c r="AC36" i="33" s="1"/>
  <c r="F36" i="33"/>
  <c r="S36" i="33" s="1"/>
  <c r="H36" i="33"/>
  <c r="W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T28" i="31"/>
  <c r="D22" i="67"/>
  <c r="C36" i="69"/>
  <c r="D23" i="67"/>
  <c r="C40" i="69"/>
  <c r="D12" i="52"/>
  <c r="D127" i="9"/>
  <c r="D13" i="52" s="1"/>
  <c r="H14" i="74"/>
  <c r="B7" i="74" s="1"/>
  <c r="D70" i="39"/>
  <c r="E68" i="39"/>
  <c r="C58" i="33"/>
  <c r="G7" i="33"/>
  <c r="C19" i="43"/>
  <c r="J51" i="15"/>
  <c r="P61" i="15"/>
  <c r="D48" i="43"/>
  <c r="D50" i="43"/>
  <c r="D52" i="43"/>
  <c r="D54" i="43"/>
  <c r="H82" i="43"/>
  <c r="BL5" i="3"/>
  <c r="AR7" i="1"/>
  <c r="AZ5" i="3"/>
  <c r="AY6" i="3" s="1"/>
  <c r="AY486" i="3" s="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H16" i="1"/>
  <c r="AY444" i="3"/>
  <c r="E56" i="40"/>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69" i="3"/>
  <c r="E237" i="3"/>
  <c r="F27" i="6"/>
  <c r="E27" i="6" s="1"/>
  <c r="E56" i="39"/>
  <c r="E16" i="6"/>
  <c r="E51" i="40"/>
  <c r="E136" i="3"/>
  <c r="E196" i="3"/>
  <c r="E262" i="3"/>
  <c r="E244" i="3"/>
  <c r="E296" i="3"/>
  <c r="E368" i="3"/>
  <c r="E306" i="3"/>
  <c r="E453" i="3"/>
  <c r="E434" i="3"/>
  <c r="E549" i="3"/>
  <c r="AK6" i="3"/>
  <c r="E536" i="3"/>
  <c r="E16" i="3"/>
  <c r="I6" i="3"/>
  <c r="E511" i="3"/>
  <c r="E568" i="3"/>
  <c r="E314" i="3"/>
  <c r="E397" i="3"/>
  <c r="E128" i="3"/>
  <c r="E165" i="3"/>
  <c r="E205" i="3"/>
  <c r="E227" i="3"/>
  <c r="E352" i="3"/>
  <c r="E461" i="3"/>
  <c r="E510" i="3"/>
  <c r="E567" i="3"/>
  <c r="E545" i="3"/>
  <c r="E539" i="3"/>
  <c r="E329" i="3"/>
  <c r="E302" i="3"/>
  <c r="E503" i="3"/>
  <c r="E17" i="3"/>
  <c r="E361" i="3"/>
  <c r="E213" i="3"/>
  <c r="E183" i="3"/>
  <c r="E565" i="3"/>
  <c r="E528" i="3"/>
  <c r="E304" i="3"/>
  <c r="E261" i="3"/>
  <c r="AY82" i="3"/>
  <c r="AY191" i="3"/>
  <c r="AY132" i="3"/>
  <c r="AY31" i="3"/>
  <c r="AY292" i="3"/>
  <c r="AY147" i="3"/>
  <c r="AY220" i="3"/>
  <c r="AY350"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O11" i="1"/>
  <c r="P11" i="1" s="1"/>
  <c r="O12" i="1"/>
  <c r="P12" i="1" s="1"/>
  <c r="O14" i="1"/>
  <c r="P14" i="1" s="1"/>
  <c r="P6" i="1"/>
  <c r="K15" i="1"/>
  <c r="K16" i="1" s="1"/>
  <c r="E30" i="6"/>
  <c r="O9" i="1"/>
  <c r="P9" i="1" s="1"/>
  <c r="O8" i="1"/>
  <c r="M16" i="1"/>
  <c r="C34" i="68" s="1"/>
  <c r="P8" i="1"/>
  <c r="D9" i="68"/>
  <c r="C9" i="68" s="1"/>
  <c r="E59" i="40"/>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J7" i="34"/>
  <c r="K59" i="34"/>
  <c r="L59" i="34" s="1"/>
  <c r="M59" i="34" s="1"/>
  <c r="N59" i="34" s="1"/>
  <c r="O59" i="34" s="1"/>
  <c r="F7" i="34"/>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J7" i="33"/>
  <c r="F7" i="33"/>
  <c r="H7" i="33"/>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F3" i="71"/>
  <c r="P22" i="43" s="1"/>
  <c r="C36" i="68"/>
  <c r="C6" i="67"/>
  <c r="C15" i="15"/>
  <c r="C18" i="15"/>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7" i="15"/>
  <c r="C17" i="67"/>
  <c r="G1" i="73"/>
  <c r="C16" i="15"/>
  <c r="C16" i="67"/>
  <c r="C14" i="67"/>
  <c r="AA27" i="33" l="1"/>
  <c r="S27" i="33"/>
  <c r="S17" i="33"/>
  <c r="AA36" i="33"/>
  <c r="AB36" i="33"/>
  <c r="U36" i="33"/>
  <c r="W17" i="33"/>
  <c r="AC17" i="33"/>
  <c r="AB17" i="33"/>
  <c r="U17" i="33"/>
  <c r="AC15" i="33"/>
  <c r="W15" i="33"/>
  <c r="AA15" i="33"/>
  <c r="S15" i="33"/>
  <c r="AB15" i="33"/>
  <c r="U15" i="33"/>
  <c r="F68" i="39"/>
  <c r="E70" i="39"/>
  <c r="E48" i="43"/>
  <c r="B46" i="43" s="1"/>
  <c r="C24" i="43" s="1"/>
  <c r="C48" i="69"/>
  <c r="AY181" i="3"/>
  <c r="AY141" i="3"/>
  <c r="E31" i="6"/>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H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38" i="69"/>
  <c r="C48" i="68"/>
  <c r="C30" i="68"/>
  <c r="C48" i="11"/>
  <c r="C30" i="11"/>
  <c r="F27" i="69"/>
  <c r="F27" i="11"/>
  <c r="F27" i="68"/>
  <c r="J10" i="40"/>
  <c r="E62" i="39"/>
  <c r="E66" i="39" s="1"/>
  <c r="E57" i="40"/>
  <c r="K20" i="6"/>
  <c r="M20" i="6" s="1"/>
  <c r="I20" i="6" s="1"/>
  <c r="K24" i="6"/>
  <c r="M24" i="6" s="1"/>
  <c r="I24" i="6" s="1"/>
  <c r="K22" i="6"/>
  <c r="M22" i="6" s="1"/>
  <c r="I22" i="6" s="1"/>
  <c r="K23" i="6"/>
  <c r="M23" i="6" s="1"/>
  <c r="I23" i="6" s="1"/>
  <c r="K21" i="6"/>
  <c r="M21" i="6" s="1"/>
  <c r="I21" i="6" s="1"/>
  <c r="K26" i="6"/>
  <c r="M26" i="6" s="1"/>
  <c r="I26" i="6" s="1"/>
  <c r="K19" i="6"/>
  <c r="S6" i="1" s="1"/>
  <c r="K25" i="6"/>
  <c r="M25" i="6" s="1"/>
  <c r="I25" i="6" s="1"/>
  <c r="AC6" i="3"/>
  <c r="E6" i="3" s="1"/>
  <c r="D3" i="21"/>
  <c r="D3" i="34"/>
  <c r="D37" i="11"/>
  <c r="C37" i="11" s="1"/>
  <c r="M18" i="9"/>
  <c r="B118" i="9" s="1"/>
  <c r="B14" i="74" s="1"/>
  <c r="B1" i="74" s="1"/>
  <c r="D19" i="6"/>
  <c r="D23" i="6"/>
  <c r="D5" i="6"/>
  <c r="D12" i="6"/>
  <c r="D11" i="6"/>
  <c r="D13" i="6"/>
  <c r="D28" i="6"/>
  <c r="D26" i="6"/>
  <c r="D8" i="6"/>
  <c r="D3" i="33"/>
  <c r="E6" i="6"/>
  <c r="D14" i="12"/>
  <c r="D9" i="6"/>
  <c r="D10" i="6"/>
  <c r="C35" i="68"/>
  <c r="C38" i="68"/>
  <c r="D22" i="43"/>
  <c r="O16" i="1"/>
  <c r="L16" i="1"/>
  <c r="N16" i="1"/>
  <c r="C34" i="11"/>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H10" i="39"/>
  <c r="U10" i="39" s="1"/>
  <c r="F10" i="39"/>
  <c r="H10" i="40"/>
  <c r="F10" i="40"/>
  <c r="AC10" i="40"/>
  <c r="W10" i="40"/>
  <c r="S7" i="33"/>
  <c r="AA7" i="33"/>
  <c r="R48" i="33" s="1"/>
  <c r="E63" i="40"/>
  <c r="D65" i="40"/>
  <c r="F48" i="35"/>
  <c r="F7" i="36"/>
  <c r="H7" i="36"/>
  <c r="AB7" i="34"/>
  <c r="T49" i="34" s="1"/>
  <c r="G49" i="34" s="1"/>
  <c r="U7" i="34"/>
  <c r="AC10" i="39"/>
  <c r="W10" i="39"/>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C49" i="67"/>
  <c r="P25" i="43"/>
  <c r="P23" i="43"/>
  <c r="B71" i="39" s="1"/>
  <c r="M20" i="43"/>
  <c r="C49" i="15"/>
  <c r="C15" i="67"/>
  <c r="C18" i="67"/>
  <c r="B40" i="1"/>
  <c r="C1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F70" i="39"/>
  <c r="G68" i="39"/>
  <c r="D3" i="37"/>
  <c r="D19" i="11"/>
  <c r="C19" i="11" s="1"/>
  <c r="C20" i="11" s="1"/>
  <c r="C28" i="11" s="1"/>
  <c r="C27" i="11" s="1"/>
  <c r="C17" i="4"/>
  <c r="B4" i="52" s="1"/>
  <c r="B43" i="72" s="1"/>
  <c r="C18" i="4"/>
  <c r="E61" i="40"/>
  <c r="D24" i="6"/>
  <c r="D22" i="6"/>
  <c r="D25" i="6"/>
  <c r="D29" i="6"/>
  <c r="D30" i="6" s="1"/>
  <c r="D20" i="6"/>
  <c r="D21" i="6"/>
  <c r="D27" i="6" s="1"/>
  <c r="D15" i="6"/>
  <c r="AB10" i="39"/>
  <c r="M19" i="9"/>
  <c r="C118" i="9" s="1"/>
  <c r="C14" i="74" s="1"/>
  <c r="B2" i="74" s="1"/>
  <c r="E41" i="43"/>
  <c r="C41" i="43" s="1"/>
  <c r="C20" i="43"/>
  <c r="AQ6" i="1"/>
  <c r="S16" i="1"/>
  <c r="T6" i="1"/>
  <c r="T16" i="1" s="1"/>
  <c r="AR6" i="1"/>
  <c r="C29" i="68"/>
  <c r="D27" i="68" s="1"/>
  <c r="C47" i="68"/>
  <c r="D45" i="68" s="1"/>
  <c r="C47" i="69"/>
  <c r="D45" i="69" s="1"/>
  <c r="C29" i="69"/>
  <c r="D27" i="69" s="1"/>
  <c r="C29" i="11"/>
  <c r="D27" i="11" s="1"/>
  <c r="C47" i="11"/>
  <c r="D45" i="11" s="1"/>
  <c r="D10" i="11"/>
  <c r="C10" i="11" s="1"/>
  <c r="D20" i="12"/>
  <c r="C20" i="12" s="1"/>
  <c r="D10" i="68"/>
  <c r="D6" i="6"/>
  <c r="D10" i="69"/>
  <c r="D16" i="6"/>
  <c r="H25" i="6"/>
  <c r="R25" i="6" s="1"/>
  <c r="S25" i="6"/>
  <c r="H26" i="6"/>
  <c r="R26" i="6" s="1"/>
  <c r="S26" i="6"/>
  <c r="H23" i="6"/>
  <c r="S23" i="6"/>
  <c r="H24" i="6"/>
  <c r="R24" i="6" s="1"/>
  <c r="S24" i="6"/>
  <c r="D17" i="12"/>
  <c r="C17" i="12" s="1"/>
  <c r="C14" i="12"/>
  <c r="R23" i="6"/>
  <c r="C8" i="74"/>
  <c r="C7" i="74"/>
  <c r="M19" i="6"/>
  <c r="K27" i="6"/>
  <c r="S21" i="6"/>
  <c r="H21" i="6"/>
  <c r="H22" i="6"/>
  <c r="S22" i="6"/>
  <c r="S20" i="6"/>
  <c r="H20" i="6"/>
  <c r="R20" i="6" s="1"/>
  <c r="C15" i="12"/>
  <c r="C12" i="12"/>
  <c r="F50" i="69"/>
  <c r="F50" i="11"/>
  <c r="F50" i="68"/>
  <c r="C38" i="11"/>
  <c r="C35" i="11"/>
  <c r="C115" i="43"/>
  <c r="D113" i="43" s="1"/>
  <c r="S2" i="43"/>
  <c r="C23" i="43"/>
  <c r="C21" i="43" s="1"/>
  <c r="S7" i="43"/>
  <c r="S6" i="43"/>
  <c r="S5" i="43"/>
  <c r="S4" i="43"/>
  <c r="S3" i="43"/>
  <c r="AA10" i="40"/>
  <c r="S10" i="40"/>
  <c r="S10" i="39"/>
  <c r="AA10" i="39"/>
  <c r="U10" i="40"/>
  <c r="AB10" i="40"/>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M27" i="15"/>
  <c r="F41" i="15"/>
  <c r="G70" i="39" l="1"/>
  <c r="H68" i="39"/>
  <c r="F69" i="15"/>
  <c r="J29" i="15"/>
  <c r="T3" i="43"/>
  <c r="V3" i="43" s="1"/>
  <c r="T5" i="43"/>
  <c r="V5" i="43" s="1"/>
  <c r="T7" i="43"/>
  <c r="V7" i="43" s="1"/>
  <c r="T2" i="43"/>
  <c r="V2" i="43" s="1"/>
  <c r="R21" i="6"/>
  <c r="R22" i="6"/>
  <c r="D31" i="6"/>
  <c r="D8" i="74"/>
  <c r="D7" i="74"/>
  <c r="C4" i="52"/>
  <c r="B45" i="72" s="1"/>
  <c r="A7" i="51"/>
  <c r="B7" i="72" s="1"/>
  <c r="A10" i="51"/>
  <c r="B9" i="72" s="1"/>
  <c r="T4" i="43"/>
  <c r="V4" i="43" s="1"/>
  <c r="T6" i="43"/>
  <c r="V6" i="43" s="1"/>
  <c r="C29" i="43"/>
  <c r="E29" i="43"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C33" i="11"/>
  <c r="C39" i="11" s="1"/>
  <c r="C46" i="11" s="1"/>
  <c r="C45" i="11" s="1"/>
  <c r="M27" i="6"/>
  <c r="I19" i="6"/>
  <c r="L18" i="9" s="1"/>
  <c r="I5" i="6"/>
  <c r="I6" i="6"/>
  <c r="C10" i="69"/>
  <c r="C8" i="69" s="1"/>
  <c r="C5" i="69" s="1"/>
  <c r="C23" i="69" s="1"/>
  <c r="D19" i="69"/>
  <c r="C10" i="68"/>
  <c r="B29" i="1" s="1"/>
  <c r="C8" i="68" s="1"/>
  <c r="D19" i="68"/>
  <c r="C16" i="12"/>
  <c r="S7" i="21"/>
  <c r="AA7" i="21"/>
  <c r="R48" i="21" s="1"/>
  <c r="G63" i="40"/>
  <c r="F65" i="40"/>
  <c r="G40" i="36"/>
  <c r="H40" i="36" s="1"/>
  <c r="G41" i="36"/>
  <c r="H41" i="36" s="1"/>
  <c r="J7" i="21"/>
  <c r="G46" i="37"/>
  <c r="H46" i="37" s="1"/>
  <c r="G47" i="37"/>
  <c r="H47" i="37" s="1"/>
  <c r="C50" i="34"/>
  <c r="B2" i="34" s="1"/>
  <c r="B3" i="34" s="1"/>
  <c r="C49" i="34"/>
  <c r="C49" i="33"/>
  <c r="B2" i="33" s="1"/>
  <c r="C48" i="33"/>
  <c r="R24" i="31" s="1"/>
  <c r="H7" i="21"/>
  <c r="W7" i="37"/>
  <c r="AC7" i="37"/>
  <c r="V42" i="37" s="1"/>
  <c r="I42"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F7" i="35" l="1"/>
  <c r="R27" i="31"/>
  <c r="S27" i="31" s="1"/>
  <c r="R26" i="31"/>
  <c r="S26" i="31" s="1"/>
  <c r="I68" i="39"/>
  <c r="H70" i="39"/>
  <c r="C30" i="43"/>
  <c r="E30" i="43" s="1"/>
  <c r="C43" i="11"/>
  <c r="S24" i="31"/>
  <c r="R25" i="31"/>
  <c r="S25" i="31" s="1"/>
  <c r="B3" i="33"/>
  <c r="C18" i="12"/>
  <c r="C21" i="12" s="1"/>
  <c r="G38" i="43"/>
  <c r="I38" i="43" s="1"/>
  <c r="E38" i="43"/>
  <c r="E34" i="43"/>
  <c r="G34" i="43"/>
  <c r="I34" i="43" s="1"/>
  <c r="E39" i="43"/>
  <c r="G39" i="43"/>
  <c r="I39" i="43" s="1"/>
  <c r="E33" i="43"/>
  <c r="C6" i="68" s="1"/>
  <c r="G33" i="43"/>
  <c r="I33" i="43" s="1"/>
  <c r="E35" i="43"/>
  <c r="G35" i="43"/>
  <c r="I35" i="43" s="1"/>
  <c r="E37" i="43"/>
  <c r="G37" i="43"/>
  <c r="I37" i="43" s="1"/>
  <c r="E36" i="43"/>
  <c r="G36" i="43"/>
  <c r="I36" i="43" s="1"/>
  <c r="C42" i="11"/>
  <c r="C19" i="68"/>
  <c r="D37" i="68"/>
  <c r="C37" i="68" s="1"/>
  <c r="C33" i="68" s="1"/>
  <c r="C19" i="69"/>
  <c r="C24" i="69" s="1"/>
  <c r="D37" i="69"/>
  <c r="C37" i="69" s="1"/>
  <c r="C33" i="69" s="1"/>
  <c r="I27" i="6"/>
  <c r="S19" i="6"/>
  <c r="S27" i="6" s="1"/>
  <c r="H19" i="6"/>
  <c r="L19" i="9" s="1"/>
  <c r="AC7" i="35"/>
  <c r="V38" i="35" s="1"/>
  <c r="I38" i="35" s="1"/>
  <c r="W7" i="35"/>
  <c r="AA7" i="35"/>
  <c r="R38" i="35" s="1"/>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J14" i="15"/>
  <c r="C57" i="15"/>
  <c r="C36" i="15"/>
  <c r="C33" i="15"/>
  <c r="C13" i="15"/>
  <c r="Q49" i="15"/>
  <c r="J19" i="15"/>
  <c r="J59" i="15"/>
  <c r="J60" i="15" s="1"/>
  <c r="C22" i="11"/>
  <c r="C31" i="11" s="1"/>
  <c r="C36" i="67"/>
  <c r="C33" i="67"/>
  <c r="C31" i="67" s="1"/>
  <c r="J14" i="67"/>
  <c r="C13" i="67"/>
  <c r="J19" i="67"/>
  <c r="J17" i="67" s="1"/>
  <c r="C57" i="67"/>
  <c r="Q49" i="67"/>
  <c r="J59" i="67"/>
  <c r="J60" i="67" s="1"/>
  <c r="J68" i="39" l="1"/>
  <c r="I70" i="39"/>
  <c r="C7" i="68"/>
  <c r="C5" i="68" s="1"/>
  <c r="C41" i="11"/>
  <c r="C49" i="11" s="1"/>
  <c r="C51" i="11" s="1"/>
  <c r="C52" i="11" s="1"/>
  <c r="B2" i="11" s="1"/>
  <c r="B3" i="11" s="1"/>
  <c r="S22" i="31"/>
  <c r="C22" i="12"/>
  <c r="C27" i="12" s="1"/>
  <c r="C25" i="12" s="1"/>
  <c r="C27" i="43"/>
  <c r="C26" i="43"/>
  <c r="B2" i="43" s="1"/>
  <c r="R19" i="6"/>
  <c r="H27" i="6"/>
  <c r="C24" i="68"/>
  <c r="C20" i="69"/>
  <c r="C39" i="69"/>
  <c r="C43" i="69" s="1"/>
  <c r="C42" i="69"/>
  <c r="C39" i="68"/>
  <c r="C42"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E6" i="76"/>
  <c r="B6" i="76"/>
  <c r="K68" i="39" l="1"/>
  <c r="J70" i="39"/>
  <c r="C23" i="68"/>
  <c r="C20" i="68"/>
  <c r="C28" i="68" s="1"/>
  <c r="C27" i="68" s="1"/>
  <c r="C56" i="11"/>
  <c r="C57" i="11" s="1"/>
  <c r="R22" i="31"/>
  <c r="B20" i="31"/>
  <c r="C30" i="12"/>
  <c r="C28" i="12" s="1"/>
  <c r="C32" i="12" s="1"/>
  <c r="B2" i="12" s="1"/>
  <c r="B3" i="12" s="1"/>
  <c r="E2" i="76"/>
  <c r="C41" i="69"/>
  <c r="B2" i="76"/>
  <c r="B3" i="43"/>
  <c r="R27" i="6"/>
  <c r="R6" i="1"/>
  <c r="C46" i="68"/>
  <c r="C45" i="68" s="1"/>
  <c r="C43" i="68"/>
  <c r="C41" i="68" s="1"/>
  <c r="C46" i="69"/>
  <c r="C45" i="69" s="1"/>
  <c r="C28" i="69"/>
  <c r="C27" i="69" s="1"/>
  <c r="C25" i="69"/>
  <c r="C22" i="69" s="1"/>
  <c r="C25" i="68"/>
  <c r="I65" i="40"/>
  <c r="J63" i="40"/>
  <c r="C38" i="35"/>
  <c r="C39" i="35"/>
  <c r="B2" i="35" s="1"/>
  <c r="B3" i="35" s="1"/>
  <c r="G42" i="35"/>
  <c r="H42" i="35" s="1"/>
  <c r="G43" i="35"/>
  <c r="H43" i="35" s="1"/>
  <c r="E43" i="35"/>
  <c r="F43" i="35" s="1"/>
  <c r="E42" i="35"/>
  <c r="F42" i="35" s="1"/>
  <c r="J16" i="67"/>
  <c r="J25" i="67" s="1"/>
  <c r="C80" i="67"/>
  <c r="C79" i="67" s="1"/>
  <c r="C58" i="67"/>
  <c r="C67" i="67" s="1"/>
  <c r="C68" i="67" s="1"/>
  <c r="Q69" i="67"/>
  <c r="Q68" i="67" s="1"/>
  <c r="C40" i="67"/>
  <c r="D19" i="9"/>
  <c r="F35" i="15"/>
  <c r="M21" i="15"/>
  <c r="D102" i="9" l="1"/>
  <c r="D21" i="9"/>
  <c r="B21" i="31"/>
  <c r="L68" i="39"/>
  <c r="K70" i="39"/>
  <c r="J20" i="15"/>
  <c r="J17" i="15" s="1"/>
  <c r="J16" i="15" s="1"/>
  <c r="J25" i="15" s="1"/>
  <c r="F63" i="15"/>
  <c r="C62" i="15" s="1"/>
  <c r="C59" i="15" s="1"/>
  <c r="C58" i="15" s="1"/>
  <c r="C67" i="15" s="1"/>
  <c r="C68" i="15" s="1"/>
  <c r="C71" i="15" s="1"/>
  <c r="C34" i="15"/>
  <c r="C31" i="15" s="1"/>
  <c r="C30" i="15" s="1"/>
  <c r="C39" i="15" s="1"/>
  <c r="R16" i="1"/>
  <c r="C22" i="68"/>
  <c r="C31" i="68" s="1"/>
  <c r="B3" i="76"/>
  <c r="C49" i="69"/>
  <c r="C51" i="69" s="1"/>
  <c r="C49" i="68"/>
  <c r="C51" i="68" s="1"/>
  <c r="C31" i="69"/>
  <c r="K63" i="40"/>
  <c r="J65" i="40"/>
  <c r="Q67" i="67"/>
  <c r="L57" i="67"/>
  <c r="L60" i="67" s="1"/>
  <c r="C45" i="67"/>
  <c r="C46" i="67" s="1"/>
  <c r="C71" i="67"/>
  <c r="C43" i="67"/>
  <c r="D2" i="67"/>
  <c r="Q47" i="67"/>
  <c r="Q53" i="67" s="1"/>
  <c r="Q56" i="67"/>
  <c r="Q65" i="67"/>
  <c r="C83" i="67"/>
  <c r="C82" i="67" s="1"/>
  <c r="D20" i="9"/>
  <c r="L51" i="15"/>
  <c r="D103" i="9" l="1"/>
  <c r="M68" i="39"/>
  <c r="L70" i="39"/>
  <c r="Q67" i="15"/>
  <c r="L57" i="15"/>
  <c r="L60" i="15" s="1"/>
  <c r="L46" i="15" s="1"/>
  <c r="Q69" i="15"/>
  <c r="Q68" i="15" s="1"/>
  <c r="C40" i="15"/>
  <c r="C80" i="15"/>
  <c r="C79" i="15" s="1"/>
  <c r="C52" i="69"/>
  <c r="B2" i="69" s="1"/>
  <c r="B3" i="69" s="1"/>
  <c r="C52" i="68"/>
  <c r="B2" i="68" s="1"/>
  <c r="L63" i="40"/>
  <c r="K65" i="40"/>
  <c r="Q66" i="15"/>
  <c r="Q66" i="67"/>
  <c r="Q75" i="67" s="1"/>
  <c r="Q57" i="67"/>
  <c r="Q62" i="67" s="1"/>
  <c r="B2" i="67"/>
  <c r="B3" i="67"/>
  <c r="C19" i="9"/>
  <c r="N68" i="39" l="1"/>
  <c r="M70" i="39"/>
  <c r="Q57" i="15"/>
  <c r="Q56" i="15"/>
  <c r="C43" i="15"/>
  <c r="C83" i="15"/>
  <c r="C82" i="15" s="1"/>
  <c r="B2" i="15"/>
  <c r="Q65" i="15"/>
  <c r="Q75" i="15" s="1"/>
  <c r="Q47" i="15"/>
  <c r="Q53" i="15" s="1"/>
  <c r="C46" i="15"/>
  <c r="C57" i="69"/>
  <c r="C56" i="69" s="1"/>
  <c r="C21" i="9"/>
  <c r="D22" i="9"/>
  <c r="G19" i="9"/>
  <c r="C102" i="9"/>
  <c r="C57" i="68"/>
  <c r="C56" i="68" s="1"/>
  <c r="B3" i="68"/>
  <c r="C32" i="9"/>
  <c r="M63" i="40"/>
  <c r="L65" i="40"/>
  <c r="AO6" i="1"/>
  <c r="C20" i="9"/>
  <c r="O68" i="39" l="1"/>
  <c r="O70" i="39" s="1"/>
  <c r="N70" i="39"/>
  <c r="G21" i="9"/>
  <c r="B6" i="70"/>
  <c r="B2" i="70" s="1"/>
  <c r="B3" i="70" s="1"/>
  <c r="B3" i="15"/>
  <c r="Q62" i="15"/>
  <c r="G20" i="9"/>
  <c r="C103" i="9"/>
  <c r="H118" i="9"/>
  <c r="C35" i="9"/>
  <c r="F118" i="9" s="1"/>
  <c r="N63" i="40"/>
  <c r="M65" i="40"/>
  <c r="J7" i="39" l="1"/>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<sst xmlns="http://schemas.openxmlformats.org/spreadsheetml/2006/main" count="7418" uniqueCount="3146">
  <si>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</si>
  <si>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</si>
  <si>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</si>
  <si>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</si>
  <si>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</si>
  <si>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</si>
  <si>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</si>
  <si>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</si>
  <si>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</si>
  <si>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</si>
  <si>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</si>
  <si>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</si>
  <si>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</si>
  <si>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</si>
  <si>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</si>
  <si>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</si>
  <si>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</si>
  <si>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</si>
  <si>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</si>
  <si>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</si>
  <si>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</si>
  <si>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</si>
  <si>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</si>
  <si>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</si>
  <si>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</si>
  <si>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</si>
  <si>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</si>
  <si>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</si>
  <si>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</si>
  <si>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</si>
  <si>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</si>
  <si>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</si>
  <si>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</si>
  <si>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</si>
  <si>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</si>
  <si>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</si>
  <si>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</si>
  <si>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</si>
  <si>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</si>
  <si>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</si>
  <si>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</si>
  <si>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</si>
  <si>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</si>
  <si>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</si>
  <si>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</si>
  <si>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</si>
  <si>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</si>
  <si>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</si>
  <si>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</si>
  <si>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</si>
  <si>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</si>
  <si>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</si>
  <si>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</si>
  <si>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</si>
  <si>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</si>
  <si>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</si>
  <si>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</si>
  <si>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</si>
  <si>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</si>
  <si>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</si>
  <si>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</si>
  <si>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</si>
  <si>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</si>
  <si>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</si>
  <si>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</si>
  <si>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</si>
  <si>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</si>
  <si>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</si>
  <si>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</si>
  <si>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</si>
  <si>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</si>
  <si>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</si>
  <si>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</si>
  <si>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</si>
  <si>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</si>
  <si>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</si>
  <si>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</si>
  <si>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</si>
  <si>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</si>
  <si>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</si>
  <si>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</si>
  <si>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</si>
  <si>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</si>
  <si>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</si>
  <si>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</si>
  <si>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</si>
  <si>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</si>
  <si>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</si>
  <si>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</si>
  <si>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</si>
  <si>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</si>
  <si>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</si>
  <si>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</si>
  <si>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</si>
  <si>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</si>
  <si>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</si>
  <si>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</si>
  <si>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</si>
  <si>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</si>
  <si>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</si>
  <si>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</si>
  <si>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</si>
  <si>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</si>
  <si>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</si>
  <si>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</si>
  <si>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</si>
  <si>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</si>
  <si>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</si>
  <si>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</si>
  <si>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</si>
  <si>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</si>
  <si>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</si>
  <si>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</si>
  <si>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</si>
  <si>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</si>
  <si>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</si>
  <si>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</si>
  <si>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</si>
  <si>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</si>
  <si>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</si>
  <si>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</si>
  <si>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</si>
  <si>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</si>
  <si>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</si>
  <si>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</si>
  <si>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</si>
  <si>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</si>
  <si>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</si>
  <si>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</si>
  <si>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</si>
  <si>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</si>
  <si>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</si>
  <si>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</si>
  <si>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</si>
  <si>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</si>
  <si>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</si>
  <si>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</si>
  <si>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</si>
  <si>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</si>
  <si>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</si>
  <si>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</si>
  <si>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</si>
  <si>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</si>
  <si>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</si>
  <si>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</si>
  <si>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</si>
  <si>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</si>
  <si>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</si>
  <si>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</si>
  <si>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</si>
  <si>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</si>
  <si>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</si>
  <si>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</si>
  <si>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</si>
  <si>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</si>
  <si>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</si>
  <si>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</si>
  <si>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</si>
  <si>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</si>
  <si>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</si>
  <si>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</si>
  <si>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</si>
  <si>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</si>
  <si>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</si>
  <si>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</si>
  <si>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</si>
  <si>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</si>
  <si>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</si>
  <si>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</si>
  <si>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</si>
  <si>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</si>
  <si>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</si>
  <si>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</si>
  <si>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</si>
  <si>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</si>
  <si>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</si>
  <si>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</si>
  <si>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</si>
  <si>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</si>
  <si>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</si>
  <si>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</si>
  <si>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</si>
  <si>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</si>
  <si>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</si>
  <si>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</si>
  <si>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</si>
  <si>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</si>
  <si>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</si>
  <si>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</si>
  <si>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</si>
  <si>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</si>
  <si>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</si>
  <si>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</si>
  <si>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</si>
  <si>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</si>
  <si>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</si>
  <si>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</si>
  <si>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</si>
  <si>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</si>
  <si>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</si>
  <si>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</si>
  <si>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</si>
  <si>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</si>
  <si>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</si>
  <si>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</si>
  <si>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</si>
  <si>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</si>
  <si>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</si>
  <si>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</si>
  <si>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</si>
  <si>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</si>
  <si>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</si>
  <si>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</si>
  <si>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</si>
  <si>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</si>
  <si>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</si>
  <si>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</si>
  <si>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</si>
  <si>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</si>
  <si>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</si>
  <si>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</si>
  <si>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</si>
  <si>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</si>
  <si>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</si>
  <si>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</si>
  <si>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</si>
  <si>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</si>
  <si>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</si>
  <si>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</si>
  <si>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</si>
  <si>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</si>
  <si>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</si>
  <si>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</si>
  <si>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</si>
  <si>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</si>
  <si>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</si>
  <si>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</si>
  <si>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</si>
  <si>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</si>
  <si>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</si>
  <si>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</si>
  <si>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</si>
  <si>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</si>
  <si>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</si>
  <si>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</si>
  <si>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</si>
  <si>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</si>
  <si>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</si>
  <si>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</si>
  <si>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</si>
  <si>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</si>
  <si>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</si>
  <si>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</si>
  <si>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</si>
  <si>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</si>
  <si>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</si>
  <si>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</si>
  <si>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</si>
  <si>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</si>
  <si>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</si>
  <si>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</si>
  <si>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</si>
  <si>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</si>
  <si>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</si>
  <si>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</si>
  <si>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</si>
  <si>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</si>
  <si>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</si>
  <si>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</si>
  <si>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</si>
  <si>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</si>
  <si>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</si>
  <si>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</si>
  <si>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</si>
  <si>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</si>
  <si>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</si>
  <si>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</si>
  <si>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</si>
  <si>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</si>
  <si>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</si>
  <si>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</si>
  <si>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</si>
  <si>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</si>
  <si>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</si>
  <si>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</si>
  <si>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</si>
  <si>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</si>
  <si>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</si>
  <si>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</si>
  <si>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</si>
  <si>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</si>
  <si>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</si>
  <si>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</si>
  <si>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</si>
  <si>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</si>
  <si>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</si>
  <si>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</si>
  <si>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</si>
  <si>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</si>
  <si>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</si>
  <si>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</si>
  <si>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</si>
  <si>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</si>
  <si>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</si>
  <si>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</si>
  <si>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</si>
  <si>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</si>
  <si>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</si>
  <si>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</si>
  <si>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</si>
  <si>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</si>
  <si>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</si>
  <si>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</si>
  <si>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</si>
  <si>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</si>
  <si>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</si>
  <si>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</si>
  <si>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</si>
  <si>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</si>
  <si>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</si>
  <si>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</si>
  <si>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</si>
  <si>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</si>
  <si>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</si>
  <si>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</si>
  <si>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</si>
  <si>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</si>
  <si>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</si>
  <si>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</si>
  <si>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</si>
  <si>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</si>
  <si>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</si>
  <si>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</si>
  <si>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</si>
  <si>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</si>
  <si>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</si>
  <si>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</si>
  <si>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</si>
  <si>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</si>
  <si>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</si>
  <si>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</si>
  <si>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</si>
  <si>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</si>
  <si>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</si>
  <si>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</si>
  <si>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</si>
  <si>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</si>
  <si>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</si>
  <si>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</si>
  <si>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</si>
  <si>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</si>
  <si>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</si>
  <si>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</si>
  <si>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</si>
  <si>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</si>
  <si>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</si>
  <si>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</si>
  <si>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</si>
  <si>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</si>
  <si>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</si>
  <si>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</si>
  <si>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</si>
  <si>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</si>
  <si>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</si>
  <si>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</si>
  <si>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</si>
  <si>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</si>
  <si>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</si>
  <si>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</si>
  <si>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</si>
  <si>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</si>
  <si>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</si>
  <si>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</si>
  <si>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</si>
  <si>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</si>
  <si>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</si>
  <si>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</si>
  <si>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</si>
  <si>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</si>
  <si>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</si>
  <si>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</si>
  <si>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</si>
  <si>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</si>
  <si>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</si>
  <si>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</si>
  <si>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</si>
  <si>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</si>
  <si>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</si>
  <si>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</si>
  <si>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</si>
  <si>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</si>
  <si>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</si>
  <si>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</si>
  <si>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</si>
  <si>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</si>
  <si>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</si>
  <si>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</si>
  <si>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</si>
  <si>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</si>
  <si>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</si>
  <si>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</si>
  <si>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</si>
  <si>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</si>
  <si>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</si>
  <si>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</si>
  <si>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</si>
  <si>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</si>
  <si>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</si>
  <si>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</si>
  <si>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</si>
  <si>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</si>
  <si>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</si>
  <si>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</si>
  <si>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</si>
  <si>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</si>
  <si>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</si>
  <si>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</si>
  <si>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</si>
  <si>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</si>
  <si>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</si>
  <si>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</si>
  <si>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</si>
  <si>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</si>
  <si>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</si>
  <si>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</si>
  <si>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</si>
  <si>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</si>
  <si>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</si>
  <si>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</si>
  <si>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</si>
  <si>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</si>
  <si>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</si>
  <si>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</si>
  <si>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</si>
  <si>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</si>
  <si>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</si>
  <si>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</si>
  <si>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</si>
  <si>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</si>
  <si>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</si>
  <si>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</si>
  <si>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</si>
  <si>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</si>
  <si>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</si>
  <si>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</si>
  <si>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</si>
  <si>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</si>
  <si>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</si>
  <si>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</si>
  <si>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</si>
  <si>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</si>
  <si>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</si>
  <si>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</si>
  <si>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</si>
  <si>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</si>
  <si>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</si>
  <si>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</si>
  <si>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</si>
  <si>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</si>
  <si>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</si>
  <si>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</si>
  <si>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</si>
  <si>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</si>
  <si>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</si>
  <si>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</si>
  <si>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</si>
  <si>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</si>
  <si>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</si>
  <si>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</si>
  <si>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</si>
  <si>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</si>
  <si>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</si>
  <si>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</si>
  <si>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</si>
  <si>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</si>
  <si>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</si>
  <si>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</si>
  <si>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</si>
  <si>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</si>
  <si>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</si>
  <si>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</si>
  <si>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</si>
  <si>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</si>
  <si>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</si>
  <si>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</si>
  <si>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</si>
  <si>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</si>
  <si>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</si>
  <si>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</si>
  <si>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</si>
  <si>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</si>
  <si>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</si>
  <si>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</si>
  <si>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</si>
  <si>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</si>
  <si>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</si>
  <si>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</si>
  <si>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</si>
  <si>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</si>
  <si>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</si>
  <si>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</si>
  <si>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</si>
  <si>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</si>
  <si>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</si>
  <si>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</si>
  <si>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</si>
  <si>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</si>
  <si>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</si>
  <si>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</si>
  <si>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</si>
  <si>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</si>
  <si>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</si>
  <si>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</si>
  <si>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</si>
  <si>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</si>
  <si>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</si>
  <si>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</si>
  <si>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</si>
  <si>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</si>
  <si>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</si>
  <si>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</si>
  <si>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</si>
  <si>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</si>
  <si>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</si>
  <si>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</si>
  <si>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</si>
  <si>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</si>
  <si>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</si>
  <si>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</si>
  <si>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</si>
  <si>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</si>
  <si>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</si>
  <si>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</si>
  <si>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</si>
  <si>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</si>
  <si>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</si>
  <si>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</si>
  <si>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</si>
  <si>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</si>
  <si>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</si>
  <si>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</si>
  <si>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</si>
  <si>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</si>
  <si>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</si>
  <si>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</si>
  <si>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</si>
  <si>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</si>
  <si>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</si>
  <si>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</si>
  <si>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</si>
  <si>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</si>
  <si>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</si>
  <si>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</si>
  <si>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</si>
  <si>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</si>
  <si>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</si>
  <si>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</si>
  <si>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</si>
  <si>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</si>
  <si>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</si>
  <si>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</si>
  <si>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</si>
  <si>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</si>
  <si>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</si>
  <si>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</si>
  <si>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</si>
  <si>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</si>
  <si>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</si>
  <si>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</si>
  <si>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</si>
  <si>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</si>
  <si>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</si>
  <si>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</si>
  <si>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</si>
  <si>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</si>
  <si>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</si>
  <si>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</si>
  <si>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</si>
  <si>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</si>
  <si>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</si>
  <si>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</si>
  <si>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</si>
  <si>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</si>
  <si>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</si>
  <si>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</si>
  <si>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</si>
  <si>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</si>
  <si>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</si>
  <si>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</si>
  <si>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</si>
  <si>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</si>
  <si>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</si>
  <si>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</si>
  <si>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</si>
  <si>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</si>
  <si>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</si>
  <si>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</si>
  <si>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</si>
  <si>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</si>
  <si>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</si>
  <si>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</si>
  <si>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</si>
  <si>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</si>
  <si>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</si>
  <si>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</si>
  <si>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</si>
  <si>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</si>
  <si>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</si>
  <si>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</si>
  <si>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</si>
  <si>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</si>
  <si>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</si>
  <si>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</si>
  <si>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</si>
  <si>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</si>
  <si>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</si>
  <si>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</si>
  <si>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</si>
  <si>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</si>
  <si>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</si>
  <si>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</si>
  <si>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</si>
  <si>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</si>
  <si>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</si>
  <si>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</si>
  <si>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</si>
  <si>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</si>
  <si>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</si>
  <si>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</si>
  <si>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</si>
  <si>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</si>
  <si>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</si>
  <si>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</si>
  <si>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</si>
  <si>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</si>
  <si>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</si>
  <si>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</si>
  <si>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</si>
  <si>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</si>
  <si>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</si>
  <si>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</si>
  <si>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</si>
  <si>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</si>
  <si>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</si>
  <si>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</si>
  <si>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</si>
  <si>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</si>
  <si>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</si>
  <si>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</si>
  <si>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</si>
  <si>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</si>
  <si>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</si>
  <si>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</si>
  <si>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</si>
  <si>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</si>
  <si>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</si>
  <si>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</si>
  <si>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</si>
  <si>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</si>
  <si>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</si>
  <si>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</si>
  <si>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</si>
  <si>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</si>
  <si>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</si>
  <si>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</si>
  <si>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</si>
  <si>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</si>
  <si>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</si>
  <si>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</si>
  <si>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</si>
  <si>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</si>
  <si>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</si>
  <si>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</si>
  <si>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</si>
  <si>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</si>
  <si>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</si>
  <si>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</si>
  <si>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</si>
  <si>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</si>
  <si>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</si>
  <si>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</si>
  <si>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</si>
  <si>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</si>
  <si>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</si>
  <si>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</si>
  <si>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</si>
  <si>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</si>
  <si>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</si>
  <si>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</si>
  <si>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</si>
  <si>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</si>
  <si>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</si>
  <si>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</si>
  <si>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</si>
  <si>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</si>
  <si>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</si>
  <si>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</si>
  <si>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</si>
  <si>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</si>
  <si>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</si>
  <si>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</si>
  <si>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</si>
  <si>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</si>
  <si>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</si>
  <si>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</si>
  <si>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</si>
  <si>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</si>
  <si>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</si>
  <si>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</si>
  <si>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</si>
  <si>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</si>
  <si>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</si>
  <si>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</si>
  <si>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</si>
  <si>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</si>
  <si>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</si>
  <si>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</si>
  <si>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</si>
  <si>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</si>
  <si>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</si>
  <si>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</si>
  <si>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</si>
  <si>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</si>
  <si>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</si>
  <si>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</si>
  <si>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</si>
  <si>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</si>
  <si>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</si>
  <si>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</si>
  <si>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</si>
  <si>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</si>
  <si>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</si>
  <si>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</si>
  <si>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</si>
  <si>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</si>
  <si>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</si>
  <si>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</si>
  <si>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</si>
  <si>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</si>
  <si>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</si>
  <si>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</si>
  <si>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</si>
  <si>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</si>
  <si>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</si>
  <si>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</si>
  <si>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</si>
  <si>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</si>
  <si>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</si>
  <si>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</si>
  <si>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</si>
  <si>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</si>
  <si>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</si>
  <si>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</si>
  <si>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</si>
  <si>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</si>
  <si>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</si>
  <si>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</si>
  <si>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</si>
  <si>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</si>
  <si>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</si>
  <si>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</si>
  <si>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</si>
  <si>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</si>
  <si>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</si>
  <si>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</si>
  <si>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</si>
  <si>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</si>
  <si>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</si>
  <si>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</si>
  <si>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</si>
  <si>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</si>
  <si>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</si>
  <si>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</si>
  <si>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</si>
  <si>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</si>
  <si>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</si>
  <si>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</si>
  <si>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</si>
  <si>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</si>
  <si>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</si>
  <si>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</si>
  <si>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</si>
  <si>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</si>
  <si>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</si>
  <si>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</si>
  <si>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</si>
  <si>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</si>
  <si>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</si>
  <si>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</si>
  <si>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</si>
  <si>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</si>
  <si>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</si>
  <si>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</si>
  <si>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</si>
  <si>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</si>
  <si>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</si>
  <si>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</si>
  <si>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</si>
  <si>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</si>
  <si>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</si>
  <si>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</si>
  <si>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</si>
  <si>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</si>
  <si>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</si>
  <si>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</si>
  <si>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</si>
  <si>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</si>
  <si>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</si>
  <si>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</si>
  <si>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</si>
  <si>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</si>
  <si>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</si>
  <si>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</si>
  <si>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</si>
  <si>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</si>
  <si>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</si>
  <si>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</si>
  <si>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</si>
  <si>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</si>
  <si>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</si>
  <si>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</si>
  <si>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</si>
  <si>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</si>
  <si>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</si>
  <si>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</si>
  <si>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</si>
  <si>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</si>
  <si>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</si>
  <si>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</si>
  <si>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</si>
  <si>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</si>
  <si>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</si>
  <si>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</si>
  <si>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</si>
  <si>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</si>
  <si>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</si>
  <si>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</si>
  <si>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</si>
  <si>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</si>
  <si>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</si>
  <si>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</si>
  <si>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</si>
  <si>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</si>
  <si>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</si>
  <si>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</si>
  <si>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</si>
  <si>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</si>
  <si>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</si>
  <si>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</si>
  <si>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</si>
  <si>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</si>
  <si>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</si>
  <si>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</si>
  <si>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</si>
  <si>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</si>
  <si>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</si>
  <si>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</si>
  <si>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</si>
  <si>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</si>
  <si>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</si>
  <si>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</si>
  <si>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</si>
  <si>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</si>
  <si>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</si>
  <si>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</si>
  <si>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</si>
  <si>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</si>
  <si>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</si>
  <si>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</si>
  <si>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</si>
  <si>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</si>
  <si>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</si>
  <si>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</si>
  <si>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</si>
  <si>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</si>
  <si>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</si>
  <si>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</si>
  <si>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</si>
  <si>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</si>
  <si>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</si>
  <si>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</si>
  <si>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</si>
  <si>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</si>
  <si>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</si>
  <si>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</si>
  <si>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</si>
  <si>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</si>
  <si>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</si>
  <si>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</si>
  <si>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</si>
  <si>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</si>
  <si>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</si>
  <si>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</si>
  <si>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</si>
  <si>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</si>
  <si>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</si>
  <si>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</si>
  <si>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</si>
  <si>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</si>
  <si>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</si>
  <si>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</si>
  <si>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</si>
  <si>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</si>
  <si>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</si>
  <si>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</si>
  <si>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</si>
  <si>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</si>
  <si>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</si>
  <si>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</si>
  <si>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</si>
  <si>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</si>
  <si>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</si>
  <si>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</si>
  <si>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</si>
  <si>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</si>
  <si>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</si>
  <si>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</si>
  <si>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</si>
  <si>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</si>
  <si>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</si>
  <si>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</si>
  <si>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</si>
  <si>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</si>
  <si>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</si>
  <si>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</si>
  <si>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</si>
  <si>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</si>
  <si>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</si>
  <si>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</si>
  <si>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</si>
  <si>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</si>
  <si>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</si>
  <si>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</si>
  <si>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</si>
  <si>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</si>
  <si>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</si>
  <si>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</si>
  <si>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</si>
  <si>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</si>
  <si>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</si>
  <si>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</si>
  <si>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</si>
  <si>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</si>
  <si>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</si>
  <si>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</si>
  <si>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</si>
  <si>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</si>
  <si>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</si>
  <si>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</si>
  <si>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</si>
  <si>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</si>
  <si>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</si>
  <si>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</si>
  <si>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</si>
  <si>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</si>
  <si>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</si>
  <si>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</si>
  <si>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</si>
  <si>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</si>
  <si>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</si>
  <si>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</si>
  <si>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</si>
  <si>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</si>
  <si>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</si>
  <si>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</si>
  <si>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</si>
  <si>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</si>
  <si>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</si>
  <si>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</si>
  <si>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</si>
  <si>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</si>
  <si>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</si>
  <si>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</si>
  <si>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</si>
  <si>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</si>
  <si>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</si>
  <si>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</si>
  <si>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</si>
  <si>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</si>
  <si>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</si>
  <si>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</si>
  <si>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</si>
  <si>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</si>
  <si>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</si>
  <si>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</si>
  <si>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</si>
  <si>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</si>
  <si>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</si>
  <si>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</si>
  <si>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</si>
  <si>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</si>
  <si>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</si>
  <si>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</si>
  <si>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</si>
  <si>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</si>
  <si>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</si>
  <si>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</si>
  <si>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</si>
  <si>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</si>
  <si>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</si>
  <si>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</si>
  <si>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</si>
  <si>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</si>
  <si>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</si>
  <si>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</si>
  <si>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</si>
  <si>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</si>
  <si>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</si>
  <si>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</si>
  <si>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</si>
  <si>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</si>
  <si>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</si>
  <si>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</si>
  <si>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</si>
  <si>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</si>
  <si>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</si>
  <si>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</si>
  <si>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</si>
  <si>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</si>
  <si>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</si>
  <si>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</si>
  <si>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</si>
  <si>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</si>
  <si>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</si>
  <si>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</si>
  <si>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</si>
  <si>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</si>
  <si>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</si>
  <si>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</si>
  <si>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</si>
  <si>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</si>
  <si>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</si>
  <si>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</si>
  <si>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</si>
  <si>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</si>
  <si>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</si>
  <si>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</si>
  <si>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</si>
  <si>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</si>
  <si>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</si>
  <si>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</si>
  <si>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</si>
  <si>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</si>
  <si>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</si>
  <si>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</si>
  <si>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</si>
  <si>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</si>
  <si>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</si>
  <si>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</si>
  <si>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</si>
  <si>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</si>
  <si>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</si>
  <si>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</si>
  <si>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</si>
  <si>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</si>
  <si>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</si>
  <si>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</si>
  <si>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</si>
  <si>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</si>
  <si>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</si>
  <si>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</si>
  <si>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</si>
  <si>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</si>
  <si>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</si>
  <si>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</si>
  <si>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</si>
  <si>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</si>
  <si>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</si>
  <si>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</si>
  <si>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</si>
  <si>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</si>
  <si>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</si>
  <si>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</si>
  <si>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</si>
  <si>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</si>
  <si>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</si>
  <si>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</si>
  <si>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</si>
  <si>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</si>
  <si>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</si>
  <si>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</si>
  <si>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</si>
  <si>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</si>
  <si>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</si>
  <si>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</si>
  <si>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</si>
  <si>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</si>
  <si>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</si>
  <si>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</si>
  <si>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</si>
  <si>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</si>
  <si>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</si>
  <si>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</si>
  <si>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</si>
  <si>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</si>
  <si>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</si>
  <si>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</si>
  <si>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</si>
  <si>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</si>
  <si>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</si>
  <si>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</si>
  <si>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</si>
  <si>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</si>
  <si>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</si>
  <si>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</si>
  <si>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</si>
  <si>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</si>
  <si>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</si>
  <si>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</si>
  <si>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</si>
  <si>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</si>
  <si>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</si>
  <si>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</si>
  <si>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</si>
  <si>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</si>
  <si>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</si>
  <si>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</si>
  <si>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</si>
  <si>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</si>
  <si>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</si>
  <si>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</si>
  <si>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</si>
  <si>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</si>
  <si>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</si>
  <si>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</si>
  <si>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</si>
  <si>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</si>
  <si>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</si>
  <si>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</si>
  <si>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</si>
  <si>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</si>
  <si>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</si>
  <si>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</si>
  <si>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</si>
  <si>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</si>
  <si>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</si>
  <si>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</si>
  <si>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</si>
  <si>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</si>
  <si>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</si>
  <si>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</si>
  <si>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</si>
  <si>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</si>
  <si>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</si>
  <si>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</si>
  <si>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</si>
  <si>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</si>
  <si>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</si>
  <si>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</si>
  <si>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</si>
  <si>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</si>
  <si>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</si>
  <si>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</si>
  <si>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</si>
  <si>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</si>
  <si>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</si>
  <si>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</si>
  <si>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</si>
  <si>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</si>
  <si>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</si>
  <si>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</si>
  <si>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</si>
  <si>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</si>
  <si>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</si>
  <si>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</si>
  <si>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</si>
  <si>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</si>
  <si>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</si>
  <si>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</si>
  <si>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</si>
  <si>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</si>
  <si>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</si>
  <si>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</si>
  <si>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</si>
  <si>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</si>
  <si>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</si>
  <si>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</si>
  <si>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</si>
  <si>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</si>
  <si>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</si>
  <si>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</si>
  <si>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</si>
  <si>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</si>
  <si>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</si>
  <si>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</si>
  <si>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</si>
  <si>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</si>
  <si>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</si>
  <si>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</si>
  <si>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</si>
  <si>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</si>
  <si>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</si>
  <si>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</si>
  <si>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</si>
  <si>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</si>
  <si>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</si>
  <si>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</si>
  <si>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</si>
  <si>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</si>
  <si>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</si>
  <si>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</si>
  <si>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</si>
  <si>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</si>
  <si>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</si>
  <si>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</si>
  <si>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</si>
  <si>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</si>
  <si>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</si>
  <si>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</si>
  <si>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</si>
  <si>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</si>
  <si>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</si>
  <si>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</si>
  <si>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</si>
  <si>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</si>
  <si>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</si>
  <si>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</si>
  <si>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</si>
  <si>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</si>
  <si>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</si>
  <si>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</si>
  <si>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</si>
  <si>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</si>
  <si>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</si>
  <si>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</si>
  <si>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</si>
  <si>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</si>
  <si>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</si>
  <si>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</si>
  <si>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</si>
  <si>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</si>
  <si>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</si>
  <si>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</si>
  <si>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</si>
  <si>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</si>
  <si>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</si>
  <si>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</si>
  <si>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</si>
  <si>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</si>
  <si>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</si>
  <si>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</si>
  <si>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</si>
  <si>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</si>
  <si>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</si>
  <si>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</si>
  <si>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</si>
  <si>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</si>
  <si>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</si>
  <si>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</si>
  <si>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</si>
  <si>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</si>
  <si>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</si>
  <si>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</si>
  <si>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</si>
  <si>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</si>
  <si>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</si>
  <si>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</si>
  <si>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</si>
  <si>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</si>
  <si>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</si>
  <si>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</si>
  <si>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</si>
  <si>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</si>
  <si>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</si>
  <si>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</si>
  <si>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</si>
  <si>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</si>
  <si>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</si>
  <si>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</si>
  <si>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</si>
  <si>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</si>
  <si>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</si>
  <si>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</si>
  <si>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</si>
  <si>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</si>
  <si>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</si>
  <si>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</si>
  <si>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</si>
  <si>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</si>
  <si>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</si>
  <si>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</si>
  <si>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</si>
  <si>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</si>
  <si>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</si>
  <si>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</si>
  <si>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</si>
  <si>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</si>
  <si>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</si>
  <si>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</si>
  <si>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</si>
  <si>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</si>
  <si>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</si>
  <si>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</si>
  <si>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</si>
  <si>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</si>
  <si>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</si>
  <si>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</si>
  <si>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</si>
  <si>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</si>
  <si>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</si>
  <si>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</si>
  <si>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</si>
  <si>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</si>
  <si>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</si>
  <si>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</si>
  <si>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</si>
  <si>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</si>
  <si>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</si>
  <si>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</si>
  <si>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</si>
  <si>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</si>
  <si>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</si>
  <si>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</si>
  <si>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</si>
  <si>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</si>
  <si>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</si>
  <si>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</si>
  <si>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</si>
  <si>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</si>
  <si>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</si>
  <si>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</si>
  <si>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</si>
  <si>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</si>
  <si>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</si>
  <si>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</si>
  <si>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</si>
  <si>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</si>
  <si>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</si>
  <si>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</si>
  <si>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</si>
  <si>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</si>
  <si>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</si>
  <si>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</si>
  <si>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</si>
  <si>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</si>
  <si>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</si>
  <si>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</si>
  <si>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</si>
  <si>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</si>
  <si>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</si>
  <si>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</si>
  <si>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</si>
  <si>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</si>
  <si>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</si>
  <si>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</si>
  <si>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</si>
  <si>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</si>
  <si>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</si>
  <si>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</si>
  <si>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</si>
  <si>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</si>
  <si>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</si>
  <si>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</si>
  <si>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</si>
  <si>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</si>
  <si>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</si>
  <si>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</si>
  <si>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</si>
  <si>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</si>
  <si>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</si>
  <si>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</si>
  <si>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</si>
  <si>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</si>
  <si>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</si>
  <si>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</si>
  <si>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</si>
  <si>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</si>
  <si>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</si>
  <si>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</si>
  <si>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</si>
  <si>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</si>
  <si>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</si>
  <si>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</si>
  <si>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</si>
  <si>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</si>
  <si>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</si>
  <si>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</si>
  <si>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</si>
  <si>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</si>
  <si>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</si>
  <si>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</si>
  <si>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</si>
  <si>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</si>
  <si>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</si>
  <si>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</si>
  <si>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</si>
  <si>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</si>
  <si>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</si>
  <si>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</si>
  <si>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</si>
  <si>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</si>
  <si>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</si>
  <si>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</si>
  <si>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</si>
  <si>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</si>
  <si>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</si>
  <si>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</si>
  <si>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</si>
  <si>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</si>
  <si>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</si>
  <si>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</si>
  <si>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</si>
  <si>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</si>
  <si>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</si>
  <si>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</si>
  <si>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</si>
  <si>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</si>
  <si>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</si>
  <si>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</si>
  <si>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</si>
  <si>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</si>
  <si>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</si>
  <si>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</si>
  <si>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</si>
  <si>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</si>
  <si>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</si>
  <si>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</si>
  <si>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</si>
  <si>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</si>
  <si>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</si>
  <si>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</si>
  <si>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</si>
  <si>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</si>
  <si>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</si>
  <si>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</si>
  <si>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</si>
  <si>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</si>
  <si>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</si>
  <si>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</si>
  <si>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</si>
  <si>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</si>
  <si>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</si>
  <si>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</si>
  <si>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</si>
  <si>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</si>
  <si>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</si>
  <si>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</si>
  <si>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</si>
  <si>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</si>
  <si>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</si>
  <si>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</si>
  <si>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</si>
  <si>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</si>
  <si>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</si>
  <si>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</si>
  <si>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</si>
  <si>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</si>
  <si>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</si>
  <si>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</si>
  <si>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</si>
  <si>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</si>
  <si>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</si>
  <si>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</si>
  <si>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</si>
  <si>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</si>
  <si>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</si>
  <si>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</si>
  <si>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</si>
  <si>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</si>
  <si>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</si>
  <si>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</si>
  <si>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</si>
  <si>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</si>
  <si>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</si>
  <si>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</si>
  <si>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</si>
  <si>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</si>
  <si>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</si>
  <si>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</si>
  <si>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</si>
  <si>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</si>
  <si>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</si>
  <si>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</si>
  <si>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</si>
  <si>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</si>
  <si>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</si>
  <si>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</si>
  <si>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</si>
  <si>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</si>
  <si>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</si>
  <si>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</si>
  <si>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</si>
  <si>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</si>
  <si>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</si>
  <si>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</si>
  <si>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</si>
  <si>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</si>
  <si>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</si>
  <si>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</si>
  <si>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</si>
  <si>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</si>
  <si>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</si>
  <si>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</si>
  <si>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</si>
  <si>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</si>
  <si>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</si>
  <si>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</si>
  <si>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</si>
  <si>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</si>
  <si>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</si>
  <si>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</si>
  <si>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</si>
  <si>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</si>
  <si>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</si>
  <si>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</si>
  <si>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</si>
  <si>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</si>
  <si>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</si>
  <si>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</si>
  <si>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</si>
  <si>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</si>
  <si>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</si>
  <si>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</si>
  <si>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</si>
  <si>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</si>
  <si>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</si>
  <si>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</si>
  <si>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</si>
  <si>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</si>
  <si>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</si>
  <si>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</si>
  <si>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</si>
  <si>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</si>
  <si>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</si>
  <si>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</si>
  <si>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</si>
  <si>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</si>
  <si>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</si>
  <si>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</si>
  <si>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</si>
  <si>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</si>
  <si>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</si>
  <si>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</si>
  <si>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</si>
  <si>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</si>
  <si>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</si>
  <si>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</si>
  <si>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</si>
  <si>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</si>
  <si>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</si>
  <si>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</si>
  <si>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</si>
  <si>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</si>
  <si>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</si>
  <si>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</si>
  <si>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</si>
  <si>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</si>
  <si>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</si>
  <si>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</si>
  <si>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</si>
  <si>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</si>
  <si>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</si>
  <si>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</si>
  <si>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</si>
  <si>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</si>
  <si>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</si>
  <si>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</si>
  <si>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</si>
  <si>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</si>
  <si>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</si>
  <si>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</si>
  <si>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</si>
  <si>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</si>
  <si>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</si>
  <si>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</si>
  <si>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</si>
  <si>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</si>
  <si>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</si>
  <si>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</si>
  <si>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</si>
  <si>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</si>
  <si>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</si>
  <si>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</si>
  <si>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</si>
  <si>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</si>
  <si>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</si>
  <si>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</si>
  <si>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</si>
  <si>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</si>
  <si>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</si>
  <si>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</si>
  <si>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</si>
  <si>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</si>
  <si>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</si>
  <si>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</si>
  <si>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</si>
  <si>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</si>
  <si>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</si>
  <si>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</si>
  <si>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</si>
  <si>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</si>
  <si>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</si>
  <si>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</si>
  <si>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</si>
  <si>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</si>
  <si>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</si>
  <si>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</si>
  <si>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</si>
  <si>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</si>
  <si>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</si>
  <si>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</si>
  <si>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</si>
  <si>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</si>
  <si>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</si>
  <si>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</si>
  <si>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</si>
  <si>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</si>
  <si>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</si>
  <si>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</si>
  <si>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</si>
  <si>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</si>
  <si>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</si>
  <si>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</si>
  <si>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</si>
  <si>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</si>
  <si>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</si>
  <si>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</si>
  <si>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</si>
  <si>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</si>
  <si>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</si>
  <si>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</si>
  <si>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</si>
  <si>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</si>
  <si>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</si>
  <si>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</si>
  <si>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</si>
  <si>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</si>
  <si>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</si>
  <si>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</si>
  <si>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</si>
  <si>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</si>
  <si>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</si>
  <si>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</si>
  <si>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</si>
  <si>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</si>
  <si>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</si>
  <si>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</si>
  <si>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</si>
  <si>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</si>
  <si>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</si>
  <si>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</si>
  <si>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</si>
  <si>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</si>
  <si>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</si>
  <si>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</si>
  <si>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</si>
  <si>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</si>
  <si>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</si>
  <si>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</si>
  <si>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</si>
  <si>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</si>
  <si>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</si>
  <si>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</si>
  <si>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</si>
  <si>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</si>
  <si>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</si>
  <si>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</si>
  <si>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</si>
  <si>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</si>
  <si>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</si>
  <si>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</si>
  <si>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</si>
  <si>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</si>
  <si>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</si>
  <si>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</si>
  <si>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</si>
  <si>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</si>
  <si>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</si>
  <si>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</si>
  <si>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</si>
  <si>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</si>
  <si>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</si>
  <si>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</si>
  <si>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</si>
  <si>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</si>
  <si>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</si>
  <si>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</si>
  <si>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</si>
  <si>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</si>
  <si>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</si>
  <si>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</si>
  <si>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</si>
  <si>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</si>
  <si>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</si>
  <si>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</si>
  <si>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</si>
  <si>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</si>
  <si>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</si>
  <si>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</si>
  <si>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</si>
  <si>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</si>
  <si>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</si>
  <si>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</si>
  <si>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</si>
  <si>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</si>
  <si>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</si>
  <si>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</si>
  <si>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</si>
  <si>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</si>
  <si>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</si>
  <si>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</si>
  <si>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</si>
  <si>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</si>
  <si>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</si>
  <si>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</si>
  <si>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</si>
  <si>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</si>
  <si>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</si>
  <si>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</si>
  <si>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</si>
  <si>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</si>
  <si>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</si>
  <si>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</si>
  <si>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</si>
  <si>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</si>
  <si>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</si>
  <si>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</si>
  <si>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</si>
  <si>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</si>
  <si>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</si>
  <si>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</si>
  <si>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</si>
  <si>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</si>
  <si>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</si>
  <si>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</si>
  <si>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</si>
  <si>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</si>
  <si>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</si>
  <si>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</si>
  <si>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</si>
  <si>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</si>
  <si>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</si>
  <si>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</si>
  <si>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</si>
  <si>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</si>
  <si>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</si>
  <si>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</si>
  <si>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</si>
  <si>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</si>
  <si>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</si>
  <si>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</si>
  <si>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</si>
  <si>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</si>
  <si>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</si>
  <si>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</si>
  <si>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</si>
  <si>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</si>
  <si>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</si>
  <si>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</si>
  <si>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</si>
  <si>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</si>
  <si>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</si>
  <si>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</si>
  <si>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</si>
  <si>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</si>
  <si>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</si>
  <si>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</si>
  <si>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</si>
  <si>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</si>
  <si>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</si>
  <si>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</si>
  <si>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</si>
  <si>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</si>
  <si>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</si>
  <si>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</si>
  <si>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</si>
  <si>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</si>
  <si>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</si>
  <si>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</si>
  <si>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</si>
  <si>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</si>
  <si>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</si>
  <si>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</si>
  <si>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</si>
  <si>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</si>
  <si>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</si>
  <si>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</si>
  <si>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</si>
  <si>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</si>
  <si>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</si>
  <si>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</si>
  <si>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</si>
  <si>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</si>
  <si>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</si>
  <si>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</si>
  <si>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</si>
  <si>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</si>
  <si>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</si>
  <si>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</si>
  <si>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</si>
  <si>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</si>
  <si>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</si>
  <si>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</si>
  <si>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</si>
  <si>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</si>
  <si>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</si>
  <si>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</si>
  <si>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</si>
  <si>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</si>
  <si>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</si>
  <si>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</si>
  <si>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</si>
  <si>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</si>
  <si>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</si>
  <si>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</si>
  <si>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</si>
  <si>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</si>
  <si>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</si>
  <si>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</si>
  <si>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</si>
  <si>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</si>
  <si>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</si>
  <si>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</si>
  <si>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</si>
  <si>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</si>
  <si>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</si>
  <si>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</si>
  <si>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</si>
  <si>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</si>
  <si>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</si>
  <si>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</si>
  <si>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</si>
  <si>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</si>
  <si>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</si>
  <si>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</si>
  <si>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</si>
  <si>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</si>
  <si>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</si>
  <si>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</si>
  <si>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</si>
  <si>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</si>
  <si>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</si>
  <si>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</si>
  <si>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</si>
  <si>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</si>
  <si>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</si>
  <si>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</si>
  <si>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</si>
  <si>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</si>
  <si>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</si>
  <si>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</si>
  <si>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</si>
  <si>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</si>
  <si>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</si>
  <si>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</si>
  <si>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</si>
  <si>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</si>
  <si>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</si>
  <si>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</si>
  <si>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</si>
  <si>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</si>
  <si>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</si>
  <si>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</si>
  <si>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</si>
  <si>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</si>
  <si>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</si>
  <si>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</si>
  <si>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</si>
  <si>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</si>
  <si>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</si>
  <si>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</si>
  <si>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</si>
  <si>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</si>
  <si>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</si>
  <si>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</si>
  <si>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</si>
  <si>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</si>
  <si>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</si>
  <si>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</si>
  <si>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</si>
  <si>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</si>
  <si>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</si>
  <si>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</si>
  <si>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</si>
  <si>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</si>
  <si>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</si>
  <si>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</si>
  <si>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</si>
  <si>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</si>
  <si>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</si>
  <si>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</si>
  <si>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</si>
  <si>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</si>
  <si>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</si>
  <si>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</si>
  <si>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</si>
  <si>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</si>
  <si>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</si>
  <si>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</si>
  <si>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</si>
  <si>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</si>
  <si>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</si>
  <si>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</si>
  <si>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</si>
  <si>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</si>
  <si>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</si>
  <si>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</si>
  <si>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</si>
  <si>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</si>
  <si>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</si>
  <si>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</si>
  <si>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</si>
  <si>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</si>
  <si>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</si>
  <si>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</si>
  <si>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</si>
  <si>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</si>
  <si>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</si>
  <si>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</si>
  <si>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</si>
  <si>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</si>
  <si>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</si>
  <si>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</si>
  <si>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</si>
  <si>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</si>
  <si>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</si>
  <si>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</si>
  <si>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</si>
  <si>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</si>
  <si>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</si>
  <si>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</si>
  <si>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</si>
  <si>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</si>
  <si>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</si>
  <si>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</si>
  <si>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</si>
  <si>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</si>
  <si>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</si>
  <si>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</si>
  <si>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</si>
  <si>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</si>
  <si>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</si>
  <si>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</si>
  <si>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</si>
  <si>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</si>
  <si>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</si>
  <si>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</si>
  <si>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</si>
  <si>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</si>
  <si>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</si>
  <si>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</si>
  <si>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</si>
  <si>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</si>
  <si>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</si>
  <si>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</si>
  <si>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</si>
  <si>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</si>
  <si>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</si>
  <si>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</si>
  <si>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</si>
  <si>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</si>
  <si>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</si>
  <si>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</si>
  <si>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</si>
  <si>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</si>
  <si>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</si>
  <si>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</si>
  <si>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</si>
  <si>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</si>
  <si>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</si>
  <si>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</si>
  <si>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</si>
  <si>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</si>
  <si>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</si>
  <si>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</si>
  <si>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</si>
  <si>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</si>
  <si>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</si>
  <si>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</si>
  <si>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</si>
  <si>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</si>
  <si>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</si>
  <si>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</si>
  <si>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</si>
  <si>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</si>
  <si>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</si>
  <si>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</si>
  <si>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</si>
  <si>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</si>
  <si>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</si>
  <si>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</si>
  <si>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</si>
  <si>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</si>
  <si>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</si>
  <si>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</si>
  <si>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</si>
  <si>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</si>
  <si>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</si>
  <si>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</si>
  <si>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</si>
  <si>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</si>
  <si>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</si>
  <si>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</si>
  <si>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</si>
  <si>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</si>
  <si>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</si>
  <si>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</si>
  <si>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</si>
  <si>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</si>
  <si>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</si>
  <si>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</si>
  <si>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</si>
  <si>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</si>
  <si>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</si>
  <si>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</si>
  <si>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</si>
  <si>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</si>
  <si>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</si>
  <si>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</si>
  <si>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</si>
  <si>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</si>
  <si>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</si>
  <si>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</si>
  <si>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</si>
  <si>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</si>
  <si>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</si>
  <si>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</si>
  <si>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</si>
  <si>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</si>
  <si>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</si>
  <si>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</si>
  <si>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</si>
  <si>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</si>
  <si>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</si>
  <si>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</si>
  <si>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</si>
  <si>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</si>
  <si>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</si>
  <si>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</si>
  <si>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</si>
  <si>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</si>
  <si>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</si>
  <si>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</si>
  <si>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</si>
  <si>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</si>
  <si>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</si>
  <si>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</si>
  <si>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</si>
  <si>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</si>
  <si>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</si>
  <si>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</si>
  <si>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</si>
  <si>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</si>
  <si>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</si>
  <si>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</si>
  <si>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</si>
  <si>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</si>
  <si>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</si>
  <si>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</si>
  <si>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</si>
  <si>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</si>
  <si>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</si>
  <si>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</si>
  <si>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</si>
  <si>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</si>
  <si>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</si>
  <si>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</si>
  <si>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</si>
  <si>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</si>
  <si>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</si>
  <si>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</si>
  <si>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</si>
  <si>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</si>
  <si>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</si>
  <si>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</si>
  <si>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</si>
  <si>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</si>
  <si>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</si>
  <si>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</si>
  <si>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</si>
  <si>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</si>
  <si>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</si>
  <si>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</si>
  <si>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</si>
  <si>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</si>
  <si>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</si>
  <si>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</si>
  <si>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</si>
  <si>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</si>
  <si>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</si>
  <si>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</si>
  <si>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</si>
  <si>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</si>
  <si>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</si>
  <si>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</si>
  <si>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</si>
  <si>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</si>
  <si>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</si>
  <si>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</si>
  <si>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</si>
  <si>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</si>
  <si>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</si>
  <si>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</si>
  <si>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</si>
  <si>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</si>
  <si>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</si>
  <si>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</si>
  <si>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</si>
  <si>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</si>
  <si>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</si>
  <si>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</si>
  <si>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</si>
  <si>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</si>
  <si>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</si>
  <si>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</si>
  <si>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</si>
  <si>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</si>
  <si>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</si>
  <si>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</si>
  <si>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</si>
  <si>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</si>
  <si>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</si>
  <si>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</si>
  <si>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</si>
  <si>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</si>
  <si>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</si>
  <si>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</si>
  <si>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</si>
  <si>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</si>
  <si>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</si>
  <si>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</si>
  <si>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</si>
  <si>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</si>
  <si>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</si>
  <si>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</si>
  <si>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</si>
  <si>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</si>
  <si>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</si>
  <si>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</si>
  <si>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</si>
  <si>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</si>
  <si>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</si>
  <si>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</si>
  <si>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</si>
  <si>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</si>
  <si>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</si>
  <si>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</si>
  <si>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</si>
  <si>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</si>
  <si>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</si>
  <si>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</si>
  <si>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</si>
  <si>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</si>
  <si>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</si>
  <si>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</si>
  <si>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</si>
  <si>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</si>
  <si>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</si>
  <si>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</si>
  <si>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</si>
  <si>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</si>
  <si>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</si>
  <si>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</si>
  <si>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</si>
  <si>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</si>
  <si>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</si>
  <si>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</si>
  <si>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</si>
  <si>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</si>
  <si>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</si>
  <si>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</si>
  <si>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</si>
  <si>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</si>
  <si>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</si>
  <si>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</si>
  <si>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</si>
  <si>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</si>
  <si>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</si>
  <si>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</si>
  <si>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</si>
  <si>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</si>
  <si>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</si>
  <si>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</si>
  <si>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</si>
  <si>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</si>
  <si>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</si>
  <si>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</si>
  <si>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</si>
  <si>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</si>
  <si>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</si>
  <si>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</si>
  <si>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</si>
  <si>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</si>
  <si>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</si>
  <si>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</si>
  <si>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</si>
  <si>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</si>
  <si>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</si>
  <si>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</si>
  <si>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</si>
  <si>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</si>
  <si>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</si>
  <si>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</si>
  <si>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</si>
  <si>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</si>
  <si>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</si>
  <si>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</si>
  <si>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</si>
  <si>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</si>
  <si>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</si>
  <si>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</si>
  <si>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</si>
  <si>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</si>
  <si>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</si>
  <si>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</si>
  <si>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</si>
  <si>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</si>
  <si>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</si>
  <si>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</si>
  <si>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</si>
  <si>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</si>
  <si>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</si>
  <si>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</si>
  <si>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</si>
  <si>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</si>
  <si>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</si>
  <si>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</si>
  <si>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</si>
  <si>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</si>
  <si>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</si>
  <si>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</si>
  <si>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</si>
  <si>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</si>
  <si>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</si>
  <si>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</si>
  <si>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</si>
  <si>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</si>
  <si>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</si>
  <si>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</si>
  <si>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</si>
  <si>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</si>
  <si>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</si>
  <si>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</si>
  <si>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</si>
  <si>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</si>
  <si>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</si>
  <si>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</si>
  <si>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</si>
  <si>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</si>
  <si>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</si>
  <si>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</si>
  <si>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</si>
  <si>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</si>
  <si>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</si>
  <si>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</si>
  <si>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</si>
  <si>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</si>
  <si>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</si>
  <si>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</si>
  <si>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</si>
  <si>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</si>
  <si>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</si>
  <si>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</si>
  <si>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</si>
  <si>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</si>
  <si>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</si>
  <si>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</si>
  <si>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</si>
  <si>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</si>
  <si>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</si>
  <si>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</si>
  <si>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</si>
  <si>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</si>
  <si>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</si>
  <si>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</si>
  <si>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</si>
  <si>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</si>
  <si>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</si>
  <si>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</si>
  <si>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</si>
  <si>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</si>
  <si>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</si>
  <si>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</si>
  <si>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</si>
  <si>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</si>
  <si>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</si>
  <si>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</si>
  <si>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</si>
  <si>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</si>
  <si>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</si>
  <si>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</si>
  <si>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</si>
  <si>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</si>
  <si>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</si>
  <si>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</si>
  <si>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</si>
  <si>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</si>
  <si>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</si>
  <si>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</si>
  <si>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</si>
  <si>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</si>
  <si>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</si>
  <si>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</si>
  <si>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</si>
  <si>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</si>
  <si>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</si>
  <si>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</si>
  <si>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</si>
  <si>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</si>
  <si>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</si>
  <si>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</si>
  <si>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</si>
  <si>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</si>
  <si>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</si>
  <si>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</si>
  <si>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</si>
  <si>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</si>
  <si>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</si>
  <si>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</si>
  <si>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</si>
  <si>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</si>
  <si>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</si>
  <si>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</si>
  <si>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</si>
  <si>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</si>
  <si>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</si>
  <si>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</si>
  <si>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</si>
  <si>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</si>
  <si>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</si>
  <si>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</si>
  <si>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</si>
  <si>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</si>
  <si>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</si>
  <si>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</si>
  <si>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</si>
  <si>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</si>
  <si>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</si>
  <si>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</si>
  <si>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</si>
  <si>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</si>
  <si>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</si>
  <si>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</si>
  <si>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</si>
  <si>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</si>
  <si>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</si>
  <si>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</si>
  <si>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</si>
  <si>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</si>
  <si>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</si>
  <si>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</si>
  <si>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</si>
  <si>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</si>
  <si>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</si>
  <si>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</si>
  <si>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</si>
  <si>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</si>
  <si>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</si>
  <si>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</si>
  <si>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</si>
  <si>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</si>
  <si>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</si>
  <si>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</si>
  <si>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</si>
  <si>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</si>
  <si>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</si>
  <si>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</si>
  <si>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</si>
  <si>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</si>
  <si>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</si>
  <si>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</si>
  <si>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</si>
  <si>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</si>
  <si>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</si>
  <si>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</si>
  <si>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</si>
  <si>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</si>
  <si>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</si>
  <si>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</si>
  <si>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</si>
  <si>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</si>
  <si>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</si>
  <si>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</si>
  <si>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</si>
  <si>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</si>
  <si>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</si>
  <si>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</si>
  <si>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</si>
  <si>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</si>
  <si>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</si>
  <si>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</si>
  <si>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</si>
  <si>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</si>
  <si>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</si>
  <si>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</si>
  <si>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</si>
  <si>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</si>
  <si>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</si>
  <si>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</si>
  <si>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</si>
  <si>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</si>
  <si>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</si>
  <si>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</si>
  <si>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</si>
  <si>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</si>
  <si>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</si>
  <si>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</si>
  <si>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</si>
  <si>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</si>
  <si>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</si>
  <si>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</si>
  <si>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</si>
  <si>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</si>
  <si>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</si>
  <si>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</si>
  <si>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</si>
  <si>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</si>
  <si>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</si>
  <si>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</si>
  <si>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</si>
  <si>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</si>
  <si>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</si>
  <si>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</si>
  <si>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</si>
  <si>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</si>
  <si>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</si>
  <si>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</si>
  <si>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</si>
  <si>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</si>
  <si>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</si>
  <si>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</si>
  <si>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</si>
  <si>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</si>
  <si>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</si>
  <si>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</si>
  <si>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</si>
  <si>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</si>
  <si>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</si>
  <si>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</si>
  <si>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</si>
  <si>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</si>
  <si>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</si>
  <si>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</si>
  <si>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</si>
  <si>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</si>
  <si>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</si>
  <si>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</si>
  <si>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</si>
  <si>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</si>
  <si>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</si>
  <si>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</si>
  <si>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</si>
  <si>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</si>
  <si>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</si>
  <si>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</si>
  <si>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</si>
  <si>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</si>
  <si>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</si>
  <si>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</si>
  <si>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</si>
  <si>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</si>
  <si>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</si>
  <si>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</si>
  <si>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</si>
  <si>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</si>
  <si>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</si>
  <si>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</si>
  <si>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</si>
  <si>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</si>
  <si>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</si>
  <si>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</si>
  <si>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</si>
  <si>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</si>
  <si>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</si>
  <si>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</si>
  <si>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</si>
  <si>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</si>
  <si>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</si>
  <si>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</si>
  <si>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</si>
  <si>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</si>
  <si>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</si>
  <si>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</si>
  <si>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</si>
  <si>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</si>
  <si>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</si>
  <si>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</si>
  <si>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</si>
  <si>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</si>
  <si>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</si>
  <si>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</si>
  <si>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</si>
  <si>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</si>
  <si>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</si>
  <si>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</si>
  <si>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</si>
  <si>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</si>
  <si>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</si>
  <si>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</si>
  <si>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</si>
  <si>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</si>
  <si>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</si>
  <si>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</si>
  <si>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</si>
  <si>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</si>
  <si>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</si>
  <si>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</si>
  <si>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</si>
  <si>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</si>
  <si>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</si>
  <si>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</si>
  <si>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</si>
  <si>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</si>
  <si>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</si>
  <si>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</si>
  <si>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</si>
  <si>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</si>
  <si>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</si>
  <si>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</si>
  <si>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</si>
  <si>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</si>
  <si>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</si>
  <si>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</si>
  <si>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</si>
  <si>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</si>
  <si>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</si>
  <si>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</si>
  <si>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</si>
  <si>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</si>
  <si>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</si>
  <si>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</si>
  <si>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</si>
  <si>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</si>
  <si>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</si>
  <si>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</si>
  <si>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</si>
  <si>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</si>
  <si>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</si>
  <si>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</si>
  <si>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</si>
  <si>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</si>
  <si>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</si>
  <si>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</si>
  <si>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</si>
  <si>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</si>
  <si>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</si>
  <si>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</si>
  <si>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</si>
  <si>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</si>
  <si>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</si>
  <si>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</si>
  <si>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</si>
  <si>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</si>
  <si>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</si>
  <si>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</si>
  <si>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</si>
  <si>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</si>
  <si>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</si>
  <si>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</si>
  <si>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</si>
  <si>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</si>
  <si>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</si>
  <si>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</si>
  <si>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</si>
  <si>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</si>
  <si>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</si>
  <si>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</si>
  <si>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</si>
  <si>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</si>
  <si>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</si>
  <si>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</si>
  <si>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</si>
  <si>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</si>
  <si>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</si>
  <si>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</si>
  <si>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</si>
  <si>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</si>
  <si>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</si>
  <si>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</si>
  <si>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</si>
  <si>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</si>
  <si>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</si>
  <si>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</si>
  <si>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</si>
  <si>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</si>
  <si>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</si>
  <si>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</si>
  <si>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</si>
  <si>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</si>
  <si>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</si>
  <si>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</si>
  <si>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</si>
  <si>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</si>
  <si>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</si>
  <si>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</si>
  <si>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</si>
  <si>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</si>
  <si>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</si>
  <si>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</si>
  <si>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</si>
  <si>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</si>
  <si>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</si>
  <si>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</si>
  <si>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</si>
  <si>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</si>
  <si>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</si>
  <si>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</si>
  <si>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</si>
  <si>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</si>
  <si>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</si>
  <si>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</si>
  <si>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</si>
  <si>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</si>
  <si>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</si>
  <si>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</si>
  <si>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</si>
  <si>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</si>
  <si>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</si>
  <si>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</si>
  <si>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</si>
  <si>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</si>
  <si>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</si>
  <si>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</si>
  <si>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</si>
  <si>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</si>
  <si>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</si>
  <si>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</si>
  <si>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</si>
  <si>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</si>
  <si>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</si>
  <si>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</si>
  <si>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</si>
  <si>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</si>
  <si>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</si>
  <si>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</si>
  <si>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</si>
  <si>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</si>
  <si>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</si>
  <si>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</si>
  <si>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</si>
  <si>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</si>
  <si>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</si>
  <si>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</si>
  <si>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</si>
  <si>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</si>
  <si>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</si>
  <si>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</si>
  <si>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</si>
  <si>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</si>
  <si>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</si>
  <si>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</si>
  <si>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</si>
  <si>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</si>
  <si>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</si>
  <si>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</si>
  <si>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</si>
  <si>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</si>
  <si>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</si>
  <si>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</si>
  <si>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</si>
  <si>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</si>
  <si>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</si>
  <si>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</si>
  <si>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</si>
  <si>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</si>
  <si>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</si>
  <si>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</si>
  <si>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</si>
  <si>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</si>
  <si>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</si>
  <si>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</si>
  <si>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</si>
  <si>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</si>
  <si>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</si>
  <si>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</si>
  <si>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</si>
  <si>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</si>
  <si>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</si>
  <si>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</si>
  <si>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</si>
  <si>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</si>
  <si>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</si>
  <si>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</si>
  <si>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</si>
  <si>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</si>
  <si>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</si>
  <si>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</si>
  <si>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</si>
  <si>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</si>
  <si>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</si>
  <si>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</si>
  <si>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</si>
  <si>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</si>
  <si>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</si>
  <si>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</si>
  <si>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</si>
  <si>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</si>
  <si>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</si>
  <si>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</si>
  <si>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</si>
  <si>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</si>
  <si>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</si>
  <si>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</si>
  <si>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</si>
  <si>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</si>
  <si>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</si>
  <si>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</si>
  <si>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</si>
  <si>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</si>
  <si>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</si>
  <si>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</si>
  <si>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</si>
  <si>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</si>
  <si>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</si>
  <si>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</si>
  <si>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</si>
  <si>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</si>
  <si>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</si>
  <si>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</si>
  <si>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</si>
  <si>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</si>
  <si>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</si>
  <si>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</si>
  <si>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</si>
  <si>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</si>
  <si>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</si>
  <si>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</si>
  <si>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</si>
  <si>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</si>
  <si>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</si>
  <si>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</si>
  <si>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</si>
  <si>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</si>
  <si>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</si>
  <si>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</si>
  <si>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</si>
  <si>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</si>
  <si>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</si>
  <si>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</si>
  <si>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</si>
  <si>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</si>
  <si>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</si>
  <si>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</si>
  <si>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</si>
  <si>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</si>
  <si>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</si>
  <si>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</si>
  <si>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</si>
  <si>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</si>
  <si>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</si>
  <si>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</si>
  <si>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</si>
  <si>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</si>
  <si>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</si>
  <si>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</si>
  <si>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</si>
  <si>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</si>
  <si>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</si>
  <si>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</si>
  <si>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</si>
  <si>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</si>
  <si>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</si>
  <si>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</si>
  <si>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</si>
  <si>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</si>
  <si>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</si>
  <si>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</si>
  <si>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</si>
  <si>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</si>
  <si>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</si>
  <si>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</si>
  <si>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</si>
  <si>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</si>
  <si>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</si>
  <si>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</si>
  <si>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</si>
  <si>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</si>
  <si>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</si>
  <si>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</si>
  <si>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</si>
  <si>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</si>
  <si>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</si>
  <si>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</si>
  <si>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</si>
  <si>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</si>
  <si>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</si>
  <si>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</si>
  <si>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</si>
  <si>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</si>
  <si>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</si>
  <si>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</si>
  <si>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</si>
  <si>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</si>
  <si>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</si>
  <si>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</si>
  <si>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</si>
  <si>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</si>
  <si>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</si>
  <si>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</si>
  <si>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</si>
  <si>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</si>
  <si>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</si>
  <si>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</si>
  <si>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</si>
  <si>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</si>
  <si>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</si>
  <si>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</si>
  <si>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</si>
  <si>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</si>
  <si>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</si>
  <si>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</si>
  <si>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</si>
  <si>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</si>
  <si>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</si>
  <si>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</si>
  <si>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</si>
  <si>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</si>
  <si>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</si>
  <si>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</si>
  <si>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</si>
  <si>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</si>
  <si>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</si>
  <si>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</si>
  <si>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</si>
  <si>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</si>
  <si>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</si>
  <si>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</si>
  <si>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</si>
  <si>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</si>
  <si>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</si>
  <si>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</si>
  <si>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</si>
  <si>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</si>
  <si>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</si>
  <si>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</si>
  <si>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</si>
  <si>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</si>
  <si>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</si>
  <si>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</si>
  <si>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</si>
  <si>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</si>
  <si>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</si>
  <si>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</si>
  <si>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</si>
  <si>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</si>
  <si>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</si>
  <si>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</si>
  <si>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</si>
  <si>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</si>
  <si>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</si>
  <si>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</si>
  <si>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</si>
  <si>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</si>
  <si>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</si>
  <si>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</si>
  <si>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</si>
  <si>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</si>
  <si>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</si>
  <si>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</si>
  <si>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</si>
  <si>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</si>
  <si>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</si>
  <si>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</si>
  <si>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</si>
  <si>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</si>
  <si>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</si>
  <si>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</si>
  <si>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</si>
  <si>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</si>
  <si>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</si>
  <si>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</si>
  <si>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</si>
  <si>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</si>
  <si>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</si>
  <si>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</si>
  <si>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</si>
  <si>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</si>
  <si>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</si>
  <si>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</si>
  <si>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</si>
  <si>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</si>
  <si>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</si>
  <si>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</si>
  <si>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</si>
  <si>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</si>
  <si>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</si>
  <si>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</si>
  <si>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</si>
  <si>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</si>
  <si>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</si>
  <si>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</si>
  <si>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</si>
  <si>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</si>
  <si>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</si>
  <si>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</si>
  <si>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</si>
  <si>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</si>
  <si>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</si>
  <si>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</si>
  <si>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</si>
  <si>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</si>
  <si>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</si>
  <si>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</si>
  <si>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</si>
  <si>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</si>
  <si>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</si>
  <si>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</si>
  <si>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</si>
  <si>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</si>
  <si>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</si>
  <si>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</si>
  <si>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</si>
  <si>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</si>
  <si>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</si>
  <si>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</si>
  <si>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</si>
  <si>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</si>
  <si>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</si>
  <si>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</si>
  <si>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</si>
  <si>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</si>
  <si>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</si>
  <si>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</si>
  <si>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</si>
  <si>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</si>
  <si>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</si>
  <si>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</si>
  <si>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</si>
  <si>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</si>
  <si>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</si>
  <si>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</si>
  <si>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</si>
  <si>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</si>
  <si>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</si>
  <si>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</si>
  <si>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</si>
  <si>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</si>
  <si>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</si>
  <si>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</si>
  <si>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</si>
  <si>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</si>
  <si>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</si>
  <si>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</si>
  <si>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</si>
  <si>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</si>
  <si>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</si>
  <si>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</si>
  <si>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</si>
  <si>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</si>
  <si>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</si>
  <si>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</si>
  <si>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</si>
  <si>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</si>
  <si>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</si>
  <si>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</si>
  <si>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</si>
  <si>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</si>
  <si>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</si>
  <si>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</si>
  <si>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</si>
  <si>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</si>
  <si>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</si>
  <si>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</si>
  <si>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</si>
  <si>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</si>
  <si>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</si>
  <si>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</si>
  <si>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</si>
  <si>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</si>
  <si>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</si>
  <si>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</si>
  <si>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</si>
  <si>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</si>
  <si>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</si>
  <si>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</si>
  <si>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</si>
  <si>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</si>
  <si>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</si>
  <si>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</si>
  <si>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</si>
  <si>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</si>
  <si>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</si>
  <si>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</si>
  <si>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</si>
  <si>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</si>
  <si>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</si>
  <si>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</si>
  <si>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</si>
  <si>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</si>
  <si>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</si>
  <si>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</si>
  <si>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</si>
  <si>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</si>
  <si>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</si>
  <si>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</si>
  <si>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</si>
  <si>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</si>
  <si>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</si>
  <si>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</si>
  <si>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</si>
  <si>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</si>
  <si>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</si>
  <si>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</si>
  <si>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</si>
  <si>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</si>
  <si>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</si>
  <si>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</si>
  <si>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</si>
  <si>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</si>
  <si>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</si>
  <si>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</si>
  <si>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</si>
  <si>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</si>
  <si>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</si>
  <si>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</si>
  <si>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</si>
  <si>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</si>
  <si>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</si>
  <si>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</si>
  <si>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</si>
  <si>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</si>
  <si>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</si>
  <si>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</si>
  <si>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</si>
  <si>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</si>
  <si>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</si>
  <si>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</si>
  <si>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</si>
  <si>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</si>
  <si>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</si>
  <si>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</si>
  <si>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</si>
  <si>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</si>
  <si>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</si>
  <si>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</si>
  <si>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</si>
  <si>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</si>
  <si>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</si>
  <si>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</si>
  <si>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</si>
  <si>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</si>
  <si>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</si>
  <si>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</si>
  <si>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</si>
  <si>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</si>
  <si>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</si>
  <si>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</si>
  <si>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</si>
  <si>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</si>
  <si>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</si>
  <si>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</si>
  <si>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</si>
  <si>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</si>
  <si>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</si>
  <si>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</si>
  <si>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</si>
  <si>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</si>
  <si>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</si>
  <si>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</si>
  <si>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</si>
  <si>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</si>
  <si>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</si>
  <si>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</si>
  <si>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</si>
  <si>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</si>
  <si>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</si>
  <si>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</si>
  <si>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</si>
  <si>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</si>
  <si>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</si>
  <si>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</si>
  <si>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</si>
  <si>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</si>
  <si>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</si>
  <si>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</si>
  <si>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</si>
  <si>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</si>
  <si>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</si>
  <si>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</si>
  <si>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</si>
  <si>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</si>
  <si>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</si>
  <si>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</si>
  <si>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</si>
  <si>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</si>
  <si>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</si>
  <si>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按公示增长率计算</t>
  </si>
  <si>
    <t>批发零售用地</t>
  </si>
  <si>
    <t>楼层修正</t>
  </si>
  <si>
    <t>未包含在土地购买价格中</t>
  </si>
  <si>
    <t>已包含在土地取得成本中</t>
  </si>
  <si>
    <t>成本法</t>
  </si>
  <si>
    <t>正常</t>
  </si>
  <si>
    <t>售价</t>
  </si>
  <si>
    <r>
      <rPr>
        <sz val="10"/>
        <color indexed="8"/>
        <rFont val="宋体"/>
        <family val="3"/>
        <charset val="134"/>
      </rPr>
      <t>地下</t>
    </r>
    <r>
      <rPr>
        <sz val="10"/>
        <color indexed="8"/>
        <rFont val="Arial"/>
        <family val="2"/>
      </rPr>
      <t>1</t>
    </r>
    <phoneticPr fontId="3" type="noConversion"/>
  </si>
  <si>
    <t>较好</t>
  </si>
  <si>
    <r>
      <rPr>
        <sz val="10"/>
        <color indexed="8"/>
        <rFont val="宋体"/>
        <family val="3"/>
        <charset val="134"/>
      </rPr>
      <t>地下</t>
    </r>
    <r>
      <rPr>
        <sz val="10"/>
        <color indexed="8"/>
        <rFont val="Arial"/>
        <family val="2"/>
      </rPr>
      <t>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</si>
  <si>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</si>
  <si>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</si>
  <si>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收益法</t>
  </si>
  <si>
    <t>钢混</t>
  </si>
  <si>
    <t>非生产用房</t>
  </si>
  <si>
    <t>典型户型修正</t>
  </si>
  <si>
    <t>典型户型修正</t>
    <phoneticPr fontId="16" type="noConversion"/>
  </si>
  <si>
    <t>押一</t>
  </si>
  <si>
    <t>按租金收入计税</t>
  </si>
  <si>
    <t>通热</t>
  </si>
  <si>
    <t>好</t>
  </si>
  <si>
    <t>星宇文创园</t>
    <phoneticPr fontId="3" type="noConversion"/>
  </si>
  <si>
    <t>商业</t>
    <phoneticPr fontId="31" type="noConversion"/>
  </si>
  <si>
    <t>东湖湾东区商铺</t>
    <phoneticPr fontId="3" type="noConversion"/>
  </si>
  <si>
    <t>燃气</t>
  </si>
  <si>
    <t>与级别开发程度一致</t>
  </si>
  <si>
    <t>朝来绿色家园</t>
    <phoneticPr fontId="3" type="noConversion"/>
  </si>
  <si>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</si>
  <si>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</si>
  <si>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</si>
  <si>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</si>
  <si>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</si>
  <si>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</si>
  <si>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</si>
  <si>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</si>
  <si>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</si>
  <si>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</si>
  <si>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</si>
  <si>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</si>
  <si>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</si>
  <si>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</si>
  <si>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</si>
  <si>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</si>
  <si>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</si>
  <si>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</si>
  <si>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</si>
  <si>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</si>
  <si>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</si>
  <si>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</si>
  <si>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</si>
  <si>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</si>
  <si>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</si>
  <si>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</si>
  <si>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</si>
  <si>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独栋商业</t>
    <phoneticPr fontId="31" type="noConversion"/>
  </si>
  <si>
    <t>临街商业</t>
  </si>
  <si>
    <t>临街商业</t>
    <phoneticPr fontId="31" type="noConversion"/>
  </si>
  <si>
    <t>住宅底商</t>
  </si>
  <si>
    <t>住宅底商</t>
    <phoneticPr fontId="31" type="noConversion"/>
  </si>
  <si>
    <t>办公底商</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</si>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</sst>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161925</xdr:rowOff>
    </xdr:from>
    <xdr:to>
      <xdr:col>11</xdr:col>
      <xdr:colOff>503839</xdr:colOff>
      <xdr:row>8</xdr:row>
      <xdr:rowOff>142706</xdr:rowOff>
    </xdr:to>
    <xdr:pic>
      <xdr:nvPicPr>
        <xdr:cNvPr id="3" name="图片 2"/>
        <xdr:cNvPicPr>
          <a:picLocks noChangeAspect="1"/>
        </xdr:cNvPicPr>
      </xdr:nvPicPr>
      <xdr:blipFill>
        <a:blip xmlns:r="http://schemas.openxmlformats.org/officeDocument/2006/relationships" r:embed="rId1"/>
        <a:stretch>
          <a:fillRect/>
        </a:stretch>
      </xdr:blipFill>
      <xdr:spPr>
        <a:xfrm>
          <a:off x="152400" y="161925"/>
          <a:ext cx="7895239" cy="1352381"/>
        </a:xfrm>
        <a:prstGeom prst="rect">
          <a:avLst/>
        </a:prstGeom>
      </xdr:spPr>
    </xdr:pic>
    <xdr:clientData/>
  </xdr:twoCellAnchor>
  <xdr:twoCellAnchor editAs="oneCell">
    <xdr:from>
      <xdr:col>0</xdr:col>
      <xdr:colOff>190500</xdr:colOff>
      <xdr:row>10</xdr:row>
      <xdr:rowOff>38100</xdr:rowOff>
    </xdr:from>
    <xdr:to>
      <xdr:col>14</xdr:col>
      <xdr:colOff>294063</xdr:colOff>
      <xdr:row>13</xdr:row>
      <xdr:rowOff>152321</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0" y="1752600"/>
          <a:ext cx="9704763" cy="628571"/>
        </a:xfrm>
        <a:prstGeom prst="rect">
          <a:avLst/>
        </a:prstGeom>
      </xdr:spPr>
    </xdr:pic>
    <xdr:clientData/>
  </xdr:twoCellAnchor>
  <xdr:twoCellAnchor editAs="oneCell">
    <xdr:from>
      <xdr:col>0</xdr:col>
      <xdr:colOff>142875</xdr:colOff>
      <xdr:row>16</xdr:row>
      <xdr:rowOff>133350</xdr:rowOff>
    </xdr:from>
    <xdr:to>
      <xdr:col>15</xdr:col>
      <xdr:colOff>541590</xdr:colOff>
      <xdr:row>43</xdr:row>
      <xdr:rowOff>104200</xdr:rowOff>
    </xdr:to>
    <xdr:pic>
      <xdr:nvPicPr>
        <xdr:cNvPr id="5" name="图片 4"/>
        <xdr:cNvPicPr>
          <a:picLocks noChangeAspect="1"/>
        </xdr:cNvPicPr>
      </xdr:nvPicPr>
      <xdr:blipFill>
        <a:blip xmlns:r="http://schemas.openxmlformats.org/officeDocument/2006/relationships" r:embed="rId3"/>
        <a:stretch>
          <a:fillRect/>
        </a:stretch>
      </xdr:blipFill>
      <xdr:spPr>
        <a:xfrm>
          <a:off x="142875" y="2876550"/>
          <a:ext cx="10685715" cy="4600000"/>
        </a:xfrm>
        <a:prstGeom prst="rect">
          <a:avLst/>
        </a:prstGeom>
      </xdr:spPr>
    </xdr:pic>
    <xdr:clientData/>
  </xdr:twoCellAnchor>
  <xdr:twoCellAnchor editAs="oneCell">
    <xdr:from>
      <xdr:col>0</xdr:col>
      <xdr:colOff>228600</xdr:colOff>
      <xdr:row>44</xdr:row>
      <xdr:rowOff>123825</xdr:rowOff>
    </xdr:from>
    <xdr:to>
      <xdr:col>11</xdr:col>
      <xdr:colOff>484801</xdr:colOff>
      <xdr:row>59</xdr:row>
      <xdr:rowOff>133028</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7667625"/>
          <a:ext cx="7800001" cy="2580953"/>
        </a:xfrm>
        <a:prstGeom prst="rect">
          <a:avLst/>
        </a:prstGeom>
      </xdr:spPr>
    </xdr:pic>
    <xdr:clientData/>
  </xdr:twoCellAnchor>
  <xdr:twoCellAnchor editAs="oneCell">
    <xdr:from>
      <xdr:col>0</xdr:col>
      <xdr:colOff>171450</xdr:colOff>
      <xdr:row>62</xdr:row>
      <xdr:rowOff>28575</xdr:rowOff>
    </xdr:from>
    <xdr:to>
      <xdr:col>15</xdr:col>
      <xdr:colOff>379689</xdr:colOff>
      <xdr:row>94</xdr:row>
      <xdr:rowOff>46937</xdr:rowOff>
    </xdr:to>
    <xdr:pic>
      <xdr:nvPicPr>
        <xdr:cNvPr id="7" name="图片 6"/>
        <xdr:cNvPicPr>
          <a:picLocks noChangeAspect="1"/>
        </xdr:cNvPicPr>
      </xdr:nvPicPr>
      <xdr:blipFill>
        <a:blip xmlns:r="http://schemas.openxmlformats.org/officeDocument/2006/relationships" r:embed="rId5"/>
        <a:stretch>
          <a:fillRect/>
        </a:stretch>
      </xdr:blipFill>
      <xdr:spPr>
        <a:xfrm>
          <a:off x="171450" y="10658475"/>
          <a:ext cx="10495239" cy="5504762"/>
        </a:xfrm>
        <a:prstGeom prst="rect">
          <a:avLst/>
        </a:prstGeom>
      </xdr:spPr>
    </xdr:pic>
    <xdr:clientData/>
  </xdr:twoCellAnchor>
  <xdr:twoCellAnchor editAs="oneCell">
    <xdr:from>
      <xdr:col>0</xdr:col>
      <xdr:colOff>200025</xdr:colOff>
      <xdr:row>96</xdr:row>
      <xdr:rowOff>95250</xdr:rowOff>
    </xdr:from>
    <xdr:to>
      <xdr:col>12</xdr:col>
      <xdr:colOff>408521</xdr:colOff>
      <xdr:row>111</xdr:row>
      <xdr:rowOff>37786</xdr:rowOff>
    </xdr:to>
    <xdr:pic>
      <xdr:nvPicPr>
        <xdr:cNvPr id="8" name="图片 7"/>
        <xdr:cNvPicPr>
          <a:picLocks noChangeAspect="1"/>
        </xdr:cNvPicPr>
      </xdr:nvPicPr>
      <xdr:blipFill>
        <a:blip xmlns:r="http://schemas.openxmlformats.org/officeDocument/2006/relationships" r:embed="rId6"/>
        <a:stretch>
          <a:fillRect/>
        </a:stretch>
      </xdr:blipFill>
      <xdr:spPr>
        <a:xfrm>
          <a:off x="200025" y="16554450"/>
          <a:ext cx="8438096" cy="2514286"/>
        </a:xfrm>
        <a:prstGeom prst="rect">
          <a:avLst/>
        </a:prstGeom>
      </xdr:spPr>
    </xdr:pic>
    <xdr:clientData/>
  </xdr:twoCellAnchor>
  <xdr:twoCellAnchor editAs="oneCell">
    <xdr:from>
      <xdr:col>1</xdr:col>
      <xdr:colOff>0</xdr:colOff>
      <xdr:row>115</xdr:row>
      <xdr:rowOff>0</xdr:rowOff>
    </xdr:from>
    <xdr:to>
      <xdr:col>9</xdr:col>
      <xdr:colOff>323124</xdr:colOff>
      <xdr:row>144</xdr:row>
      <xdr:rowOff>66046</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9716750"/>
          <a:ext cx="58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估价对象为北京市房地产，为所有。根据《国有土地使用证》[]，估价对象（分摊）出让国有建设用地使用权面积为2386.36平方米，建筑面积为3905.76平方米。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估价对象为北京市房地产,属开发建设的，该项目尚在开发建设中。根据《国有土地使用证》[]，估价对象（分摊）出让国有建设用地使用权面积为2386.36平方米，规划建筑面积为3905.76平方米。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11813</v>
      </c>
    </row>
    <row r="21" spans="1:2" s="1477" customFormat="1">
      <c r="A21" s="1475" t="s">
        <v>1230</v>
      </c>
      <c r="B21" s="1476">
        <f ca="1">'预评函-2'!D7</f>
        <v>30245</v>
      </c>
    </row>
    <row r="22" spans="1:2" s="1477" customFormat="1">
      <c r="A22" s="1475" t="s">
        <v>1231</v>
      </c>
      <c r="B22" s="1476" t="str">
        <f ca="1">'预评函-2'!D6</f>
        <v>壹亿壹仟捌佰壹拾叁万元整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11813</v>
      </c>
    </row>
    <row r="31" spans="1:2" s="1477" customFormat="1">
      <c r="A31" s="1475" t="s">
        <v>1269</v>
      </c>
      <c r="B31" s="1476">
        <f ca="1">'预评函-2'!D15</f>
        <v>30245</v>
      </c>
    </row>
    <row r="32" spans="1:2" s="1477" customFormat="1">
      <c r="A32" s="1475" t="s">
        <v>1236</v>
      </c>
      <c r="B32" s="1476" t="str">
        <f ca="1">'预评函-2'!D14</f>
        <v>壹亿壹仟捌佰壹拾叁万元整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3905.76</v>
      </c>
    </row>
    <row r="44" spans="1:2" s="1477" customFormat="1">
      <c r="A44" s="1475" t="s">
        <v>1268</v>
      </c>
      <c r="B44" s="1476" t="str">
        <f>'预评函-3'!C2</f>
        <v>(分摊)土地面积</v>
      </c>
    </row>
    <row r="45" spans="1:2" s="1477" customFormat="1">
      <c r="A45" s="1475" t="s">
        <v>1240</v>
      </c>
      <c r="B45" s="1476">
        <f>'预评函-3'!C4</f>
        <v>2386.36</v>
      </c>
    </row>
    <row r="46" spans="1:2" s="1477" customFormat="1">
      <c r="A46" s="1475" t="s">
        <v>1266</v>
      </c>
      <c r="B46" s="1476" t="str">
        <f>'预评函-3'!D2</f>
        <v>出让国有建设用地使用权价值</v>
      </c>
    </row>
    <row r="47" spans="1:2" s="1477" customFormat="1">
      <c r="A47" s="1475" t="s">
        <v>1241</v>
      </c>
      <c r="B47" s="1476" t="e">
        <f ca="1">'预评函-3'!D4</f>
        <v>#REF!</v>
      </c>
    </row>
    <row r="48" spans="1:2" s="1477" customFormat="1">
      <c r="A48" s="1475" t="s">
        <v>1242</v>
      </c>
      <c r="B48" s="1476" t="e">
        <f ca="1">'预评函-3'!E4</f>
        <v>#REF!</v>
      </c>
    </row>
    <row r="49" spans="1:2" s="1477" customFormat="1">
      <c r="A49" s="1475" t="s">
        <v>1243</v>
      </c>
      <c r="B49" s="1476" t="e">
        <f ca="1">'预评函-3'!D5</f>
        <v>#REF!</v>
      </c>
    </row>
    <row r="50" spans="1:2" s="1477" customFormat="1">
      <c r="A50" s="1475" t="s">
        <v>1267</v>
      </c>
      <c r="B50" s="1476" t="str">
        <f>'预评函-3'!F2</f>
        <v>在建建筑物价值</v>
      </c>
    </row>
    <row r="51" spans="1:2" s="1477" customFormat="1">
      <c r="A51" s="1475" t="s">
        <v>1244</v>
      </c>
      <c r="B51" s="1476" t="e">
        <f ca="1">'预评函-3'!F4</f>
        <v>#REF!</v>
      </c>
    </row>
    <row r="52" spans="1:2" s="1477" customFormat="1">
      <c r="A52" s="1475" t="s">
        <v>1245</v>
      </c>
      <c r="B52" s="1476" t="e">
        <f ca="1">'预评函-3'!G4</f>
        <v>#REF!</v>
      </c>
    </row>
    <row r="53" spans="1:2" s="1477" customFormat="1">
      <c r="A53" s="1475" t="s">
        <v>1273</v>
      </c>
      <c r="B53" s="1476" t="e">
        <f ca="1">'预评函-3'!F5</f>
        <v>#REF!</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3093</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1886" t="s">
        <v>860</v>
      </c>
      <c r="C54" s="1883" t="s">
        <v>1276</v>
      </c>
    </row>
    <row r="55" spans="1:4">
      <c r="A55" s="2992"/>
      <c r="B55" s="1886" t="s">
        <v>861</v>
      </c>
      <c r="C55" s="1883" t="s">
        <v>1277</v>
      </c>
    </row>
    <row r="56" spans="1:4">
      <c r="A56" s="2992"/>
      <c r="B56" s="1886" t="s">
        <v>862</v>
      </c>
      <c r="C56" s="1883" t="s">
        <v>1281</v>
      </c>
    </row>
    <row r="57" spans="1:4">
      <c r="A57" s="299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003"/>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1900">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3059</v>
      </c>
      <c r="C8" s="1920"/>
      <c r="D8" s="3004" t="s">
        <v>1779</v>
      </c>
      <c r="E8" s="1921" t="s">
        <v>3060</v>
      </c>
      <c r="F8" s="1922"/>
      <c r="G8" s="1890"/>
      <c r="H8" s="1890"/>
      <c r="I8" s="1890"/>
      <c r="J8" s="1906"/>
      <c r="K8" s="1907"/>
      <c r="L8" s="1892"/>
      <c r="M8" s="1892"/>
      <c r="N8" s="1893"/>
      <c r="O8" s="1894"/>
      <c r="P8" s="1893"/>
      <c r="Q8" s="1893"/>
      <c r="R8" s="1893"/>
    </row>
    <row r="9" spans="1:19" ht="18" customHeight="1" thickBot="1">
      <c r="A9" s="1904" t="s">
        <v>1780</v>
      </c>
      <c r="B9" s="1923" t="s">
        <v>3060</v>
      </c>
      <c r="C9" s="1924"/>
      <c r="D9" s="3005"/>
      <c r="E9" s="1923"/>
      <c r="F9" s="1925"/>
      <c r="G9" s="1926"/>
      <c r="H9" s="1926"/>
      <c r="I9" s="1926"/>
      <c r="J9" s="1906"/>
      <c r="K9" s="1918"/>
      <c r="L9" s="1892"/>
      <c r="M9" s="1892"/>
      <c r="N9" s="1893"/>
      <c r="O9" s="1894"/>
      <c r="P9" s="1893"/>
      <c r="Q9" s="1893"/>
      <c r="R9" s="1893"/>
    </row>
    <row r="10" spans="1:19" ht="18" customHeight="1" thickTop="1">
      <c r="A10" s="1927" t="s">
        <v>1781</v>
      </c>
      <c r="B10" s="1928" t="s">
        <v>3061</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3062</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3063</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52190</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22.31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11"/>
      <c r="C16" s="3012"/>
      <c r="D16" s="3013"/>
      <c r="E16" s="1950" t="s">
        <v>1796</v>
      </c>
      <c r="F16" s="3014"/>
      <c r="G16" s="3015"/>
      <c r="H16" s="3015"/>
      <c r="I16" s="3016"/>
      <c r="J16" s="1893"/>
      <c r="K16" s="1947"/>
      <c r="L16" s="1948"/>
      <c r="M16" s="1948"/>
      <c r="N16" s="1949"/>
      <c r="O16" s="1948"/>
      <c r="P16" s="1949"/>
      <c r="Q16" s="1893"/>
      <c r="R16" s="1893"/>
    </row>
    <row r="17" spans="1:22" ht="18" customHeight="1">
      <c r="A17" s="1951" t="s">
        <v>1797</v>
      </c>
      <c r="B17" s="1899" t="s">
        <v>1798</v>
      </c>
      <c r="C17" s="1054">
        <f>'数据-汇总表'!E3</f>
        <v>3905.76</v>
      </c>
      <c r="D17" s="1952" t="s">
        <v>1799</v>
      </c>
      <c r="E17" s="3017" t="s">
        <v>1800</v>
      </c>
      <c r="F17" s="3018"/>
      <c r="G17" s="3018"/>
      <c r="H17" s="3018"/>
      <c r="I17" s="3019"/>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2386.36</v>
      </c>
      <c r="D18" s="1955" t="s">
        <v>1799</v>
      </c>
      <c r="E18" s="3020" t="s">
        <v>1803</v>
      </c>
      <c r="F18" s="3021"/>
      <c r="G18" s="3021"/>
      <c r="H18" s="3021"/>
      <c r="I18" s="3022"/>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07" t="s">
        <v>1808</v>
      </c>
      <c r="C20" s="3008"/>
      <c r="D20" s="3009" t="s">
        <v>1809</v>
      </c>
      <c r="E20" s="3010"/>
      <c r="F20" s="1962" t="s">
        <v>1810</v>
      </c>
      <c r="G20" s="1906"/>
      <c r="H20" s="1906"/>
      <c r="I20" s="1906"/>
      <c r="J20" s="1906"/>
      <c r="K20" s="300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2994"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2994"/>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2994"/>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2995"/>
      <c r="B30" s="1899" t="s">
        <v>1827</v>
      </c>
      <c r="C30" s="2996"/>
      <c r="D30" s="2997"/>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2998" t="s">
        <v>1828</v>
      </c>
      <c r="B31" s="1991" t="s">
        <v>3064</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2999"/>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2999"/>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2993" t="s">
        <v>1837</v>
      </c>
      <c r="T34" s="1999" t="str">
        <f>NUMBERSTRING(7-K34,1)&amp;"通"</f>
        <v>七通</v>
      </c>
      <c r="U34" s="1893"/>
      <c r="V34" s="1893"/>
    </row>
    <row r="35" spans="1:22" ht="18" customHeight="1">
      <c r="A35" s="2000"/>
      <c r="B35" s="3000" t="s">
        <v>1838</v>
      </c>
      <c r="C35" s="3000"/>
      <c r="D35" s="3000"/>
      <c r="E35" s="3000"/>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3"/>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523</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430</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2386.36</v>
      </c>
      <c r="B3" s="14">
        <f>IF(C3="否",G5-AT5,G5)</f>
        <v>3905.76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3905.76</v>
      </c>
      <c r="H5" s="16">
        <f t="shared" ref="H5:AT5" si="0">SUM(H13:H656)</f>
        <v>3905.76</v>
      </c>
      <c r="I5" s="16">
        <f t="shared" si="0"/>
        <v>3905.76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3905.76</v>
      </c>
      <c r="BA5" s="18">
        <f t="shared" si="1"/>
        <v>3905.76</v>
      </c>
      <c r="BB5" s="18">
        <f t="shared" si="1"/>
        <v>3905.76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2386.36</v>
      </c>
      <c r="F6" s="16" t="s">
        <v>1</v>
      </c>
      <c r="G6" s="16" t="s">
        <v>2</v>
      </c>
      <c r="H6" s="20">
        <f>SUMIF(I$12:AB$12,"总值",I6:AB6)</f>
        <v>2386.36</v>
      </c>
      <c r="I6" s="16">
        <f t="shared" ref="I6:AB6" si="2">ROUND($A$3*I5/$B$3,2)</f>
        <v>2386.36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2386.36</v>
      </c>
      <c r="AZ6" s="16" t="s">
        <v>3</v>
      </c>
      <c r="BA6" s="16">
        <f>ROUND($AY$6*BA5/$AZ$5,2)</f>
        <v>2386.36</v>
      </c>
      <c r="BB6" s="16">
        <f>ROUND($AY$6*BB5/$AZ$5,2)</f>
        <v>2386.36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3066</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3065</v>
      </c>
      <c r="E13" s="16">
        <f>IF($C$3="是",ROUND($A$3*G13/$B$3,2),ROUND($A$3*(G13-AT13)/$B$3,2))</f>
        <v>812.65</v>
      </c>
      <c r="F13" s="32"/>
      <c r="G13" s="33">
        <f>H13+AC13+AT13</f>
        <v>1330.07</v>
      </c>
      <c r="H13" s="20">
        <f>SUMIF(I$12:AB$12,"总值",I13:AB13)</f>
        <v>1330.07</v>
      </c>
      <c r="I13" s="2079">
        <v>1330.07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812.65</v>
      </c>
      <c r="AZ13" s="16">
        <f>BA13+BL13</f>
        <v>1330.07</v>
      </c>
      <c r="BA13" s="16">
        <f>SUM(BB13:BK13)</f>
        <v>1330.07</v>
      </c>
      <c r="BB13" s="16">
        <f>IF($D13="是",I13-J13,0)</f>
        <v>1330.07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3065</v>
      </c>
      <c r="E14" s="16">
        <f>IF($C$3="是",ROUND($A$3*G14/$B$3,2),ROUND($A$3*(G14-AT14)/$B$3,2))</f>
        <v>591.94000000000005</v>
      </c>
      <c r="F14" s="32"/>
      <c r="G14" s="33">
        <f>H14+AC14+AT14</f>
        <v>968.83</v>
      </c>
      <c r="H14" s="20">
        <f>SUMIF(I$12:AB$12,"总值",I14:AB14)</f>
        <v>968.83</v>
      </c>
      <c r="I14" s="2079">
        <v>968.83</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591.94000000000005</v>
      </c>
      <c r="AZ14" s="16">
        <f>BA14+BL14</f>
        <v>968.83</v>
      </c>
      <c r="BA14" s="16">
        <f>SUM(BB14:BK14)</f>
        <v>968.83</v>
      </c>
      <c r="BB14" s="16">
        <f>IF($D14="是",I14-J14,0)</f>
        <v>968.83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3</v>
      </c>
      <c r="D15" s="2078" t="s">
        <v>3065</v>
      </c>
      <c r="E15" s="16">
        <f>IF($C$3="是",ROUND($A$3*G15/$B$3,2),ROUND($A$3*(G15-AT15)/$B$3,2))</f>
        <v>385.31</v>
      </c>
      <c r="F15" s="32"/>
      <c r="G15" s="33">
        <f>H15+AC15+AT15</f>
        <v>630.64</v>
      </c>
      <c r="H15" s="20">
        <f>SUMIF(I$12:AB$12,"总值",I15:AB15)</f>
        <v>630.64</v>
      </c>
      <c r="I15" s="2079">
        <v>630.64</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3</v>
      </c>
      <c r="AY15" s="1671">
        <f>ROUND($AY$6*AZ15/$AZ$5,2)</f>
        <v>385.31</v>
      </c>
      <c r="AZ15" s="16">
        <f>BA15+BL15</f>
        <v>630.64</v>
      </c>
      <c r="BA15" s="16">
        <f>SUM(BB15:BK15)</f>
        <v>630.64</v>
      </c>
      <c r="BB15" s="16">
        <f>IF($D15="是",I15-J15,0)</f>
        <v>630.64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t="s">
        <v>3084</v>
      </c>
      <c r="D16" s="2078" t="s">
        <v>3065</v>
      </c>
      <c r="E16" s="16">
        <f>IF($C$3="是",ROUND($A$3*G16/$B$3,2),ROUND($A$3*(G16-AT16)/$B$3,2))</f>
        <v>596.46</v>
      </c>
      <c r="F16" s="32"/>
      <c r="G16" s="33">
        <f>H16+AC16+AT16</f>
        <v>976.22</v>
      </c>
      <c r="H16" s="20">
        <f>SUMIF(I$12:AB$12,"总值",I16:AB16)</f>
        <v>976.22</v>
      </c>
      <c r="I16" s="2079">
        <v>976.22</v>
      </c>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t="str">
        <f t="shared" si="6"/>
        <v>地下1</v>
      </c>
      <c r="AY16" s="1671">
        <f>ROUND($AY$6*AZ16/$AZ$5,2)</f>
        <v>596.46</v>
      </c>
      <c r="AZ16" s="16">
        <f>BA16+BL16</f>
        <v>976.22</v>
      </c>
      <c r="BA16" s="16">
        <f>SUM(BB16:BK16)</f>
        <v>976.22</v>
      </c>
      <c r="BB16" s="16">
        <f>IF($D16="是",I16-J16,0)</f>
        <v>976.22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4" t="s">
        <v>1934</v>
      </c>
      <c r="B2" s="3034"/>
      <c r="C2" s="3034"/>
      <c r="D2" s="967" t="s">
        <v>1910</v>
      </c>
      <c r="E2" s="2092" t="s">
        <v>1911</v>
      </c>
      <c r="F2" s="1392"/>
      <c r="G2" s="2093"/>
      <c r="H2" s="2094"/>
      <c r="I2" s="2095" t="s">
        <v>1935</v>
      </c>
      <c r="J2" s="1392"/>
      <c r="K2" s="1392"/>
      <c r="L2" s="1392"/>
      <c r="M2" s="1392"/>
      <c r="N2" s="1427"/>
      <c r="O2" s="1392"/>
      <c r="P2" s="1392"/>
    </row>
    <row r="3" spans="1:16" ht="15.75" thickBot="1">
      <c r="A3" s="3035" t="s">
        <v>1908</v>
      </c>
      <c r="B3" s="3035"/>
      <c r="C3" s="3035"/>
      <c r="D3" s="46">
        <f>'数据-基础表'!AY6</f>
        <v>2386.36</v>
      </c>
      <c r="E3" s="46">
        <f>'数据-基础表'!AZ5</f>
        <v>3905.76</v>
      </c>
      <c r="F3" s="1392"/>
      <c r="G3" s="1399"/>
      <c r="H3" s="1247" t="s">
        <v>1909</v>
      </c>
      <c r="I3" s="55">
        <f>ROUND('数据-基础表'!B3/'数据-基础表'!A3,2)</f>
        <v>1.64</v>
      </c>
      <c r="J3" s="1392"/>
      <c r="K3" s="1392"/>
      <c r="L3" s="1392"/>
      <c r="M3" s="1392"/>
      <c r="N3" s="1427"/>
      <c r="O3" s="1392"/>
      <c r="P3" s="1392"/>
    </row>
    <row r="4" spans="1:16" ht="15">
      <c r="A4" s="3036"/>
      <c r="B4" s="3037"/>
      <c r="C4" s="3038"/>
      <c r="D4" s="2096" t="s">
        <v>1910</v>
      </c>
      <c r="E4" s="2097" t="s">
        <v>1911</v>
      </c>
      <c r="F4" s="1392"/>
      <c r="G4" s="2098" t="s">
        <v>1936</v>
      </c>
      <c r="H4" s="1247" t="s">
        <v>1916</v>
      </c>
      <c r="I4" s="55">
        <f>ROUND(SUMIF('数据-基础表'!I9:AS9,"地上",'数据-基础表'!I5:AS5)/'数据-基础表'!A3,2)</f>
        <v>1.64</v>
      </c>
      <c r="J4" s="1392"/>
      <c r="K4" s="1392"/>
      <c r="L4" s="1392"/>
      <c r="M4" s="1392"/>
      <c r="N4" s="1427"/>
      <c r="O4" s="1392"/>
      <c r="P4" s="1392"/>
    </row>
    <row r="5" spans="1:16">
      <c r="A5" s="47" t="s">
        <v>1912</v>
      </c>
      <c r="B5" s="3039" t="s">
        <v>1913</v>
      </c>
      <c r="C5" s="3039"/>
      <c r="D5" s="48">
        <f>ROUND($D$3*E5/$E$3,2)</f>
        <v>0</v>
      </c>
      <c r="E5" s="49">
        <f>SUMIF('数据-基础表'!$11:$11,"住宅",'数据-基础表'!$5:$5)</f>
        <v>0</v>
      </c>
      <c r="F5" s="1392"/>
      <c r="G5" s="1399"/>
      <c r="H5" s="1247" t="s">
        <v>1909</v>
      </c>
      <c r="I5" s="55">
        <f>ROUND(E31/D31,2)</f>
        <v>1.64</v>
      </c>
      <c r="J5" s="1392"/>
      <c r="K5" s="1392"/>
      <c r="L5" s="1392"/>
      <c r="M5" s="1392"/>
      <c r="N5" s="1392"/>
      <c r="O5" s="1392"/>
      <c r="P5" s="1392"/>
    </row>
    <row r="6" spans="1:16" ht="15" thickBot="1">
      <c r="A6" s="2099"/>
      <c r="B6" s="3039" t="s">
        <v>1914</v>
      </c>
      <c r="C6" s="3039"/>
      <c r="D6" s="48">
        <f>ROUND($D$3*E6/$E$3,2)</f>
        <v>2386.36</v>
      </c>
      <c r="E6" s="49">
        <f>E3-E5</f>
        <v>3905.76</v>
      </c>
      <c r="F6" s="1392"/>
      <c r="G6" s="2100" t="s">
        <v>1915</v>
      </c>
      <c r="H6" s="1399" t="s">
        <v>1916</v>
      </c>
      <c r="I6" s="939">
        <f>ROUND(F31/D31,2)</f>
        <v>1.64</v>
      </c>
      <c r="J6" s="1392"/>
      <c r="K6" s="1392"/>
      <c r="L6" s="1392"/>
      <c r="M6" s="1392"/>
      <c r="N6" s="1392"/>
      <c r="O6" s="1392"/>
      <c r="P6" s="1392"/>
    </row>
    <row r="7" spans="1:16" ht="15">
      <c r="A7" s="3031"/>
      <c r="B7" s="3032"/>
      <c r="C7" s="3033"/>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2386.36</v>
      </c>
      <c r="E8" s="51">
        <f>SUMIF('数据-基础表'!BB10:BK10,"地上",'数据-基础表'!BB5:BK5)</f>
        <v>3905.76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2386.36</v>
      </c>
      <c r="E16" s="53">
        <f>SUM(E8:E15)</f>
        <v>3905.76</v>
      </c>
      <c r="F16" s="1392"/>
      <c r="G16" s="2102"/>
      <c r="H16" s="2105" t="s">
        <v>1938</v>
      </c>
      <c r="I16" s="2106"/>
      <c r="J16" s="1392"/>
      <c r="K16" s="3028" t="s">
        <v>1938</v>
      </c>
      <c r="L16" s="3029"/>
      <c r="M16" s="3029"/>
      <c r="N16" s="3029"/>
      <c r="O16" s="3029"/>
      <c r="P16" s="3030"/>
    </row>
    <row r="17" spans="1:19" ht="15">
      <c r="A17" s="2107" t="s">
        <v>1939</v>
      </c>
      <c r="B17" s="2108" t="s">
        <v>1940</v>
      </c>
      <c r="C17" s="2109" t="s">
        <v>1941</v>
      </c>
      <c r="D17" s="2110" t="s">
        <v>1929</v>
      </c>
      <c r="E17" s="2111" t="s">
        <v>1930</v>
      </c>
      <c r="F17" s="2112"/>
      <c r="G17" s="2113"/>
      <c r="H17" s="2114" t="s">
        <v>1942</v>
      </c>
      <c r="I17" s="2115" t="s">
        <v>1927</v>
      </c>
      <c r="J17" s="1392"/>
      <c r="K17" s="3025" t="s">
        <v>1943</v>
      </c>
      <c r="L17" s="3026"/>
      <c r="M17" s="3027"/>
      <c r="N17" s="3025" t="s">
        <v>1944</v>
      </c>
      <c r="O17" s="3026"/>
      <c r="P17" s="302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3067</v>
      </c>
      <c r="D19" s="48">
        <f>ROUND($D$3*E19/$E$3,2)</f>
        <v>2386.36</v>
      </c>
      <c r="E19" s="56">
        <f t="shared" ref="E19:E26" si="1">SUM(F19:G19)</f>
        <v>3905.76</v>
      </c>
      <c r="F19" s="57">
        <f>'数据-基础表'!I5</f>
        <v>3905.76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2386.36</v>
      </c>
      <c r="S19" s="1248">
        <f t="shared" si="5"/>
        <v>3905.76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2386.36</v>
      </c>
      <c r="E27" s="1394">
        <f>IF(SUM(E19:E26)='数据-基础表'!BA5,SUM(E19:E26),IF(F27="地上面积有误","面积有误","地下面积有误"))</f>
        <v>3905.76</v>
      </c>
      <c r="F27" s="1393">
        <f>IF(SUM(F19:F26)=E8,SUM(F19:F26),"地上面积有误")</f>
        <v>3905.76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2386.36</v>
      </c>
      <c r="S27" s="1247">
        <f>IF(SUM(S19:S26)=$E$3,SUM(S19:S26),SUM(S19:S26)&amp;"误差"&amp;ROUND(SUM(S19:S26)-E3,2))</f>
        <v>3905.76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2386.36</v>
      </c>
      <c r="E31" s="729">
        <f>E27+E30</f>
        <v>3905.76</v>
      </c>
      <c r="F31" s="730">
        <f>F27+F30</f>
        <v>3905.76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3068</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52190</v>
      </c>
      <c r="F6" s="72">
        <f>SUMIF(项目基本情况!D$12:I$12,C6,项目基本情况!D$15:I$15)</f>
        <v>22.31</v>
      </c>
      <c r="G6" s="73">
        <f>IF(ISERROR(ROUND(POWER(1+H6,D6-F6)*(POWER(1+H6,F6)-1)/(POWER(1+H6,D6)-1),3)),0,ROUND(POWER(1+H6,D6-F6)*(POWER(1+H6,F6)-1)/(POWER(1+H6,D6)-1),3))</f>
        <v>0.77300000000000002</v>
      </c>
      <c r="H6" s="802">
        <v>0.05</v>
      </c>
      <c r="I6" s="802">
        <v>5.5E-2</v>
      </c>
      <c r="J6" s="74">
        <v>0.08</v>
      </c>
      <c r="K6" s="1251">
        <f>SUMIF('数据-汇总表'!C$19:C$33,A6,'数据-汇总表'!E$19:E$33)</f>
        <v>3905.76</v>
      </c>
      <c r="L6" s="803">
        <v>3000</v>
      </c>
      <c r="M6" s="75">
        <f t="shared" ref="M6:M14" si="0">ROUND(K6*L6/10000,0)</f>
        <v>1172</v>
      </c>
      <c r="N6" s="801">
        <f>ROUND(1-(2020-2004)/60,2)</f>
        <v>0.73</v>
      </c>
      <c r="O6" s="75" t="str">
        <f>IF($N$5="成新度","——",ROUND(M6*N6,0))</f>
        <v>——</v>
      </c>
      <c r="P6" s="76" t="str">
        <f>IF($N$5="成新度","——",M6-O6)</f>
        <v>——</v>
      </c>
      <c r="Q6" s="804">
        <v>0.2</v>
      </c>
      <c r="R6" s="77">
        <f ca="1">SUMIF('数据-汇总表'!C$19:C$33,A6,'数据-汇总表'!R$19:R$27)</f>
        <v>2386.36</v>
      </c>
      <c r="S6" s="54">
        <f>IF('数据-汇总表'!$I$17="按面积比例",SUMIF('数据-汇总表'!C$19:C$33,A6,'数据-汇总表'!K$19:K$33),SUMIF('数据-汇总表'!C$19:C$33,A6,'数据-汇总表'!N$19:N$33))</f>
        <v>0</v>
      </c>
      <c r="T6" s="1443">
        <f>ROUND($L$14*S6/10000,0)</f>
        <v>0</v>
      </c>
      <c r="U6" s="78">
        <v>5.5</v>
      </c>
      <c r="V6" s="79">
        <v>0.03</v>
      </c>
      <c r="W6" s="79">
        <v>0.1</v>
      </c>
      <c r="X6" s="1261"/>
      <c r="Y6" s="80">
        <f>N6</f>
        <v>0.73</v>
      </c>
      <c r="Z6" s="81"/>
      <c r="AA6" s="74"/>
      <c r="AB6" s="74"/>
      <c r="AC6" s="1261"/>
      <c r="AD6" s="82"/>
      <c r="AE6" s="1262">
        <f ca="1">IF(AN6="",0,SUMIF(INDIRECT("'"&amp;AN6&amp;"'"&amp;"!E:E"),$AE$5,INDIRECT("'"&amp;AN6&amp;"'"&amp;"!F:F")))</f>
        <v>22.31</v>
      </c>
      <c r="AF6" s="1669"/>
      <c r="AG6" s="147">
        <f>IF(AF6="",0,AE6-AF6)</f>
        <v>0</v>
      </c>
      <c r="AH6" s="83"/>
      <c r="AI6" s="85">
        <v>365</v>
      </c>
      <c r="AJ6" s="86"/>
      <c r="AK6" s="87">
        <v>1.4999999999999999E-2</v>
      </c>
      <c r="AL6" s="88">
        <v>1.5E-3</v>
      </c>
      <c r="AM6" s="89">
        <v>1.4999999999999999E-2</v>
      </c>
      <c r="AN6" s="2174" t="s">
        <v>3089</v>
      </c>
      <c r="AO6" s="55">
        <f ca="1">SUMIF(INDIRECT("'"&amp;AN6&amp;"'"&amp;"!A:A"),"总价",INDIRECT("'"&amp;AN6&amp;"'"&amp;"!B:B"))</f>
        <v>9083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0.77300000000000002</v>
      </c>
      <c r="H16" s="99">
        <f>ROUND(SUMPRODUCT(H6:H13,K6:K13)/SUMPRODUCT((H6:H13&gt;0)*(K6:K13)),3)</f>
        <v>0.05</v>
      </c>
      <c r="I16" s="100"/>
      <c r="J16" s="100"/>
      <c r="K16" s="101">
        <f>SUM(K6:K15)</f>
        <v>3905.76</v>
      </c>
      <c r="L16" s="102">
        <f>ROUND(M16*10000/SUM(K6:K14),0)</f>
        <v>3001</v>
      </c>
      <c r="M16" s="102">
        <f>SUM(M6:M14)</f>
        <v>1172</v>
      </c>
      <c r="N16" s="103">
        <f>ROUND(SUMPRODUCT(M6:M14,N6:N14)/M16,3)</f>
        <v>0.73</v>
      </c>
      <c r="O16" s="102">
        <f>SUM(O6:O14)</f>
        <v>0</v>
      </c>
      <c r="P16" s="102">
        <f>SUM(P6:P14)</f>
        <v>0</v>
      </c>
      <c r="Q16" s="104">
        <f>ROUND(SUMPRODUCT(Q6:Q13,K6:K13)/SUMPRODUCT((Q6:Q13&gt;0)*(K6:K13)),2)</f>
        <v>0.2</v>
      </c>
      <c r="R16" s="1255">
        <f ca="1">SUM(R6:R13)</f>
        <v>2386.36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3</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0" t="s">
        <v>2079</v>
      </c>
      <c r="B1" s="3041"/>
      <c r="C1" s="3041"/>
      <c r="D1" s="3041"/>
      <c r="E1" s="3041"/>
      <c r="F1" s="3041"/>
      <c r="G1" s="304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3905.76</v>
      </c>
      <c r="C1" s="2800"/>
      <c r="D1" s="2800"/>
      <c r="E1" s="2800"/>
      <c r="F1" s="2800"/>
      <c r="G1" s="2801"/>
    </row>
    <row r="2" spans="1:10" ht="16.5">
      <c r="A2" s="2803" t="s">
        <v>1348</v>
      </c>
      <c r="B2" s="2803">
        <f>SUM(C14:C23)</f>
        <v>2386.36</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11813</v>
      </c>
      <c r="C5" s="2803">
        <f ca="1">ROUND(B5*10000/$B$1,0)</f>
        <v>30245</v>
      </c>
      <c r="D5" s="2803">
        <f ca="1">ROUND(B5*10000/$B$2,0)</f>
        <v>49502</v>
      </c>
      <c r="E5" s="2800"/>
      <c r="F5" s="2801"/>
      <c r="G5" s="2801"/>
    </row>
    <row r="6" spans="1:10" ht="16.5">
      <c r="A6" s="2803" t="s">
        <v>1351</v>
      </c>
      <c r="B6" s="2803">
        <f ca="1">SUM(G14:G23)</f>
        <v>11813</v>
      </c>
      <c r="C6" s="2803">
        <f ca="1">ROUND(B6*10000/$B$1,0)</f>
        <v>30245</v>
      </c>
      <c r="D6" s="2803">
        <f ca="1">ROUND(B6*10000/$B$2,0)</f>
        <v>49502</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SUM(I14:I23)</f>
        <v>0</v>
      </c>
      <c r="C8" s="2803">
        <f>ROUND(B8*10000/$B$1,0)</f>
        <v>0</v>
      </c>
      <c r="D8" s="2803">
        <f>ROUND(B8*10000/$B$2,0)</f>
        <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3905.76</v>
      </c>
      <c r="C14" s="2808">
        <f>结果表!C118</f>
        <v>2386.36</v>
      </c>
      <c r="D14" s="2808">
        <f ca="1">结果表!H118</f>
        <v>11813</v>
      </c>
      <c r="E14" s="2806">
        <f ca="1">ROUND(D14*10000/B14,0)</f>
        <v>30245</v>
      </c>
      <c r="F14" s="2806">
        <f ca="1">ROUND(D14*10000/C14,0)</f>
        <v>49502</v>
      </c>
      <c r="G14" s="2808">
        <f ca="1">结果表!D122</f>
        <v>11813</v>
      </c>
      <c r="H14" s="2808" t="str">
        <f>结果表!D124</f>
        <v>——</v>
      </c>
      <c r="I14" s="2808" t="str">
        <f>结果表!D126</f>
        <v>——</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33" sqref="G33"/>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3064</v>
      </c>
      <c r="H1" s="2286" t="str">
        <f>IF(G1="现房","——","估价对象范围")</f>
        <v>——</v>
      </c>
      <c r="I1" s="2287"/>
    </row>
    <row r="2" spans="1:12" ht="21.75" customHeight="1" thickBot="1">
      <c r="A2" s="3075" t="str">
        <f>项目基本情况!S2</f>
        <v>北京市房地产</v>
      </c>
      <c r="B2" s="3076"/>
      <c r="C2" s="3076"/>
      <c r="D2" s="3076"/>
      <c r="E2" s="3076"/>
      <c r="F2" s="3076"/>
      <c r="G2" s="3076"/>
      <c r="H2" s="3076"/>
      <c r="I2" s="3077"/>
    </row>
    <row r="3" spans="1:12" ht="12.75">
      <c r="A3" s="3079" t="s">
        <v>2118</v>
      </c>
      <c r="B3" s="3080"/>
      <c r="C3" s="3080"/>
      <c r="D3" s="3080"/>
      <c r="E3" s="3080"/>
      <c r="F3" s="3080"/>
      <c r="G3" s="3080"/>
      <c r="H3" s="3080"/>
      <c r="I3" s="3080"/>
    </row>
    <row r="4" spans="1:12" ht="14.25">
      <c r="A4" s="2290" t="s">
        <v>2119</v>
      </c>
      <c r="B4" s="2291" t="s">
        <v>2120</v>
      </c>
      <c r="C4" s="2292" t="s">
        <v>3081</v>
      </c>
      <c r="D4" s="2292" t="s">
        <v>3092</v>
      </c>
      <c r="E4" s="3072" t="s">
        <v>2121</v>
      </c>
      <c r="F4" s="3073"/>
      <c r="G4" s="3073"/>
      <c r="H4" s="3073"/>
      <c r="I4" s="308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5" t="s">
        <v>2122</v>
      </c>
      <c r="B5" s="2993">
        <v>25</v>
      </c>
      <c r="C5" s="3058"/>
      <c r="D5" s="3078"/>
      <c r="E5" s="140" t="s">
        <v>2123</v>
      </c>
      <c r="F5" s="2294"/>
      <c r="G5" s="2294"/>
      <c r="H5" s="2294"/>
      <c r="I5" s="1696"/>
    </row>
    <row r="6" spans="1:12" ht="12.75">
      <c r="A6" s="3055"/>
      <c r="B6" s="2993"/>
      <c r="C6" s="3059"/>
      <c r="D6" s="3078"/>
      <c r="E6" s="140" t="s">
        <v>2124</v>
      </c>
      <c r="F6" s="2294"/>
      <c r="G6" s="2294"/>
      <c r="H6" s="2294"/>
      <c r="I6" s="1696"/>
    </row>
    <row r="7" spans="1:12" ht="12.75">
      <c r="A7" s="3055"/>
      <c r="B7" s="2993"/>
      <c r="C7" s="3060"/>
      <c r="D7" s="3078"/>
      <c r="E7" s="140" t="s">
        <v>2125</v>
      </c>
      <c r="F7" s="2294"/>
      <c r="G7" s="2294"/>
      <c r="H7" s="2294"/>
      <c r="I7" s="1696"/>
    </row>
    <row r="8" spans="1:12" ht="12.75">
      <c r="A8" s="3055" t="s">
        <v>2126</v>
      </c>
      <c r="B8" s="2993">
        <v>15</v>
      </c>
      <c r="C8" s="3058"/>
      <c r="D8" s="3078"/>
      <c r="E8" s="140" t="s">
        <v>2127</v>
      </c>
      <c r="F8" s="2294"/>
      <c r="G8" s="2294"/>
      <c r="H8" s="2294"/>
      <c r="I8" s="1696"/>
    </row>
    <row r="9" spans="1:12" ht="12.75">
      <c r="A9" s="3055"/>
      <c r="B9" s="2993"/>
      <c r="C9" s="3060"/>
      <c r="D9" s="3078"/>
      <c r="E9" s="140" t="s">
        <v>2128</v>
      </c>
      <c r="F9" s="2294"/>
      <c r="G9" s="2294"/>
      <c r="H9" s="2294"/>
      <c r="I9" s="1696"/>
    </row>
    <row r="10" spans="1:12" ht="12.75">
      <c r="A10" s="3055" t="s">
        <v>2129</v>
      </c>
      <c r="B10" s="2993">
        <v>15</v>
      </c>
      <c r="C10" s="3058"/>
      <c r="D10" s="3078"/>
      <c r="E10" s="140" t="s">
        <v>2130</v>
      </c>
      <c r="F10" s="2294"/>
      <c r="G10" s="2294"/>
      <c r="H10" s="2294"/>
      <c r="I10" s="1696"/>
    </row>
    <row r="11" spans="1:12" ht="12.75">
      <c r="A11" s="3055"/>
      <c r="B11" s="2993"/>
      <c r="C11" s="3060"/>
      <c r="D11" s="3078"/>
      <c r="E11" s="140" t="s">
        <v>2131</v>
      </c>
      <c r="F11" s="2294"/>
      <c r="G11" s="2294"/>
      <c r="H11" s="2294"/>
      <c r="I11" s="1696"/>
    </row>
    <row r="12" spans="1:12" ht="12.75">
      <c r="A12" s="3055" t="s">
        <v>2132</v>
      </c>
      <c r="B12" s="2993">
        <v>15</v>
      </c>
      <c r="C12" s="3058"/>
      <c r="D12" s="3078"/>
      <c r="E12" s="140" t="s">
        <v>2133</v>
      </c>
      <c r="F12" s="2294"/>
      <c r="G12" s="2294"/>
      <c r="H12" s="2294"/>
      <c r="I12" s="1696"/>
    </row>
    <row r="13" spans="1:12" ht="12.75">
      <c r="A13" s="3055"/>
      <c r="B13" s="2993"/>
      <c r="C13" s="3060"/>
      <c r="D13" s="3078"/>
      <c r="E13" s="140" t="s">
        <v>2134</v>
      </c>
      <c r="F13" s="2294"/>
      <c r="G13" s="2294"/>
      <c r="H13" s="2294"/>
      <c r="I13" s="1696"/>
    </row>
    <row r="14" spans="1:12" ht="12.75">
      <c r="A14" s="3055" t="s">
        <v>2135</v>
      </c>
      <c r="B14" s="2993">
        <v>30</v>
      </c>
      <c r="C14" s="3058">
        <v>5</v>
      </c>
      <c r="D14" s="3078">
        <v>5</v>
      </c>
      <c r="E14" s="140" t="s">
        <v>2136</v>
      </c>
      <c r="F14" s="2294"/>
      <c r="G14" s="2294"/>
      <c r="H14" s="2294"/>
      <c r="I14" s="1696"/>
    </row>
    <row r="15" spans="1:12" ht="12.75">
      <c r="A15" s="3055"/>
      <c r="B15" s="2993"/>
      <c r="C15" s="3059"/>
      <c r="D15" s="3078"/>
      <c r="E15" s="140" t="s">
        <v>2137</v>
      </c>
      <c r="F15" s="2294"/>
      <c r="G15" s="2294"/>
      <c r="H15" s="2294"/>
      <c r="I15" s="1696"/>
    </row>
    <row r="16" spans="1:12" ht="12.75">
      <c r="A16" s="3055"/>
      <c r="B16" s="2993"/>
      <c r="C16" s="3060"/>
      <c r="D16" s="3078"/>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3905.76</v>
      </c>
      <c r="M18" s="2293">
        <f>IF(C1="",'数据-汇总表'!E3,SUMIF(项目类型,C1,'数据-汇总表'!E17:E26))</f>
        <v>3905.76</v>
      </c>
    </row>
    <row r="19" spans="1:35" ht="15">
      <c r="A19" s="2299" t="s">
        <v>2144</v>
      </c>
      <c r="B19" s="2300" t="s">
        <v>2145</v>
      </c>
      <c r="C19" s="143">
        <f ca="1">SUMIF(INDIRECT("'"&amp;C4&amp;"'"&amp;"!A:A"),结果表!B19,INDIRECT("'"&amp;C4&amp;"'"&amp;"!B:B"))</f>
        <v>12256</v>
      </c>
      <c r="D19" s="144">
        <f ca="1">SUMIF(INDIRECT("'"&amp;D4&amp;"'"&amp;"!A:A"),结果表!B19,INDIRECT("'"&amp;D4&amp;"'"&amp;"!B:B"))</f>
        <v>11369</v>
      </c>
      <c r="E19" s="2299" t="s">
        <v>2146</v>
      </c>
      <c r="F19" s="2300" t="s">
        <v>2145</v>
      </c>
      <c r="G19" s="145">
        <f ca="1">ROUND(C19*$C$18+D19*$D$18,0)</f>
        <v>11813</v>
      </c>
      <c r="H19" s="2301" t="s">
        <v>2147</v>
      </c>
      <c r="I19" s="138"/>
      <c r="K19" s="2293" t="s">
        <v>2148</v>
      </c>
      <c r="L19" s="2293">
        <f>IF(C1="",'数据-汇总表'!D3,SUMIF(项目类型,C1,'数据-汇总表'!D17:D26)+SUMIF(项目类型,C1,'数据-汇总表'!H17:H27))</f>
        <v>2386.36</v>
      </c>
      <c r="M19" s="2293">
        <f>IF(C1="",'数据-汇总表'!D3,SUMIF(项目类型,C1,'数据-汇总表'!D17:D26))</f>
        <v>2386.36</v>
      </c>
    </row>
    <row r="20" spans="1:35" ht="15">
      <c r="A20" s="2302"/>
      <c r="B20" s="1247" t="s">
        <v>2149</v>
      </c>
      <c r="C20" s="146">
        <f ca="1">SUMIF(INDIRECT("'"&amp;C4&amp;"'"&amp;"!A:A"),结果表!B20,INDIRECT("'"&amp;C4&amp;"'"&amp;"!B:B"))</f>
        <v>31379</v>
      </c>
      <c r="D20" s="147">
        <f ca="1">SUMIF(INDIRECT("'"&amp;D4&amp;"'"&amp;"!A:A"),结果表!B20,INDIRECT("'"&amp;D4&amp;"'"&amp;"!B:B"))</f>
        <v>29108</v>
      </c>
      <c r="E20" s="2302"/>
      <c r="F20" s="1247" t="s">
        <v>2149</v>
      </c>
      <c r="G20" s="148">
        <f ca="1">ROUND(C20*$C$18+D20*$D$18,0)</f>
        <v>30244</v>
      </c>
      <c r="H20" s="980" t="s">
        <v>2150</v>
      </c>
      <c r="I20" s="138"/>
    </row>
    <row r="21" spans="1:35" ht="15" customHeight="1" thickBot="1">
      <c r="A21" s="1000"/>
      <c r="B21" s="2303" t="s">
        <v>2151</v>
      </c>
      <c r="C21" s="789">
        <f ca="1">ROUND(C19*10000/L19,0)</f>
        <v>51359</v>
      </c>
      <c r="D21" s="790">
        <f ca="1">ROUND(D19*10000/L19,0)</f>
        <v>47642</v>
      </c>
      <c r="E21" s="1000"/>
      <c r="F21" s="2303" t="s">
        <v>2151</v>
      </c>
      <c r="G21" s="149">
        <f ca="1">ROUND(G19*10000/L19,0)</f>
        <v>49502</v>
      </c>
      <c r="H21" s="2304" t="s">
        <v>2150</v>
      </c>
      <c r="I21" s="138"/>
    </row>
    <row r="22" spans="1:35" ht="15" thickBot="1">
      <c r="A22" s="2146" t="s">
        <v>2152</v>
      </c>
      <c r="B22" s="2305"/>
      <c r="C22" s="2306"/>
      <c r="D22" s="791">
        <f ca="1">IF(C19&lt;D19,D19/C19-1,C19/D19-1)</f>
        <v>7.8019174949423897E-2</v>
      </c>
      <c r="E22" s="138"/>
      <c r="F22" s="138"/>
      <c r="G22" s="138"/>
      <c r="H22" s="138"/>
      <c r="I22" s="138"/>
    </row>
    <row r="23" spans="1:35" ht="13.5" thickBot="1">
      <c r="A23" s="2283"/>
      <c r="B23" s="2283"/>
      <c r="C23" s="2283"/>
      <c r="D23" s="2283"/>
      <c r="E23" s="138"/>
      <c r="F23" s="138"/>
      <c r="G23" s="138"/>
      <c r="H23" s="138"/>
      <c r="I23" s="138"/>
    </row>
    <row r="24" spans="1:35" ht="14.25">
      <c r="A24" s="3049" t="s">
        <v>2153</v>
      </c>
      <c r="B24" s="2300" t="s">
        <v>2145</v>
      </c>
      <c r="C24" s="145">
        <f>IF(B30=0,0,D30)</f>
        <v>0</v>
      </c>
      <c r="D24" s="2307"/>
      <c r="E24" s="138"/>
      <c r="F24" s="138"/>
      <c r="G24" s="138"/>
      <c r="H24" s="138"/>
      <c r="I24" s="138"/>
    </row>
    <row r="25" spans="1:35" ht="14.25">
      <c r="A25" s="3050"/>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3032</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11813</v>
      </c>
      <c r="D32" s="2314" t="s">
        <v>2160</v>
      </c>
      <c r="E32" s="138"/>
      <c r="F32" s="138"/>
      <c r="G32" s="138"/>
      <c r="H32" s="138"/>
      <c r="I32" s="138"/>
    </row>
    <row r="33" spans="1:15" ht="15">
      <c r="A33" s="957" t="s">
        <v>2161</v>
      </c>
      <c r="B33" s="2315"/>
      <c r="C33" s="2316"/>
      <c r="D33" s="2317"/>
      <c r="E33" s="2318" t="s">
        <v>2162</v>
      </c>
      <c r="F33" s="2319" t="str">
        <f>IF(D32="楼面单价","取值（单价）","取值（总价）")</f>
        <v>取值（总价）</v>
      </c>
      <c r="G33" s="138"/>
      <c r="H33" s="138"/>
      <c r="I33" s="138"/>
    </row>
    <row r="34" spans="1:15" ht="15">
      <c r="A34" s="2320"/>
      <c r="B34" s="2321"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322" t="s">
        <v>2164</v>
      </c>
      <c r="F34" s="1613"/>
      <c r="G34" s="138"/>
      <c r="H34" s="138"/>
      <c r="I34" s="138"/>
    </row>
    <row r="35" spans="1:15" ht="15.75" thickBot="1">
      <c r="A35" s="2323"/>
      <c r="B35" s="2324"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25" t="s">
        <v>2166</v>
      </c>
      <c r="F35" s="163"/>
      <c r="G35" s="138"/>
      <c r="H35" s="138"/>
      <c r="I35" s="138"/>
    </row>
    <row r="36" spans="1:15" ht="15.75" thickBot="1">
      <c r="A36" s="3067" t="s">
        <v>2167</v>
      </c>
      <c r="B36" s="2326" t="s">
        <v>2168</v>
      </c>
      <c r="C36" s="154"/>
      <c r="D36" s="2327"/>
      <c r="E36" s="2328"/>
      <c r="F36" s="2329"/>
      <c r="G36" s="138"/>
      <c r="H36" s="138"/>
      <c r="I36" s="138"/>
    </row>
    <row r="37" spans="1:15" ht="15.75" thickBot="1">
      <c r="A37" s="3068"/>
      <c r="B37" s="2132" t="s">
        <v>2169</v>
      </c>
      <c r="C37" s="156"/>
      <c r="D37" s="1392"/>
      <c r="E37" s="1392"/>
      <c r="F37" s="2329"/>
      <c r="G37" s="138"/>
      <c r="H37" s="138"/>
      <c r="I37" s="138"/>
    </row>
    <row r="38" spans="1:15" ht="15.75" thickBot="1">
      <c r="A38" s="3069"/>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046" t="s">
        <v>2181</v>
      </c>
      <c r="B45" s="3047"/>
      <c r="C45" s="3048"/>
      <c r="D45" s="164">
        <f ca="1">ROUND(H101*F45,0)</f>
        <v>11813</v>
      </c>
      <c r="E45" s="165" t="s">
        <v>2182</v>
      </c>
      <c r="F45" s="166">
        <v>1</v>
      </c>
      <c r="G45" s="167" t="s">
        <v>2183</v>
      </c>
      <c r="H45" s="138"/>
      <c r="I45" s="138"/>
      <c r="J45" s="3106" t="s">
        <v>2184</v>
      </c>
      <c r="K45" s="3106"/>
      <c r="L45" s="3106"/>
      <c r="M45" s="3106"/>
      <c r="N45" s="3106"/>
      <c r="O45" s="3106"/>
    </row>
    <row r="46" spans="1:15" ht="14.25" customHeight="1">
      <c r="A46" s="3043" t="s">
        <v>2185</v>
      </c>
      <c r="B46" s="3044"/>
      <c r="C46" s="3044"/>
      <c r="D46" s="3044"/>
      <c r="E46" s="3044"/>
      <c r="F46" s="3044"/>
      <c r="G46" s="3045"/>
      <c r="H46" s="2345"/>
      <c r="I46" s="168"/>
      <c r="J46" s="1674">
        <v>1</v>
      </c>
      <c r="K46" s="3106" t="s">
        <v>2186</v>
      </c>
      <c r="L46" s="3106"/>
      <c r="M46" s="3126"/>
      <c r="N46" s="3126"/>
      <c r="O46" s="3126"/>
    </row>
    <row r="47" spans="1:15" ht="12" customHeight="1">
      <c r="A47" s="169" t="s">
        <v>2187</v>
      </c>
      <c r="B47" s="170"/>
      <c r="C47" s="171"/>
      <c r="D47" s="172" t="s">
        <v>2188</v>
      </c>
      <c r="E47" s="24" t="s">
        <v>2189</v>
      </c>
      <c r="F47" s="173" t="s">
        <v>2190</v>
      </c>
      <c r="G47" s="174" t="s">
        <v>2191</v>
      </c>
      <c r="H47" s="2345"/>
      <c r="I47" s="168"/>
      <c r="J47" s="1674">
        <v>2</v>
      </c>
      <c r="K47" s="3106" t="s">
        <v>2192</v>
      </c>
      <c r="L47" s="3106"/>
      <c r="M47" s="3127">
        <f>'数据-取费表'!B2</f>
        <v>44046</v>
      </c>
      <c r="N47" s="3127"/>
      <c r="O47" s="3127"/>
    </row>
    <row r="48" spans="1:15" ht="25.5">
      <c r="A48" s="3074" t="s">
        <v>2193</v>
      </c>
      <c r="B48" s="3057"/>
      <c r="C48" s="3057"/>
      <c r="D48" s="140">
        <f>IF(H48="情况1",0,IF(H48="情况2",D52,IF(H48="情况3",D53,IF(H48="情况4",D54))))</f>
        <v>0</v>
      </c>
      <c r="E48" s="1663" t="str">
        <f>IF(H48="情况4","(销售额-原购置价)×税（费）率","销售额×税（费）率")</f>
        <v>销售额×税（费）率</v>
      </c>
      <c r="F48" s="175" t="str">
        <f>IF(H48="情况1","免征",'数据-取费表'!B41)</f>
        <v>免征</v>
      </c>
      <c r="G48" s="2346" t="s">
        <v>2194</v>
      </c>
      <c r="H48" s="2347" t="s">
        <v>2195</v>
      </c>
      <c r="I48" s="2345"/>
      <c r="J48" s="1674">
        <v>3</v>
      </c>
      <c r="K48" s="3106" t="s">
        <v>2196</v>
      </c>
      <c r="L48" s="3106"/>
      <c r="M48" s="3128">
        <f ca="1">H101</f>
        <v>11813</v>
      </c>
      <c r="N48" s="3128"/>
      <c r="O48" s="3128"/>
    </row>
    <row r="49" spans="1:35" ht="25.5" customHeight="1">
      <c r="A49" s="176" t="s">
        <v>2197</v>
      </c>
      <c r="B49" s="3042" t="s">
        <v>2198</v>
      </c>
      <c r="C49" s="3042"/>
      <c r="D49" s="177">
        <v>0</v>
      </c>
      <c r="E49" s="23" t="s">
        <v>2199</v>
      </c>
      <c r="F49" s="28" t="s">
        <v>34</v>
      </c>
      <c r="G49" s="3112"/>
      <c r="H49" s="138"/>
      <c r="I49" s="2348"/>
      <c r="J49" s="1674">
        <v>4</v>
      </c>
      <c r="K49" s="3106" t="str">
        <f>IF(项目基本情况!E8="房地产抵押价值","房地产抵押价值","抵押担保权已注销时的房地产抵押价值")</f>
        <v>房地产抵押价值</v>
      </c>
      <c r="L49" s="3106"/>
      <c r="M49" s="3128">
        <f ca="1">IF(项目基本情况!E8="房地产抵押价值",H107,H109)</f>
        <v>11813</v>
      </c>
      <c r="N49" s="3128"/>
      <c r="O49" s="3128"/>
    </row>
    <row r="50" spans="1:35" ht="25.5" customHeight="1">
      <c r="A50" s="178"/>
      <c r="B50" s="3042" t="s">
        <v>2200</v>
      </c>
      <c r="C50" s="3042"/>
      <c r="D50" s="179"/>
      <c r="E50" s="31"/>
      <c r="F50" s="180"/>
      <c r="G50" s="3113"/>
      <c r="H50" s="138"/>
      <c r="I50" s="2348"/>
      <c r="J50" s="3106" t="s">
        <v>2201</v>
      </c>
      <c r="K50" s="3106"/>
      <c r="L50" s="3106"/>
      <c r="M50" s="3106"/>
      <c r="N50" s="3106"/>
      <c r="O50" s="3106"/>
    </row>
    <row r="51" spans="1:35" ht="12" customHeight="1">
      <c r="A51" s="181"/>
      <c r="B51" s="3042" t="s">
        <v>2202</v>
      </c>
      <c r="C51" s="3042"/>
      <c r="D51" s="182"/>
      <c r="E51" s="30"/>
      <c r="F51" s="180"/>
      <c r="G51" s="3114"/>
      <c r="H51" s="138"/>
      <c r="I51" s="2348"/>
      <c r="J51" s="2349" t="s">
        <v>2203</v>
      </c>
      <c r="K51" s="3106" t="s">
        <v>2204</v>
      </c>
      <c r="L51" s="3106"/>
      <c r="M51" s="2349" t="s">
        <v>2205</v>
      </c>
      <c r="N51" s="2349" t="s">
        <v>2206</v>
      </c>
      <c r="O51" s="2349" t="s">
        <v>2207</v>
      </c>
    </row>
    <row r="52" spans="1:35" ht="24" customHeight="1">
      <c r="A52" s="183" t="s">
        <v>2208</v>
      </c>
      <c r="B52" s="3042" t="s">
        <v>2209</v>
      </c>
      <c r="C52" s="3042"/>
      <c r="D52" s="182">
        <f ca="1">ROUND(D45*'数据-取费表'!B41/(1+'数据-取费表'!C42),0)</f>
        <v>630</v>
      </c>
      <c r="E52" s="11" t="s">
        <v>2210</v>
      </c>
      <c r="F52" s="184">
        <f>'数据-取费表'!B41</f>
        <v>5.6000000000000001E-2</v>
      </c>
      <c r="G52" s="2350"/>
      <c r="H52" s="138"/>
      <c r="I52" s="2348"/>
      <c r="J52" s="1674">
        <v>1</v>
      </c>
      <c r="K52" s="3107" t="s">
        <v>2211</v>
      </c>
      <c r="L52" s="3107"/>
      <c r="M52" s="1620">
        <f>D48</f>
        <v>0</v>
      </c>
      <c r="N52" s="1674" t="str">
        <f>E48</f>
        <v>销售额×税（费）率</v>
      </c>
      <c r="O52" s="1621" t="str">
        <f>F48</f>
        <v>免征</v>
      </c>
    </row>
    <row r="53" spans="1:35" ht="12" customHeight="1">
      <c r="A53" s="183" t="s">
        <v>2212</v>
      </c>
      <c r="B53" s="3065" t="s">
        <v>2213</v>
      </c>
      <c r="C53" s="3066"/>
      <c r="D53" s="182">
        <f ca="1">ROUND(D45*'数据-取费表'!B41/(1+'数据-取费表'!C42),0)</f>
        <v>630</v>
      </c>
      <c r="E53" s="11" t="s">
        <v>2210</v>
      </c>
      <c r="F53" s="184">
        <f>'数据-取费表'!B41</f>
        <v>5.6000000000000001E-2</v>
      </c>
      <c r="G53" s="2350"/>
      <c r="H53" s="138"/>
      <c r="I53" s="2348"/>
      <c r="J53" s="1674">
        <v>2</v>
      </c>
      <c r="K53" s="3107" t="s">
        <v>2214</v>
      </c>
      <c r="L53" s="3107"/>
      <c r="M53" s="1620">
        <f t="shared" ref="M53:O54" ca="1" si="0">D55</f>
        <v>6</v>
      </c>
      <c r="N53" s="1674" t="str">
        <f t="shared" si="0"/>
        <v>销售额×税（费）率</v>
      </c>
      <c r="O53" s="1621">
        <f t="shared" si="0"/>
        <v>5.0000000000000001E-4</v>
      </c>
    </row>
    <row r="54" spans="1:35" ht="12" customHeight="1">
      <c r="A54" s="183" t="s">
        <v>2215</v>
      </c>
      <c r="B54" s="3065" t="s">
        <v>2216</v>
      </c>
      <c r="C54" s="3066"/>
      <c r="D54" s="182">
        <f ca="1">C68</f>
        <v>630</v>
      </c>
      <c r="E54" s="30" t="s">
        <v>2217</v>
      </c>
      <c r="F54" s="184">
        <f>'数据-取费表'!B41</f>
        <v>5.6000000000000001E-2</v>
      </c>
      <c r="G54" s="2350"/>
      <c r="H54" s="2351"/>
      <c r="I54" s="2348"/>
      <c r="J54" s="1674">
        <v>3</v>
      </c>
      <c r="K54" s="3107" t="s">
        <v>2218</v>
      </c>
      <c r="L54" s="3107"/>
      <c r="M54" s="1620">
        <f t="shared" ca="1" si="0"/>
        <v>6685</v>
      </c>
      <c r="N54" s="1674" t="str">
        <f t="shared" si="0"/>
        <v>增值额×税（费）率</v>
      </c>
      <c r="O54" s="1622" t="str">
        <f t="shared" si="0"/>
        <v>——</v>
      </c>
    </row>
    <row r="55" spans="1:35" ht="24" customHeight="1">
      <c r="A55" s="3056" t="s">
        <v>2219</v>
      </c>
      <c r="B55" s="3057"/>
      <c r="C55" s="3057"/>
      <c r="D55" s="185">
        <f ca="1">IF(H55="个人住宅",0,ROUND(D45*I55,0))</f>
        <v>6</v>
      </c>
      <c r="E55" s="11" t="s">
        <v>2220</v>
      </c>
      <c r="F55" s="184">
        <f>IF(H55="正常",I55,"免征")</f>
        <v>5.0000000000000001E-4</v>
      </c>
      <c r="G55" s="2350"/>
      <c r="H55" s="2347" t="s">
        <v>2221</v>
      </c>
      <c r="I55" s="186">
        <f>'数据-取费表'!B49</f>
        <v>5.0000000000000001E-4</v>
      </c>
      <c r="J55" s="1674" t="str">
        <f>IF(H59="非个人房产","",4)</f>
        <v/>
      </c>
      <c r="K55" s="3107" t="str">
        <f>IF(H59="非个人房产","——","个人所得税")</f>
        <v>——</v>
      </c>
      <c r="L55" s="3107"/>
      <c r="M55" s="1623" t="str">
        <f>D59</f>
        <v>——</v>
      </c>
      <c r="N55" s="1672" t="str">
        <f>E59</f>
        <v>——</v>
      </c>
      <c r="O55" s="1624" t="str">
        <f>F59</f>
        <v>——</v>
      </c>
    </row>
    <row r="56" spans="1:35" ht="24.75">
      <c r="A56" s="3056" t="s">
        <v>2222</v>
      </c>
      <c r="B56" s="3057"/>
      <c r="C56" s="3057"/>
      <c r="D56" s="185">
        <f ca="1">IF(H56="个人住宅",D57,D58)</f>
        <v>6685</v>
      </c>
      <c r="E56" s="11" t="s">
        <v>2223</v>
      </c>
      <c r="F56" s="184" t="str">
        <f>IF(H56="正常",F58,"免征")</f>
        <v>——</v>
      </c>
      <c r="G56" s="2352" t="s">
        <v>2224</v>
      </c>
      <c r="H56" s="2353" t="s">
        <v>2221</v>
      </c>
      <c r="I56" s="2354"/>
      <c r="J56" s="1674" t="str">
        <f>IF(项目基本情况!K6="上海银行",IF(J55="",4,J55+1),"")</f>
        <v/>
      </c>
      <c r="K56" s="3130" t="str">
        <f>IF(项目基本情况!K6="上海银行","其他处置费用","")</f>
        <v/>
      </c>
      <c r="L56" s="3131"/>
      <c r="M56" s="1620" t="str">
        <f>IF(项目基本情况!K6="上海银行",M69,"")</f>
        <v/>
      </c>
      <c r="N56" s="3133" t="str">
        <f>IF(项目基本情况!K6="上海银行","包含处置中涉及的律师、诉讼、拍卖、评估等费用","")</f>
        <v/>
      </c>
      <c r="O56" s="3134"/>
    </row>
    <row r="57" spans="1:35" ht="12.75">
      <c r="A57" s="183" t="s">
        <v>2197</v>
      </c>
      <c r="B57" s="3072" t="s">
        <v>2225</v>
      </c>
      <c r="C57" s="3081"/>
      <c r="D57" s="187">
        <v>0</v>
      </c>
      <c r="E57" s="23" t="s">
        <v>2199</v>
      </c>
      <c r="F57" s="155"/>
      <c r="G57" s="2350"/>
      <c r="H57" s="2354"/>
      <c r="I57" s="2354"/>
      <c r="J57" s="3107">
        <f>IF(AND(J55="",J56=""),4,IF(项目基本情况!K6="上海银行",结果表!J56+1,结果表!J55+1))</f>
        <v>4</v>
      </c>
      <c r="K57" s="3107" t="s">
        <v>2226</v>
      </c>
      <c r="L57" s="2355" t="s">
        <v>2227</v>
      </c>
      <c r="M57" s="1625"/>
      <c r="N57" s="1626">
        <f ca="1">SUMIF(M52:M56,"&lt;9e307")</f>
        <v>6691</v>
      </c>
      <c r="O57" s="2356"/>
      <c r="P57" s="1619">
        <f ca="1">N57/M49</f>
        <v>0.56640988741217302</v>
      </c>
    </row>
    <row r="58" spans="1:35" ht="24.75">
      <c r="A58" s="183" t="s">
        <v>2208</v>
      </c>
      <c r="B58" s="3072" t="s">
        <v>2228</v>
      </c>
      <c r="C58" s="3073"/>
      <c r="D58" s="185">
        <f ca="1">IF(H58="转让取得",C81,C97)</f>
        <v>6685</v>
      </c>
      <c r="E58" s="11" t="s">
        <v>2223</v>
      </c>
      <c r="F58" s="24" t="s">
        <v>34</v>
      </c>
      <c r="G58" s="2350"/>
      <c r="H58" s="2353" t="s">
        <v>2229</v>
      </c>
      <c r="I58" s="2354"/>
      <c r="J58" s="3107"/>
      <c r="K58" s="3107"/>
      <c r="L58" s="2355" t="s">
        <v>2230</v>
      </c>
      <c r="M58" s="1627"/>
      <c r="N58" s="2357" t="str">
        <f ca="1">NUMBERSTRING(INT(N57*10000),2)&amp;"元整"</f>
        <v>陆仟陆佰玖拾壹万元整</v>
      </c>
      <c r="O58" s="2358"/>
    </row>
    <row r="59" spans="1:35" ht="24.75" thickBot="1">
      <c r="A59" s="3110" t="s">
        <v>2231</v>
      </c>
      <c r="B59" s="3111"/>
      <c r="C59" s="3111"/>
      <c r="D59" s="188" t="str">
        <f>IF(H59="非个人房产","——",IF(H59="个人住宅",0,ROUND(D45*I59,0)))</f>
        <v>——</v>
      </c>
      <c r="E59" s="189" t="str">
        <f>IF(H59="非个人房产","——","销售额×税（费）率")</f>
        <v>——</v>
      </c>
      <c r="F59" s="190" t="str">
        <f>IF(H59="非个人房产","——",IF(H59="个人住宅","免征",I59))</f>
        <v>——</v>
      </c>
      <c r="G59" s="2359" t="s">
        <v>2224</v>
      </c>
      <c r="H59" s="2353" t="s">
        <v>2232</v>
      </c>
      <c r="I59" s="191">
        <v>0.01</v>
      </c>
      <c r="J59" s="3108">
        <f>J57+1</f>
        <v>5</v>
      </c>
      <c r="K59" s="3107" t="s">
        <v>2233</v>
      </c>
      <c r="L59" s="1674" t="s">
        <v>2227</v>
      </c>
      <c r="M59" s="1628"/>
      <c r="N59" s="1629">
        <f ca="1">M49-N57</f>
        <v>5122</v>
      </c>
      <c r="O59" s="2360"/>
    </row>
    <row r="60" spans="1:35" ht="12" customHeight="1">
      <c r="A60" s="2361"/>
      <c r="B60" s="2283"/>
      <c r="C60" s="2283"/>
      <c r="D60" s="2283"/>
      <c r="E60" s="2031"/>
      <c r="F60" s="2354"/>
      <c r="G60" s="2354"/>
      <c r="H60" s="2362"/>
      <c r="I60" s="138"/>
      <c r="J60" s="3109"/>
      <c r="K60" s="3107"/>
      <c r="L60" s="2355" t="s">
        <v>2230</v>
      </c>
      <c r="M60" s="1627"/>
      <c r="N60" s="2357" t="str">
        <f ca="1">NUMBERSTRING(INT(N59*10000),2)&amp;"元整"</f>
        <v>伍仟壹佰贰拾贰万元整</v>
      </c>
      <c r="O60" s="2358"/>
    </row>
    <row r="61" spans="1:35" ht="13.5" thickBot="1">
      <c r="A61" s="3054" t="s">
        <v>2234</v>
      </c>
      <c r="B61" s="3054"/>
      <c r="C61" s="3054"/>
      <c r="D61" s="3054"/>
      <c r="E61" s="3054"/>
      <c r="F61" s="2354"/>
      <c r="G61" s="2354"/>
      <c r="H61" s="2362"/>
      <c r="I61" s="138"/>
      <c r="J61" s="1674">
        <f>J59+1</f>
        <v>6</v>
      </c>
      <c r="K61" s="3107" t="s">
        <v>2235</v>
      </c>
      <c r="L61" s="3107"/>
      <c r="M61" s="1630"/>
      <c r="N61" s="1631">
        <f ca="1">ROUND(N59*10000/'数据-汇总表'!E3,0)</f>
        <v>13114</v>
      </c>
      <c r="O61" s="2363"/>
    </row>
    <row r="62" spans="1:35" ht="12.75">
      <c r="A62" s="3070" t="s">
        <v>2236</v>
      </c>
      <c r="B62" s="3071"/>
      <c r="C62" s="1666"/>
      <c r="D62" s="1666" t="s">
        <v>2237</v>
      </c>
      <c r="E62" s="192" t="s">
        <v>2238</v>
      </c>
      <c r="F62" s="2354"/>
      <c r="G62" s="2354"/>
      <c r="H62" s="2362"/>
      <c r="I62" s="138"/>
    </row>
    <row r="63" spans="1:35" ht="12.75">
      <c r="A63" s="203" t="s">
        <v>775</v>
      </c>
      <c r="B63" s="193" t="s">
        <v>2239</v>
      </c>
      <c r="C63" s="194">
        <f ca="1">ROUND((C64+C65)/(1+'数据-取费表'!C42),0)</f>
        <v>11250</v>
      </c>
      <c r="D63" s="195"/>
      <c r="E63" s="196"/>
      <c r="F63" s="2354"/>
      <c r="G63" s="2354"/>
      <c r="H63" s="2362"/>
      <c r="I63" s="138"/>
      <c r="J63" s="3132" t="s">
        <v>2240</v>
      </c>
      <c r="K63" s="2364" t="s">
        <v>2241</v>
      </c>
      <c r="L63" s="1618">
        <f ca="1">IF(M49&gt;10000,M49*0.5%,IF(AND(M49&gt;1000,M49&lt;=10000),M49*1%,IF(AND(M49&gt;100,M49&lt;=1000),M49*3%,IF(AND(M49&gt;10,M49&lt;=100),M49*5%,M49*8%))))</f>
        <v>59.064999999999998</v>
      </c>
      <c r="M63" s="24">
        <f ca="1">ROUND(L63,1)</f>
        <v>59.1</v>
      </c>
      <c r="Z63" s="2288"/>
      <c r="AI63" s="2289"/>
    </row>
    <row r="64" spans="1:35" ht="14.25" customHeight="1">
      <c r="A64" s="197" t="s">
        <v>770</v>
      </c>
      <c r="B64" s="198" t="s">
        <v>2242</v>
      </c>
      <c r="C64" s="199">
        <f ca="1">D45</f>
        <v>11813</v>
      </c>
      <c r="D64" s="200" t="s">
        <v>32</v>
      </c>
      <c r="E64" s="201"/>
      <c r="F64" s="2354"/>
      <c r="G64" s="2354"/>
      <c r="H64" s="2362"/>
      <c r="I64" s="138"/>
      <c r="J64" s="3132"/>
      <c r="K64" s="2364" t="s">
        <v>2243</v>
      </c>
      <c r="L64" s="1618">
        <f ca="1">IF(M49&gt;2000,M49*0.5%,IF(AND(M49&gt;1000,M49&lt;=2000),M49*0.6%,IF(AND(M49&gt;500,M49&lt;=1000),M49*0.7%,IF(AND(M49&gt;200,M49&lt;=500),M49*0.8%,IF(AND(M49&gt;100,M49&lt;=200),M49*0.9%,IF(AND(M49&gt;50,M49&lt;=100),M49*1%,IF(AND(M49&gt;20,M49&lt;=50),M49*1.5%,IF(AND(M49&gt;10,M49&lt;=20),M49*2%,IF(AND(M49&gt;1,M49&lt;=10),M49*2.5%)))))))))</f>
        <v>59.064999999999998</v>
      </c>
      <c r="M64" s="24">
        <f t="shared" ref="M64:M65" ca="1" si="1">ROUND(L64,1)</f>
        <v>59.1</v>
      </c>
      <c r="N64" s="138" t="s">
        <v>2244</v>
      </c>
      <c r="Z64" s="2288"/>
      <c r="AI64" s="2289"/>
    </row>
    <row r="65" spans="1:35" ht="14.25" customHeight="1">
      <c r="A65" s="197" t="s">
        <v>771</v>
      </c>
      <c r="B65" s="198" t="s">
        <v>2245</v>
      </c>
      <c r="C65" s="202"/>
      <c r="D65" s="200"/>
      <c r="E65" s="201"/>
      <c r="F65" s="2354"/>
      <c r="G65" s="2354"/>
      <c r="H65" s="2362"/>
      <c r="I65" s="138"/>
      <c r="J65" s="3132"/>
      <c r="K65" s="2364" t="s">
        <v>2246</v>
      </c>
      <c r="L65" s="1618">
        <f ca="1">IF(M49&gt;1000,M49*0.1%,IF(AND(M49&gt;500,M49&lt;=1000),M49*0.5%,IF(AND(M49&gt;50,M49&lt;=500),M49*1%,IF(AND(M49&gt;1,M49&lt;=50),M49*1.5%))))</f>
        <v>11.813000000000001</v>
      </c>
      <c r="M65" s="24">
        <f t="shared" ca="1" si="1"/>
        <v>11.8</v>
      </c>
      <c r="N65" s="138" t="s">
        <v>2244</v>
      </c>
      <c r="Z65" s="2288"/>
      <c r="AI65" s="2289"/>
    </row>
    <row r="66" spans="1:35" ht="14.25" customHeight="1">
      <c r="A66" s="203" t="s">
        <v>772</v>
      </c>
      <c r="B66" s="204" t="s">
        <v>2247</v>
      </c>
      <c r="C66" s="205"/>
      <c r="D66" s="206" t="s">
        <v>32</v>
      </c>
      <c r="E66" s="1642" t="s">
        <v>1366</v>
      </c>
      <c r="F66" s="2354"/>
      <c r="G66" s="2354"/>
      <c r="H66" s="2362"/>
      <c r="I66" s="138"/>
      <c r="J66" s="3132"/>
      <c r="K66" s="2364" t="s">
        <v>2248</v>
      </c>
      <c r="L66" s="1618">
        <f ca="1">M49*0.5%</f>
        <v>59.064999999999998</v>
      </c>
      <c r="M66" s="24">
        <f ca="1">IF(L66&gt;0.5,0.5,ROUND(L66,0))</f>
        <v>0.5</v>
      </c>
      <c r="N66" s="138" t="s">
        <v>2249</v>
      </c>
      <c r="Z66" s="2288"/>
      <c r="AI66" s="2289"/>
    </row>
    <row r="67" spans="1:35" ht="14.25" customHeight="1">
      <c r="A67" s="203" t="s">
        <v>773</v>
      </c>
      <c r="B67" s="204" t="s">
        <v>2250</v>
      </c>
      <c r="C67" s="207">
        <f ca="1">C63-C66</f>
        <v>11250</v>
      </c>
      <c r="D67" s="200" t="s">
        <v>32</v>
      </c>
      <c r="E67" s="201"/>
      <c r="F67" s="2354"/>
      <c r="G67" s="2354"/>
      <c r="H67" s="2362"/>
      <c r="I67" s="138"/>
      <c r="J67" s="3132"/>
      <c r="K67" s="2364" t="s">
        <v>2251</v>
      </c>
      <c r="L67" s="1618">
        <f ca="1">IF(M49&gt;=10000,(8.25+(M49-10000)*0.01%),IF(AND(M49&gt;=8000,M49&lt;10000),(7.85+(M49-8000)*0.02%),IF(AND(M49&gt;=5000,M49&lt;8000),(6.65+(M49-5000)*0.04%),IF(AND(M49&gt;=2000,M49&lt;5000),(4.25+(PM49-2000)*0.08%),IF(AND(M49&gt;=1000,M49&lt;2000),(2.75+(M49-1000)*0.15%),IF(AND(M49&gt;=100,M49&lt;1000),(0.5+(M49-100)*0.25%),IF(AND(M49&gt;0,M49&lt;100),M49*0.5%)))))))</f>
        <v>8.4313000000000002</v>
      </c>
      <c r="M67" s="24">
        <f ca="1">ROUND(L67*0.9,1)</f>
        <v>7.6</v>
      </c>
      <c r="Z67" s="2288"/>
      <c r="AI67" s="2289"/>
    </row>
    <row r="68" spans="1:35" ht="14.25" customHeight="1" thickBot="1">
      <c r="A68" s="208" t="s">
        <v>774</v>
      </c>
      <c r="B68" s="209" t="s">
        <v>2252</v>
      </c>
      <c r="C68" s="210">
        <f ca="1">IF(C67&lt;=0,0,ROUND(C67*D68,0))</f>
        <v>630</v>
      </c>
      <c r="D68" s="211">
        <f>'数据-取费表'!B41</f>
        <v>5.6000000000000001E-2</v>
      </c>
      <c r="E68" s="212"/>
      <c r="F68" s="2354"/>
      <c r="G68" s="2354"/>
      <c r="H68" s="2362"/>
      <c r="I68" s="138"/>
      <c r="J68" s="3132"/>
      <c r="K68" s="2364" t="s">
        <v>2253</v>
      </c>
      <c r="L68" s="1618">
        <f ca="1">IF(M49&gt;10000,M49*0.5%,IF(AND(M49&gt;5000,M49&lt;=10000),M49*1%,IF(AND(M49&gt;1000,M49&lt;=5000),M49*2%,IF(AND(M49&gt;200,M49&lt;=1000),M49*3%,M49*5%))))</f>
        <v>59.064999999999998</v>
      </c>
      <c r="M68" s="24">
        <f ca="1">ROUND(L68,1)</f>
        <v>59.1</v>
      </c>
      <c r="Z68" s="2288"/>
      <c r="AI68" s="2289"/>
    </row>
    <row r="69" spans="1:35" s="2311" customFormat="1" ht="16.5" customHeight="1">
      <c r="A69" s="2365"/>
      <c r="B69" s="2366"/>
      <c r="C69" s="2367"/>
      <c r="D69" s="2368"/>
      <c r="E69" s="2369"/>
      <c r="F69" s="2031"/>
      <c r="G69" s="2031"/>
      <c r="H69" s="2030"/>
      <c r="I69" s="2283"/>
      <c r="J69" s="3132"/>
      <c r="K69" s="2364" t="s">
        <v>2254</v>
      </c>
      <c r="L69" s="2370"/>
      <c r="M69" s="24">
        <f ca="1">ROUND(SUM(M63:M68),0)</f>
        <v>197</v>
      </c>
      <c r="N69" s="1619">
        <f ca="1">M69/M49</f>
        <v>1.6676542791839499E-2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1" t="s">
        <v>2255</v>
      </c>
      <c r="B70" s="3092"/>
      <c r="C70" s="3092"/>
      <c r="D70" s="3092"/>
      <c r="E70" s="3092"/>
      <c r="F70" s="3092"/>
      <c r="G70" s="3092"/>
      <c r="H70" s="3092"/>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70" t="s">
        <v>2236</v>
      </c>
      <c r="B71" s="3071"/>
      <c r="C71" s="1666"/>
      <c r="D71" s="1666" t="s">
        <v>2237</v>
      </c>
      <c r="E71" s="213" t="s">
        <v>2238</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2256</v>
      </c>
      <c r="C72" s="207">
        <f ca="1">ROUND(D45/(1+'数据-取费表'!C42),0)</f>
        <v>11250</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2257</v>
      </c>
      <c r="C73" s="207">
        <f ca="1">C74+C78</f>
        <v>68</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2258</v>
      </c>
      <c r="C74" s="200">
        <f>ROUND(IF(G77="2016年5月1日后购买",C75/(1+'数据-取费表'!C42)+C76+C77,C75+C76+C77),0)</f>
        <v>0</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2259</v>
      </c>
      <c r="C75" s="218"/>
      <c r="D75" s="200" t="s">
        <v>32</v>
      </c>
      <c r="E75" s="219" t="s">
        <v>2260</v>
      </c>
      <c r="F75" s="2376" t="s">
        <v>2261</v>
      </c>
      <c r="G75" s="219" t="s">
        <v>2262</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2263</v>
      </c>
      <c r="C76" s="200">
        <f>IF(F75="购房发票",ROUND(C75*H75*D76,0),0)</f>
        <v>0</v>
      </c>
      <c r="D76" s="222">
        <v>0.05</v>
      </c>
      <c r="E76" s="3065" t="s">
        <v>2264</v>
      </c>
      <c r="F76" s="3042"/>
      <c r="G76" s="3042"/>
      <c r="H76" s="3090"/>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378" t="s">
        <v>2267</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2268</v>
      </c>
      <c r="C78" s="225">
        <f ca="1">ROUND(D45*D78/(1+'数据-取费表'!C42),0)</f>
        <v>68</v>
      </c>
      <c r="D78" s="226">
        <f>'数据-取费表'!B43</f>
        <v>6.000000000000001E-3</v>
      </c>
      <c r="E78" s="3051" t="s">
        <v>2269</v>
      </c>
      <c r="F78" s="3052"/>
      <c r="G78" s="3052"/>
      <c r="H78" s="3061"/>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2270</v>
      </c>
      <c r="C79" s="207">
        <f ca="1">C72-C73</f>
        <v>11182</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2271</v>
      </c>
      <c r="C80" s="227">
        <f ca="1">IF(C79&lt;=0,0,C79/C73)</f>
        <v>164.44117647058823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2272</v>
      </c>
      <c r="C81" s="228">
        <f ca="1">ROUND(IF(C79&lt;=0,0,IF(C80&gt;=200%,C79*60%-C73*35%,IF(C80&gt;=100%,C79*50%-C73*15%,IF(C80&gt;=50%,C79*40%-C73*5%,IF(C80&lt;50%,C79*30%,0))))),0)</f>
        <v>6685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1" t="s">
        <v>2273</v>
      </c>
      <c r="B83" s="3092"/>
      <c r="C83" s="3092"/>
      <c r="D83" s="3092"/>
      <c r="E83" s="3092"/>
      <c r="F83" s="3092"/>
      <c r="G83" s="3092"/>
      <c r="H83" s="3092"/>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70" t="s">
        <v>2236</v>
      </c>
      <c r="B84" s="3071"/>
      <c r="C84" s="1666"/>
      <c r="D84" s="1666" t="s">
        <v>2237</v>
      </c>
      <c r="E84" s="213" t="s">
        <v>2238</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2256</v>
      </c>
      <c r="C85" s="207">
        <f ca="1">ROUND(D45/(1+'数据-取费表'!C42),0)</f>
        <v>11250</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2257</v>
      </c>
      <c r="C86" s="207">
        <f ca="1">IF(H88="仅含出让金",C87+C90+C91+C92+C93+C94,C87+C91+C92+C93+C94)</f>
        <v>68</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2274</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2275</v>
      </c>
      <c r="C88" s="236"/>
      <c r="D88" s="226"/>
      <c r="E88" s="237" t="s">
        <v>2276</v>
      </c>
      <c r="F88" s="1662"/>
      <c r="G88" s="238" t="s">
        <v>2277</v>
      </c>
      <c r="H88" s="2382"/>
      <c r="I88" s="2377"/>
      <c r="J88" s="2809" t="s">
        <v>3054</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2265</v>
      </c>
      <c r="C89" s="225">
        <f>ROUND(C88*D89,0)</f>
        <v>0</v>
      </c>
      <c r="D89" s="226">
        <f>'数据-取费表'!B48+'数据-取费表'!B49</f>
        <v>3.0499999999999999E-2</v>
      </c>
      <c r="E89" s="237" t="s">
        <v>2278</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2279</v>
      </c>
      <c r="C90" s="236"/>
      <c r="D90" s="226"/>
      <c r="E90" s="237" t="str">
        <f>IF(H88="-","土地取得成本中已包含该笔费用"," ")</f>
        <v xml:space="preserve"> </v>
      </c>
      <c r="F90" s="1662"/>
      <c r="G90" s="3135" t="s">
        <v>3056</v>
      </c>
      <c r="H90" s="3136"/>
      <c r="I90" s="2377"/>
      <c r="J90" s="2809" t="s">
        <v>3055</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2280</v>
      </c>
      <c r="B91" s="198" t="s">
        <v>2281</v>
      </c>
      <c r="C91" s="225">
        <f>IF(H91="——",成本法!C33,I91)</f>
        <v>0</v>
      </c>
      <c r="D91" s="226"/>
      <c r="E91" s="3051" t="s">
        <v>2282</v>
      </c>
      <c r="F91" s="3052"/>
      <c r="G91" s="3052"/>
      <c r="H91" s="2383" t="s">
        <v>2283</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2284</v>
      </c>
      <c r="B92" s="198" t="s">
        <v>2285</v>
      </c>
      <c r="C92" s="225">
        <f>ROUND((C87+C90+C91)*D92,0)</f>
        <v>0</v>
      </c>
      <c r="D92" s="226">
        <v>0.1</v>
      </c>
      <c r="E92" s="3051" t="s">
        <v>2286</v>
      </c>
      <c r="F92" s="3052"/>
      <c r="G92" s="3052"/>
      <c r="H92" s="3061"/>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2287</v>
      </c>
      <c r="B93" s="198" t="s">
        <v>2268</v>
      </c>
      <c r="C93" s="225">
        <f ca="1">ROUND(D45*D93/(1+'数据-取费表'!C42),0)</f>
        <v>68</v>
      </c>
      <c r="D93" s="226">
        <f>'数据-取费表'!B43</f>
        <v>6.000000000000001E-3</v>
      </c>
      <c r="E93" s="3051" t="s">
        <v>2269</v>
      </c>
      <c r="F93" s="3052"/>
      <c r="G93" s="3052"/>
      <c r="H93" s="3061"/>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2288</v>
      </c>
      <c r="B94" s="198" t="s">
        <v>2289</v>
      </c>
      <c r="C94" s="236">
        <f>ROUND((C87+C90+C91)*D94,0)</f>
        <v>0</v>
      </c>
      <c r="D94" s="226">
        <v>0.2</v>
      </c>
      <c r="E94" s="3062" t="s">
        <v>2290</v>
      </c>
      <c r="F94" s="3063"/>
      <c r="G94" s="3063"/>
      <c r="H94" s="3064"/>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2270</v>
      </c>
      <c r="C95" s="207">
        <f ca="1">ROUND(C85-C86,0)</f>
        <v>11182</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2271</v>
      </c>
      <c r="C96" s="227">
        <f ca="1">IF(C95&lt;=0,0,C95/C86)</f>
        <v>164.44117647058823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2272</v>
      </c>
      <c r="C97" s="228">
        <f ca="1">ROUND(IF(C95&lt;=0,0,IF(C96&gt;=200%,C95*60%-C86*35%,IF(C96&gt;=100%,C95*50%-C86*15%,IF(C96&gt;=50%,C95*40%-C86*5%,IF(C96&lt;50%,C95*30%,0))))),0)</f>
        <v>6685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2291</v>
      </c>
      <c r="B99" s="2283"/>
      <c r="C99" s="2283"/>
      <c r="D99" s="2283"/>
      <c r="E99" s="2031"/>
      <c r="F99" s="2031"/>
      <c r="G99" s="2031"/>
      <c r="H99" s="2030"/>
      <c r="I99" s="138"/>
    </row>
    <row r="100" spans="1:35" ht="18.75" customHeight="1">
      <c r="A100" s="3036" t="s">
        <v>2292</v>
      </c>
      <c r="B100" s="3037"/>
      <c r="C100" s="3037"/>
      <c r="D100" s="3053"/>
      <c r="E100" s="3037" t="s">
        <v>2293</v>
      </c>
      <c r="F100" s="3037"/>
      <c r="G100" s="3037"/>
      <c r="H100" s="3053"/>
      <c r="I100" s="138"/>
    </row>
    <row r="101" spans="1:35" ht="18.75" customHeight="1">
      <c r="A101" s="3115" t="s">
        <v>2294</v>
      </c>
      <c r="B101" s="3116"/>
      <c r="C101" s="736" t="str">
        <f>C4</f>
        <v>成本法</v>
      </c>
      <c r="D101" s="737" t="str">
        <f>D4</f>
        <v>典型户型修正</v>
      </c>
      <c r="E101" s="3129" t="s">
        <v>2295</v>
      </c>
      <c r="F101" s="3083"/>
      <c r="G101" s="2385" t="s">
        <v>2296</v>
      </c>
      <c r="H101" s="1045">
        <f ca="1">H118</f>
        <v>11813</v>
      </c>
      <c r="I101" s="138"/>
    </row>
    <row r="102" spans="1:35" ht="18.75" customHeight="1">
      <c r="A102" s="3085" t="s">
        <v>2297</v>
      </c>
      <c r="B102" s="2385" t="s">
        <v>2296</v>
      </c>
      <c r="C102" s="736">
        <f ca="1">C19</f>
        <v>12256</v>
      </c>
      <c r="D102" s="737">
        <f ca="1">D19</f>
        <v>11369</v>
      </c>
      <c r="E102" s="3129"/>
      <c r="F102" s="3083"/>
      <c r="G102" s="2385" t="s">
        <v>2298</v>
      </c>
      <c r="H102" s="371">
        <f ca="1">I118</f>
        <v>30245</v>
      </c>
      <c r="I102" s="138"/>
    </row>
    <row r="103" spans="1:35" ht="42.75" customHeight="1">
      <c r="A103" s="3085"/>
      <c r="B103" s="2385" t="s">
        <v>2298</v>
      </c>
      <c r="C103" s="738">
        <f ca="1">C20</f>
        <v>31379</v>
      </c>
      <c r="D103" s="739">
        <f ca="1">D20</f>
        <v>29108</v>
      </c>
      <c r="E103" s="3124" t="s">
        <v>2299</v>
      </c>
      <c r="F103" s="3125"/>
      <c r="G103" s="2386" t="s">
        <v>2300</v>
      </c>
      <c r="H103" s="1045">
        <f>IF(D36="正常操作",H104+H105+H106,H105+H106)</f>
        <v>0</v>
      </c>
      <c r="I103" s="138"/>
    </row>
    <row r="104" spans="1:35" ht="18.75" customHeight="1">
      <c r="A104" s="3085" t="s">
        <v>2301</v>
      </c>
      <c r="B104" s="2387" t="s">
        <v>2296</v>
      </c>
      <c r="C104" s="740">
        <f ca="1">H118</f>
        <v>11813</v>
      </c>
      <c r="D104" s="741"/>
      <c r="E104" s="2132" t="s">
        <v>2302</v>
      </c>
      <c r="F104" s="2123"/>
      <c r="G104" s="2386" t="s">
        <v>2300</v>
      </c>
      <c r="H104" s="1046">
        <f>IF(D36="同一抵押权人同一抵押物续贷",C36&amp;"（未扣减，详见特别提示）",C36)</f>
        <v>0</v>
      </c>
      <c r="I104" s="138"/>
    </row>
    <row r="105" spans="1:35" ht="18.75" customHeight="1" thickBot="1">
      <c r="A105" s="3086"/>
      <c r="B105" s="2388" t="s">
        <v>2298</v>
      </c>
      <c r="C105" s="742">
        <f ca="1">I118</f>
        <v>30245</v>
      </c>
      <c r="D105" s="743"/>
      <c r="E105" s="2132" t="s">
        <v>2303</v>
      </c>
      <c r="F105" s="2123"/>
      <c r="G105" s="2386" t="s">
        <v>2300</v>
      </c>
      <c r="H105" s="1046">
        <f>C37</f>
        <v>0</v>
      </c>
      <c r="I105" s="138"/>
    </row>
    <row r="106" spans="1:35" ht="18.75" customHeight="1">
      <c r="A106" s="2283" t="s">
        <v>2304</v>
      </c>
      <c r="B106" s="2283"/>
      <c r="C106" s="2283"/>
      <c r="D106" s="2283"/>
      <c r="E106" s="2389" t="s">
        <v>2305</v>
      </c>
      <c r="F106" s="2123"/>
      <c r="G106" s="2386" t="s">
        <v>2300</v>
      </c>
      <c r="H106" s="1046">
        <f>C38</f>
        <v>0</v>
      </c>
      <c r="I106" s="138"/>
    </row>
    <row r="107" spans="1:35" ht="18.75" customHeight="1">
      <c r="A107" s="138"/>
      <c r="B107" s="138"/>
      <c r="C107" s="138"/>
      <c r="D107" s="138"/>
      <c r="E107" s="3082" t="str">
        <f>IF(项目基本情况!E8="已注销","——","3.房地产抵押价值")</f>
        <v>3.房地产抵押价值</v>
      </c>
      <c r="F107" s="3083"/>
      <c r="G107" s="2385" t="s">
        <v>2296</v>
      </c>
      <c r="H107" s="1045">
        <f ca="1">IF(E107="——","——",H101-H103)</f>
        <v>11813</v>
      </c>
      <c r="I107" s="138"/>
    </row>
    <row r="108" spans="1:35" ht="18.75" customHeight="1">
      <c r="A108" s="138"/>
      <c r="B108" s="138"/>
      <c r="C108" s="138"/>
      <c r="D108" s="138"/>
      <c r="E108" s="3082"/>
      <c r="F108" s="3083"/>
      <c r="G108" s="2385" t="s">
        <v>2298</v>
      </c>
      <c r="H108" s="371">
        <f ca="1">ROUND(H107*10000/'数据-汇总表'!E3,0)</f>
        <v>30245</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83"/>
      <c r="G109" s="2385" t="s">
        <v>2296</v>
      </c>
      <c r="H109" s="348" t="str">
        <f>IF(E109="——","——",H101-H105-H106)</f>
        <v>——</v>
      </c>
      <c r="I109" s="138"/>
    </row>
    <row r="110" spans="1:35" ht="18.75" customHeight="1">
      <c r="A110" s="138"/>
      <c r="B110" s="138"/>
      <c r="C110" s="138"/>
      <c r="D110" s="138"/>
      <c r="E110" s="3082"/>
      <c r="F110" s="3083"/>
      <c r="G110" s="2385" t="s">
        <v>2298</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385" t="s">
        <v>2296</v>
      </c>
      <c r="H111" s="1045" t="str">
        <f>IF(E111="——","——",N59)</f>
        <v>——</v>
      </c>
      <c r="I111" s="138"/>
    </row>
    <row r="112" spans="1:35" ht="18.75" customHeight="1" thickBot="1">
      <c r="A112" s="138"/>
      <c r="B112" s="138"/>
      <c r="C112" s="138"/>
      <c r="D112" s="138"/>
      <c r="E112" s="3119"/>
      <c r="F112" s="3120"/>
      <c r="G112" s="2390" t="s">
        <v>2298</v>
      </c>
      <c r="H112" s="790" t="str">
        <f>IF(E111="——","——",N61)</f>
        <v>——</v>
      </c>
      <c r="I112" s="138"/>
    </row>
    <row r="113" spans="1:11" ht="18.75" customHeight="1">
      <c r="A113" s="138"/>
      <c r="B113" s="138"/>
      <c r="C113" s="138"/>
      <c r="D113" s="138"/>
      <c r="E113" s="3087" t="s">
        <v>2304</v>
      </c>
      <c r="F113" s="3087"/>
      <c r="G113" s="3087"/>
      <c r="H113" s="3087"/>
      <c r="I113" s="138"/>
    </row>
    <row r="114" spans="1:11" ht="3.75" customHeight="1">
      <c r="A114" s="2283"/>
      <c r="B114" s="2283"/>
      <c r="C114" s="2283"/>
      <c r="D114" s="2283"/>
      <c r="E114" s="2361"/>
      <c r="F114" s="2361"/>
      <c r="G114" s="2361"/>
      <c r="H114" s="2361"/>
      <c r="I114" s="2283"/>
    </row>
    <row r="115" spans="1:11" ht="18.75" customHeight="1">
      <c r="A115" s="3100" t="s">
        <v>2306</v>
      </c>
      <c r="B115" s="3101"/>
      <c r="C115" s="3101"/>
      <c r="D115" s="3101"/>
      <c r="E115" s="3101"/>
      <c r="F115" s="3101"/>
      <c r="G115" s="3101"/>
      <c r="H115" s="3101"/>
      <c r="I115" s="3102"/>
    </row>
    <row r="116" spans="1:11" ht="27" customHeight="1">
      <c r="A116" s="2993" t="s">
        <v>2307</v>
      </c>
      <c r="B116" s="3088" t="s">
        <v>2308</v>
      </c>
      <c r="C116" s="3088" t="s">
        <v>2309</v>
      </c>
      <c r="D116" s="3104" t="s">
        <v>2310</v>
      </c>
      <c r="E116" s="3105"/>
      <c r="F116" s="3096" t="s">
        <v>2311</v>
      </c>
      <c r="G116" s="3096"/>
      <c r="H116" s="2993" t="s">
        <v>2312</v>
      </c>
      <c r="I116" s="2993"/>
    </row>
    <row r="117" spans="1:11" ht="18.75" customHeight="1">
      <c r="A117" s="2993"/>
      <c r="B117" s="3089"/>
      <c r="C117" s="3089"/>
      <c r="D117" s="1660" t="s">
        <v>2313</v>
      </c>
      <c r="E117" s="1660" t="s">
        <v>2314</v>
      </c>
      <c r="F117" s="1660" t="s">
        <v>2313</v>
      </c>
      <c r="G117" s="1660" t="s">
        <v>2315</v>
      </c>
      <c r="H117" s="1660" t="s">
        <v>2313</v>
      </c>
      <c r="I117" s="1660" t="s">
        <v>2315</v>
      </c>
    </row>
    <row r="118" spans="1:11" ht="24.75" customHeight="1">
      <c r="A118" s="2391" t="str">
        <f>项目基本情况!S2</f>
        <v>北京市房地产</v>
      </c>
      <c r="B118" s="1660">
        <f>M18</f>
        <v>3905.76</v>
      </c>
      <c r="C118" s="1660">
        <f>M19</f>
        <v>2386.36</v>
      </c>
      <c r="D118" s="1660" t="e">
        <f ca="1">ROUND(IF(D32="总价",C34,E118*B118/10000),0)</f>
        <v>#REF!</v>
      </c>
      <c r="E118" s="1660" t="e">
        <f ca="1">ROUND(IF(C33="自定义",IF(D32="楼面单价",C34,D118*10000/B118),I118-G118),0)</f>
        <v>#REF!</v>
      </c>
      <c r="F118" s="1660" t="e">
        <f ca="1">ROUND(IF(D32="总价",C35,G118*B118/10000),0)</f>
        <v>#REF!</v>
      </c>
      <c r="G118" s="1660" t="e">
        <f ca="1">ROUND(IF(D32="楼面单价",C35,F118*10000/B118),0)</f>
        <v>#REF!</v>
      </c>
      <c r="H118" s="1660">
        <f ca="1">ROUND(IF(D32="总价",C32,I118*B118/10000),0)</f>
        <v>11813</v>
      </c>
      <c r="I118" s="1660">
        <f ca="1">ROUND(IF(D32="楼面单价",C32,H118*10000/B118),0)</f>
        <v>30245</v>
      </c>
    </row>
    <row r="119" spans="1:11" ht="18.75" customHeight="1">
      <c r="A119" s="2993" t="s">
        <v>2316</v>
      </c>
      <c r="B119" s="2993"/>
      <c r="C119" s="2993"/>
      <c r="D119" s="3093" t="e">
        <f ca="1">NUMBERSTRING(INT(D118*10000),2)&amp;"元整"</f>
        <v>#REF!</v>
      </c>
      <c r="E119" s="3095"/>
      <c r="F119" s="3093" t="e">
        <f ca="1">NUMBERSTRING(INT(F118*10000),2)&amp;"元整"</f>
        <v>#REF!</v>
      </c>
      <c r="G119" s="3095"/>
      <c r="H119" s="3093" t="str">
        <f ca="1">NUMBERSTRING(INT(H118*10000),2)&amp;"元整"</f>
        <v>壹亿壹仟捌佰壹拾叁万元整</v>
      </c>
      <c r="I119" s="3095"/>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288" t="str">
        <f>IF(D120=0,"故，本次评估不存在"&amp;A120,"故，本次评估"&amp;A120&amp;"为人民币"&amp;D120&amp;"万元整。")</f>
        <v>故，本次评估不存在估价师知悉的法定优先受偿款</v>
      </c>
    </row>
    <row r="121" spans="1:11" ht="18.75" customHeight="1">
      <c r="A121" s="3097" t="s">
        <v>2316</v>
      </c>
      <c r="B121" s="3098"/>
      <c r="C121" s="3099"/>
      <c r="D121" s="3093" t="str">
        <f>IF(D120=0,"零元整",NUMBERSTRING(INT(D120*10000),2)&amp;"元整")</f>
        <v>零元整</v>
      </c>
      <c r="E121" s="3094"/>
      <c r="F121" s="3094"/>
      <c r="G121" s="3094"/>
      <c r="H121" s="3094"/>
      <c r="I121" s="3095"/>
    </row>
    <row r="122" spans="1:11" ht="18.75" customHeight="1">
      <c r="A122" s="3084" t="str">
        <f>IF(项目基本情况!B9="房地产市场价值","",MID(E107,3,LEN(E107)-2))</f>
        <v>房地产抵押价值</v>
      </c>
      <c r="B122" s="3084"/>
      <c r="C122" s="3084"/>
      <c r="D122" s="3121">
        <f ca="1">H107</f>
        <v>11813</v>
      </c>
      <c r="E122" s="3122"/>
      <c r="F122" s="3122"/>
      <c r="G122" s="3122"/>
      <c r="H122" s="3122"/>
      <c r="I122" s="3123"/>
    </row>
    <row r="123" spans="1:11" ht="18.75" customHeight="1">
      <c r="A123" s="2993" t="s">
        <v>2316</v>
      </c>
      <c r="B123" s="2993"/>
      <c r="C123" s="2993"/>
      <c r="D123" s="3093" t="str">
        <f ca="1">NUMBERSTRING(INT(D122*10000),2)&amp;"元整"</f>
        <v>壹亿壹仟捌佰壹拾叁万元整</v>
      </c>
      <c r="E123" s="3094"/>
      <c r="F123" s="3094"/>
      <c r="G123" s="3094"/>
      <c r="H123" s="3094"/>
      <c r="I123" s="3095"/>
    </row>
    <row r="124" spans="1:11" ht="18.75" customHeight="1">
      <c r="A124" s="3084" t="str">
        <f>IF(项目基本情况!B9="房地产市场价值","",MID(E109,3,LEN(E109)-2))</f>
        <v/>
      </c>
      <c r="B124" s="3084"/>
      <c r="C124" s="3084"/>
      <c r="D124" s="3121" t="str">
        <f>H109</f>
        <v>——</v>
      </c>
      <c r="E124" s="3122"/>
      <c r="F124" s="3122"/>
      <c r="G124" s="3122"/>
      <c r="H124" s="3122"/>
      <c r="I124" s="3123"/>
    </row>
    <row r="125" spans="1:11" ht="18.75" customHeight="1">
      <c r="A125" s="2993" t="s">
        <v>2316</v>
      </c>
      <c r="B125" s="2993"/>
      <c r="C125" s="2993"/>
      <c r="D125" s="3093" t="e">
        <f>NUMBERSTRING(INT(D124*10000),2)&amp;"元整"</f>
        <v>#VALUE!</v>
      </c>
      <c r="E125" s="3094"/>
      <c r="F125" s="3094"/>
      <c r="G125" s="3094"/>
      <c r="H125" s="3094"/>
      <c r="I125" s="3095"/>
    </row>
    <row r="126" spans="1:11" ht="18.75" customHeight="1">
      <c r="A126" s="3084" t="str">
        <f>IF(项目基本情况!B9="房地产市场价值","",MID(E111,3,LEN(E111)-2))</f>
        <v/>
      </c>
      <c r="B126" s="3084"/>
      <c r="C126" s="3084"/>
      <c r="D126" s="3121" t="str">
        <f>H111</f>
        <v>——</v>
      </c>
      <c r="E126" s="3122"/>
      <c r="F126" s="3122"/>
      <c r="G126" s="3122"/>
      <c r="H126" s="3122"/>
      <c r="I126" s="3123"/>
    </row>
    <row r="127" spans="1:11" ht="18.75" customHeight="1">
      <c r="A127" s="2993" t="s">
        <v>2316</v>
      </c>
      <c r="B127" s="2993"/>
      <c r="C127" s="2993"/>
      <c r="D127" s="3093" t="e">
        <f>NUMBERSTRING(INT(D126*10000),2)&amp;"元整"</f>
        <v>#VALUE!</v>
      </c>
      <c r="E127" s="3094"/>
      <c r="F127" s="3094"/>
      <c r="G127" s="3094"/>
      <c r="H127" s="3094"/>
      <c r="I127" s="3095"/>
    </row>
    <row r="128" spans="1:11" ht="21.75" customHeight="1">
      <c r="A128" s="3103" t="s">
        <v>2317</v>
      </c>
      <c r="B128" s="3103"/>
      <c r="C128" s="3103"/>
      <c r="D128" s="3103"/>
      <c r="E128" s="3103"/>
      <c r="F128" s="3103"/>
      <c r="G128" s="3103"/>
      <c r="H128" s="3103"/>
      <c r="I128" s="3103"/>
    </row>
    <row r="129" spans="1:35" ht="21.75" customHeight="1">
      <c r="A129" s="2392" t="s">
        <v>2318</v>
      </c>
      <c r="B129" s="2393"/>
      <c r="C129" s="2394" t="s">
        <v>2319</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2320</v>
      </c>
      <c r="G135" s="2409"/>
      <c r="H135" s="2409"/>
      <c r="I135" s="2410" t="s">
        <v>2321</v>
      </c>
    </row>
    <row r="136" spans="1:35" ht="21.75" customHeight="1">
      <c r="A136" s="795"/>
      <c r="B136" s="2411"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2323</v>
      </c>
    </row>
    <row r="139" spans="1:35" ht="21.75" customHeight="1">
      <c r="A139" s="795"/>
      <c r="B139" s="2411" t="s">
        <v>2324</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2323</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801"/>
      <c r="C1" s="242"/>
      <c r="D1" s="242"/>
      <c r="E1" s="242"/>
      <c r="F1" s="242"/>
      <c r="G1" s="1379">
        <f>MATCH(B1,'数据-取费表'!A6:A16,0)+5</f>
        <v>7</v>
      </c>
    </row>
    <row r="2" spans="1:9" s="244" customFormat="1" ht="18" customHeight="1">
      <c r="A2" s="245" t="s">
        <v>2326</v>
      </c>
      <c r="B2" s="246">
        <f ca="1">IF(D2="——",C52,C52-E2)</f>
        <v>12256</v>
      </c>
      <c r="C2" s="243" t="s">
        <v>2327</v>
      </c>
      <c r="D2" s="2414" t="s">
        <v>70</v>
      </c>
      <c r="E2" s="1440" t="e">
        <f ca="1">SUMIF(INDIRECT("'"&amp;G2&amp;"'"&amp;"!A:A"),"承租人权益价值",INDIRECT("'"&amp;G2&amp;"'"&amp;"!c:c"))</f>
        <v>#REF!</v>
      </c>
      <c r="F2" s="2415" t="s">
        <v>2327</v>
      </c>
      <c r="G2" s="2416"/>
    </row>
    <row r="3" spans="1:9" s="244" customFormat="1" ht="18" customHeight="1" thickBot="1">
      <c r="A3" s="247" t="s">
        <v>2328</v>
      </c>
      <c r="B3" s="248">
        <f ca="1">ROUND(B2*10000/(IF(B1="",'数据-汇总表'!E3,INDIRECT("'数据-取费表'!k"&amp;$G$1))),0)</f>
        <v>31379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7628</v>
      </c>
      <c r="D5" s="255" t="s">
        <v>2333</v>
      </c>
      <c r="E5" s="256" t="s">
        <v>2334</v>
      </c>
      <c r="F5" s="256" t="s">
        <v>2335</v>
      </c>
      <c r="G5" s="257"/>
    </row>
    <row r="6" spans="1:9" s="258" customFormat="1" ht="13.5" customHeight="1">
      <c r="A6" s="949" t="s">
        <v>2336</v>
      </c>
      <c r="B6" s="259" t="s">
        <v>2337</v>
      </c>
      <c r="C6" s="260">
        <f ca="1">基准地价修正!V2+基准地价修正!V3+基准地价修正!V4+基准地价修正!E33</f>
        <v>7327</v>
      </c>
      <c r="D6" s="261"/>
      <c r="E6" s="262"/>
      <c r="F6" s="262"/>
      <c r="G6" s="263"/>
    </row>
    <row r="7" spans="1:9" s="258" customFormat="1" ht="13.5" customHeight="1">
      <c r="A7" s="949" t="s">
        <v>2338</v>
      </c>
      <c r="B7" s="259" t="s">
        <v>2339</v>
      </c>
      <c r="C7" s="264">
        <f ca="1">ROUND(C6*F7,0)</f>
        <v>223</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78</v>
      </c>
      <c r="D8" s="266"/>
      <c r="E8" s="264"/>
      <c r="F8" s="265"/>
      <c r="G8" s="2417" t="s">
        <v>3079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418"/>
      <c r="H9" s="1390"/>
      <c r="I9" s="2419" t="s">
        <v>2343</v>
      </c>
    </row>
    <row r="10" spans="1:9" s="258" customFormat="1" ht="13.5" customHeight="1">
      <c r="A10" s="950" t="s">
        <v>801</v>
      </c>
      <c r="B10" s="268" t="s">
        <v>2344</v>
      </c>
      <c r="C10" s="269">
        <f ca="1">ROUND(D10*E10/10000,0)</f>
        <v>78</v>
      </c>
      <c r="D10" s="1032">
        <f ca="1">IF(B1="",'数据-汇总表'!E6,IF(INDIRECT("'数据-取费表'!c"&amp;$G$1)="住宅",INDIRECT("'数据-取费表'!s"&amp;$G$1),INDIRECT("'数据-取费表'!k"&amp;$G$1)+INDIRECT("'数据-取费表'!s"&amp;$G$1)))</f>
        <v>3905.76</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3905.76</v>
      </c>
      <c r="E19" s="255">
        <f>'数据-取费表'!B31</f>
        <v>200</v>
      </c>
      <c r="F19" s="275"/>
      <c r="G19" s="2417" t="s">
        <v>3080</v>
      </c>
    </row>
    <row r="20" spans="1:7" s="258" customFormat="1" ht="13.5" customHeight="1">
      <c r="A20" s="299" t="s">
        <v>2357</v>
      </c>
      <c r="B20" s="254" t="s">
        <v>2358</v>
      </c>
      <c r="C20" s="276">
        <f ca="1">ROUND((C5+C19)*F20,0)</f>
        <v>153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749</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7</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1556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1556</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10943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1303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1172</v>
      </c>
      <c r="D34" s="261"/>
      <c r="E34" s="264"/>
      <c r="F34" s="301">
        <f ca="1">IF('数据-取费表'!B24=0,1,IF(B1="",'数据-取费表'!N16,INDIRECT("'数据-取费表'!n"&amp;$G$1)))</f>
        <v>1</v>
      </c>
      <c r="G34" s="263" t="s">
        <v>2390</v>
      </c>
    </row>
    <row r="35" spans="1:7" ht="13.5" customHeight="1">
      <c r="A35" s="951" t="s">
        <v>796</v>
      </c>
      <c r="B35" s="259" t="s">
        <v>2391</v>
      </c>
      <c r="C35" s="264">
        <f ca="1">ROUND(C34*F35,0)</f>
        <v>35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78</v>
      </c>
      <c r="D37" s="261">
        <f ca="1">D19</f>
        <v>3905.76</v>
      </c>
      <c r="E37" s="293">
        <f>'数据-取费表'!B35</f>
        <v>200</v>
      </c>
      <c r="F37" s="303"/>
      <c r="G37" s="305" t="s">
        <v>2396</v>
      </c>
    </row>
    <row r="38" spans="1:7" ht="13.5" customHeight="1">
      <c r="A38" s="951" t="s">
        <v>799</v>
      </c>
      <c r="B38" s="259" t="s">
        <v>2397</v>
      </c>
      <c r="C38" s="264">
        <f ca="1">ROUND(C34*F38,0)</f>
        <v>18</v>
      </c>
      <c r="D38" s="264"/>
      <c r="E38" s="264"/>
      <c r="F38" s="303">
        <f>'数据-取费表'!B36</f>
        <v>1.4999999999999999E-2</v>
      </c>
      <c r="G38" s="263" t="s">
        <v>2392</v>
      </c>
    </row>
    <row r="39" spans="1:7" s="258" customFormat="1" ht="13.5" customHeight="1">
      <c r="A39" s="299" t="s">
        <v>2398</v>
      </c>
      <c r="B39" s="254" t="s">
        <v>2399</v>
      </c>
      <c r="C39" s="276">
        <f ca="1">ROUND(C33*F20,0)</f>
        <v>26</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63</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62</v>
      </c>
      <c r="D42" s="282"/>
      <c r="E42" s="282"/>
      <c r="F42" s="283"/>
      <c r="G42" s="3137" t="s">
        <v>2408</v>
      </c>
    </row>
    <row r="43" spans="1:7" ht="13.5" customHeight="1">
      <c r="A43" s="951" t="s">
        <v>792</v>
      </c>
      <c r="B43" s="259" t="s">
        <v>2409</v>
      </c>
      <c r="C43" s="282">
        <f ca="1">ROUND(IF('数据-取费表'!B22&lt;=1,C39*F22*'数据-取费表'!B21/2,C39*(POWER((1+F22),'数据-取费表'!B21/2)-1)),0)</f>
        <v>1</v>
      </c>
      <c r="D43" s="282"/>
      <c r="E43" s="282"/>
      <c r="F43" s="283"/>
      <c r="G43" s="3138"/>
    </row>
    <row r="44" spans="1:7" ht="13.5" customHeight="1">
      <c r="A44" s="951" t="s">
        <v>793</v>
      </c>
      <c r="B44" s="259" t="s">
        <v>2410</v>
      </c>
      <c r="C44" s="282">
        <f ca="1">ROUND(IF('数据-取费表'!B22&lt;=1,C40*F22*'数据-取费表'!B21/2,C40*(POWER((1+F22),'数据-取费表'!B21/2)-1)),4)</f>
        <v>1E-3</v>
      </c>
      <c r="D44" s="282"/>
      <c r="E44" s="282"/>
      <c r="F44" s="283"/>
      <c r="G44" s="3139"/>
    </row>
    <row r="45" spans="1:7" s="258" customFormat="1" ht="13.5" customHeight="1">
      <c r="A45" s="299" t="s">
        <v>2411</v>
      </c>
      <c r="B45" s="288" t="s">
        <v>2377</v>
      </c>
      <c r="C45" s="289">
        <f ca="1">C46</f>
        <v>266</v>
      </c>
      <c r="D45" s="279">
        <f ca="1">C47</f>
        <v>4.0000000000000001E-3</v>
      </c>
      <c r="E45" s="280" t="s">
        <v>2403</v>
      </c>
      <c r="F45" s="290"/>
      <c r="G45" s="291" t="s">
        <v>2412</v>
      </c>
    </row>
    <row r="46" spans="1:7" s="258" customFormat="1" ht="13.5" customHeight="1">
      <c r="A46" s="951" t="s">
        <v>791</v>
      </c>
      <c r="B46" s="292" t="s">
        <v>2413</v>
      </c>
      <c r="C46" s="293">
        <f ca="1">ROUND((C33+C39)*F27,0)</f>
        <v>266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610">
        <f>ROUND(F30/(1+'数据-取费表'!C42),4)</f>
        <v>5.33E-2</v>
      </c>
      <c r="D48" s="280" t="s">
        <v>2403</v>
      </c>
      <c r="E48" s="276"/>
      <c r="F48" s="281"/>
      <c r="G48" s="278" t="s">
        <v>2416</v>
      </c>
    </row>
    <row r="49" spans="1:7" ht="16.5" customHeight="1">
      <c r="A49" s="299" t="s">
        <v>2382</v>
      </c>
      <c r="B49" s="254" t="s">
        <v>2417</v>
      </c>
      <c r="C49" s="276">
        <f ca="1">ROUND((C33+C39+C41+C45)/(1-C40-D41-D45-C48),0)</f>
        <v>1799</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1313</v>
      </c>
      <c r="D51" s="276"/>
      <c r="E51" s="276"/>
      <c r="F51" s="308"/>
      <c r="G51" s="278" t="s">
        <v>2424</v>
      </c>
    </row>
    <row r="52" spans="1:7" s="252" customFormat="1" ht="16.5" thickBot="1">
      <c r="A52" s="309" t="s">
        <v>2425</v>
      </c>
      <c r="B52" s="310"/>
      <c r="C52" s="311">
        <f ca="1">C31+C51</f>
        <v>12256</v>
      </c>
      <c r="D52" s="310"/>
      <c r="E52" s="310"/>
      <c r="F52" s="310"/>
      <c r="G52" s="312"/>
    </row>
    <row r="55" spans="1:7" ht="15">
      <c r="B55" s="314" t="s">
        <v>2426</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北京市房地产抵押价值预评估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801"/>
      <c r="C1" s="2420"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1537</v>
      </c>
      <c r="C2" s="243" t="s">
        <v>2327</v>
      </c>
      <c r="D2" s="2414" t="s">
        <v>70</v>
      </c>
      <c r="E2" s="1440" t="e">
        <f ca="1">SUMIF(INDIRECT("'"&amp;G2&amp;"'"&amp;"!A:A"),"承租人权益价值",INDIRECT("'"&amp;G2&amp;"'"&amp;"!c:c"))</f>
        <v>#REF!</v>
      </c>
      <c r="F2" s="2415" t="s">
        <v>2327</v>
      </c>
      <c r="G2" s="2416"/>
    </row>
    <row r="3" spans="1:8" s="244" customFormat="1" ht="18" customHeight="1" thickBot="1">
      <c r="A3" s="247" t="s">
        <v>2328</v>
      </c>
      <c r="B3" s="248">
        <f ca="1">ROUND(B2*10000/(IF(B1="",'数据-汇总表'!E3,INDIRECT("'数据-取费表'!k"&amp;$G$1))),0)</f>
        <v>3935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781152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781152</v>
      </c>
      <c r="D8" s="266"/>
      <c r="E8" s="264"/>
      <c r="F8" s="265"/>
      <c r="G8" s="2417"/>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781152</v>
      </c>
      <c r="D10" s="1032">
        <f ca="1">IF(B1="",'数据-汇总表'!E6,IF(INDIRECT("'数据-取费表'!c"&amp;$G$1)="住宅",INDIRECT("'数据-取费表'!s"&amp;$G$1),INDIRECT("'数据-取费表'!k"&amp;$G$1)+INDIRECT("'数据-取费表'!s"&amp;$G$1)))</f>
        <v>3905.76</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781152</v>
      </c>
      <c r="D19" s="1036">
        <f ca="1">D9+D10</f>
        <v>3905.76</v>
      </c>
      <c r="E19" s="255">
        <f>'数据-取费表'!B31</f>
        <v>200</v>
      </c>
      <c r="F19" s="275"/>
      <c r="G19" s="2417"/>
    </row>
    <row r="20" spans="1:7" s="258" customFormat="1" ht="13.5" customHeight="1">
      <c r="A20" s="299" t="s">
        <v>2438</v>
      </c>
      <c r="B20" s="254" t="s">
        <v>2439</v>
      </c>
      <c r="C20" s="276">
        <f ca="1">ROUND((C5+C19)*F20,0)</f>
        <v>31246</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153428</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75972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75972</v>
      </c>
      <c r="D24" s="282"/>
      <c r="E24" s="282"/>
      <c r="F24" s="283"/>
      <c r="G24" s="284" t="s">
        <v>2450</v>
      </c>
    </row>
    <row r="25" spans="1:7" s="258" customFormat="1" ht="24">
      <c r="A25" s="951" t="s">
        <v>2340</v>
      </c>
      <c r="B25" s="259" t="s">
        <v>2451</v>
      </c>
      <c r="C25" s="1381">
        <f ca="1">ROUND(IF('数据-取费表'!B22&lt;=1,C20*F22*'数据-取费表'!B22/2,C20*(POWER((1+F22),'数据-取费表'!B22/2)-1)),0)</f>
        <v>1484</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318710</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318710</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2241172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13025709</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11717280</v>
      </c>
      <c r="D34" s="261"/>
      <c r="E34" s="264"/>
      <c r="F34" s="301"/>
      <c r="G34" s="263"/>
    </row>
    <row r="35" spans="1:7" ht="13.5" customHeight="1">
      <c r="A35" s="951" t="s">
        <v>796</v>
      </c>
      <c r="B35" s="259" t="s">
        <v>2391</v>
      </c>
      <c r="C35" s="264">
        <f ca="1">ROUND(C34*F35,0)</f>
        <v>351518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781152</v>
      </c>
      <c r="D37" s="261">
        <f ca="1">D19</f>
        <v>3905.76</v>
      </c>
      <c r="E37" s="293">
        <f>'数据-取费表'!B35</f>
        <v>200</v>
      </c>
      <c r="F37" s="303"/>
      <c r="G37" s="305"/>
    </row>
    <row r="38" spans="1:7" ht="13.5" customHeight="1">
      <c r="A38" s="951" t="s">
        <v>799</v>
      </c>
      <c r="B38" s="259" t="s">
        <v>2397</v>
      </c>
      <c r="C38" s="264">
        <f ca="1">ROUND(C34*F38,0)</f>
        <v>175759</v>
      </c>
      <c r="D38" s="264"/>
      <c r="E38" s="264"/>
      <c r="F38" s="303">
        <f>'数据-取费表'!B36</f>
        <v>1.4999999999999999E-2</v>
      </c>
      <c r="G38" s="263" t="s">
        <v>2392</v>
      </c>
    </row>
    <row r="39" spans="1:7" s="258" customFormat="1" ht="13.5" customHeight="1">
      <c r="A39" s="299" t="s">
        <v>2398</v>
      </c>
      <c r="B39" s="254" t="s">
        <v>2399</v>
      </c>
      <c r="C39" s="276">
        <f ca="1">ROUND(C33*F20,0)</f>
        <v>260514</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631095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618721</v>
      </c>
      <c r="D42" s="282"/>
      <c r="E42" s="282"/>
      <c r="F42" s="283"/>
      <c r="G42" s="3137" t="s">
        <v>2455</v>
      </c>
    </row>
    <row r="43" spans="1:7" ht="13.5" customHeight="1">
      <c r="A43" s="951" t="s">
        <v>792</v>
      </c>
      <c r="B43" s="259" t="s">
        <v>2409</v>
      </c>
      <c r="C43" s="282">
        <f ca="1">ROUND(IF('数据-取费表'!B22&lt;=1,C39*F22*'数据-取费表'!B20/2,C39*(POWER((1+F22),'数据-取费表'!B20/2)-1)),0)</f>
        <v>12374</v>
      </c>
      <c r="D43" s="282"/>
      <c r="E43" s="282"/>
      <c r="F43" s="283"/>
      <c r="G43" s="3138"/>
    </row>
    <row r="44" spans="1:7" ht="13.5" customHeight="1">
      <c r="A44" s="951" t="s">
        <v>793</v>
      </c>
      <c r="B44" s="259" t="s">
        <v>2410</v>
      </c>
      <c r="C44" s="282">
        <f ca="1">ROUND(IF('数据-取费表'!B22&lt;=1,C40*F22*'数据-取费表'!B20/2,C40*(POWER((1+F22),'数据-取费表'!B20/2)-1)),4)</f>
        <v>1E-3</v>
      </c>
      <c r="D44" s="282"/>
      <c r="E44" s="282"/>
      <c r="F44" s="283"/>
      <c r="G44" s="3139"/>
    </row>
    <row r="45" spans="1:7" s="258" customFormat="1" ht="13.5" customHeight="1">
      <c r="A45" s="299" t="s">
        <v>2411</v>
      </c>
      <c r="B45" s="288" t="s">
        <v>2377</v>
      </c>
      <c r="C45" s="289">
        <f ca="1">C46</f>
        <v>2657245</v>
      </c>
      <c r="D45" s="279">
        <f ca="1">C47</f>
        <v>4.0000000000000001E-3</v>
      </c>
      <c r="E45" s="280" t="s">
        <v>2403</v>
      </c>
      <c r="F45" s="290"/>
      <c r="G45" s="291" t="s">
        <v>2412</v>
      </c>
    </row>
    <row r="46" spans="1:7" s="258" customFormat="1" ht="13.5" customHeight="1">
      <c r="A46" s="951" t="s">
        <v>791</v>
      </c>
      <c r="B46" s="292" t="s">
        <v>2413</v>
      </c>
      <c r="C46" s="293">
        <f ca="1">ROUND((C33+C39)*F27,0)</f>
        <v>2657245</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17982601</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13127299</v>
      </c>
      <c r="D51" s="276"/>
      <c r="E51" s="276"/>
      <c r="F51" s="308"/>
      <c r="G51" s="278" t="s">
        <v>2424</v>
      </c>
    </row>
    <row r="52" spans="1:7" s="252" customFormat="1" ht="16.5" thickBot="1">
      <c r="A52" s="309" t="s">
        <v>2425</v>
      </c>
      <c r="B52" s="310"/>
      <c r="C52" s="311">
        <f ca="1">C31+C51</f>
        <v>15368471</v>
      </c>
      <c r="D52" s="310"/>
      <c r="E52" s="310"/>
      <c r="F52" s="310"/>
      <c r="G52" s="312"/>
    </row>
    <row r="55" spans="1:7" ht="15">
      <c r="B55" s="314" t="s">
        <v>2426</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465"/>
      <c r="C1" s="1466"/>
      <c r="D1" s="1464"/>
      <c r="E1" s="320"/>
      <c r="F1" s="320"/>
      <c r="G1" s="146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421" t="s">
        <v>2464</v>
      </c>
      <c r="D5" s="2421" t="s">
        <v>2465</v>
      </c>
      <c r="E5" s="2421" t="s">
        <v>2466</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3905.76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3905.76</v>
      </c>
      <c r="E17" s="24">
        <f>'数据-取费表'!B32</f>
        <v>0</v>
      </c>
      <c r="F17" s="978"/>
      <c r="G17" s="140" t="s">
        <v>2490</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423"/>
      <c r="H18" s="1461"/>
      <c r="I18" s="2424"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2494</v>
      </c>
      <c r="C20" s="24">
        <f ca="1">ROUND(D20*E20/10000,0)</f>
        <v>78</v>
      </c>
      <c r="D20" s="1033">
        <f ca="1">IF(C1="",'数据-汇总表'!E6,IF(INDIRECT("'数据-取费表'!c"&amp;$K$1)="住宅",INDIRECT("'数据-取费表'!s"&amp;$K$1),INDIRECT("'数据-取费表'!k"&amp;$K$1)+INDIRECT("'数据-取费表'!s"&amp;$K$1)))</f>
        <v>3905.76</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2508</v>
      </c>
      <c r="B28" s="2426" t="s">
        <v>2509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427"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0" t="s">
        <v>1397</v>
      </c>
      <c r="C6" s="1296">
        <f ca="1">ROUND(F6*F8*F7*(1-F9),0)</f>
        <v>0</v>
      </c>
      <c r="D6" s="164" t="s">
        <v>3025</v>
      </c>
      <c r="E6" s="347" t="s">
        <v>1399</v>
      </c>
      <c r="F6" s="348">
        <f ca="1">INDIRECT("'数据-取费表'!u"&amp;$G$1)</f>
        <v>0</v>
      </c>
      <c r="G6" s="1716"/>
      <c r="H6" s="1291" t="s">
        <v>1031</v>
      </c>
      <c r="I6" s="3140" t="s">
        <v>1397</v>
      </c>
      <c r="J6" s="346">
        <f ca="1">ROUND(M6*M8*M7*(1-M9),0)</f>
        <v>0</v>
      </c>
      <c r="K6" s="1699" t="s">
        <v>3026</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0</v>
      </c>
      <c r="G7" s="1716"/>
      <c r="H7" s="349"/>
      <c r="I7" s="3141"/>
      <c r="J7" s="351"/>
      <c r="K7" s="352"/>
      <c r="L7" s="347" t="s">
        <v>1400</v>
      </c>
      <c r="M7" s="348">
        <f ca="1">F7</f>
        <v>0</v>
      </c>
    </row>
    <row r="8" spans="1:37" ht="18" customHeight="1">
      <c r="A8" s="349"/>
      <c r="B8" s="3141"/>
      <c r="C8" s="351"/>
      <c r="D8" s="352"/>
      <c r="E8" s="347" t="s">
        <v>1401</v>
      </c>
      <c r="F8" s="348">
        <f ca="1">INDIRECT("'数据-取费表'!ai"&amp;$G$1)</f>
        <v>0</v>
      </c>
      <c r="G8" s="1716"/>
      <c r="H8" s="349"/>
      <c r="I8" s="3141"/>
      <c r="J8" s="351"/>
      <c r="K8" s="352"/>
      <c r="L8" s="347" t="s">
        <v>1401</v>
      </c>
      <c r="M8" s="348">
        <f ca="1">INDIRECT("'数据-取费表'!ai"&amp;$G$1)</f>
        <v>0</v>
      </c>
    </row>
    <row r="9" spans="1:37" ht="18" customHeight="1">
      <c r="A9" s="349"/>
      <c r="B9" s="3142"/>
      <c r="C9" s="351"/>
      <c r="D9" s="352"/>
      <c r="E9" s="347" t="s">
        <v>1402</v>
      </c>
      <c r="F9" s="357">
        <f ca="1">INDIRECT("'数据-取费表'!w"&amp;$G$1)</f>
        <v>0</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3036</v>
      </c>
      <c r="E10" s="358" t="s">
        <v>1404</v>
      </c>
      <c r="F10" s="1366"/>
      <c r="G10" s="1716"/>
      <c r="H10" s="1291" t="s">
        <v>1035</v>
      </c>
      <c r="I10" s="1688" t="s">
        <v>1403</v>
      </c>
      <c r="J10" s="346">
        <f ca="1">ROUND(IF(M10="押一",J6/12*M11,IF(M10="押二",J6/12*2*M11,IF(M10="押三",J6/12*3*M11,J11*M11))),0)</f>
        <v>0</v>
      </c>
      <c r="K10" s="1700" t="s">
        <v>3038</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3039</v>
      </c>
      <c r="E53" s="358" t="s">
        <v>1404</v>
      </c>
      <c r="F53" s="1366"/>
      <c r="I53" s="1770" t="s">
        <v>1541</v>
      </c>
      <c r="J53" s="2799">
        <f ca="1">IF(M47="住宅",IF(D1="——",MAX(J51,L48),MAX(J51,L48-'数据-取费表'!B24)),IF(D1="——",MIN(J51,L48),MIN(J51,L48-'数据-取费表'!B24)))</f>
        <v>0</v>
      </c>
      <c r="K53" s="3143" t="s">
        <v>1542</v>
      </c>
      <c r="L53" s="3144"/>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3</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2525</v>
      </c>
      <c r="B1" s="2429"/>
      <c r="C1" s="2429"/>
      <c r="D1" s="2429"/>
      <c r="E1" s="2430"/>
    </row>
    <row r="2" spans="1:6" ht="15.75">
      <c r="A2" s="2431" t="s">
        <v>2326</v>
      </c>
      <c r="B2" s="2432">
        <f ca="1">SUMIF(B6:B13,"&lt;&gt;#ref!",B6:B13)</f>
        <v>9083</v>
      </c>
      <c r="C2" s="2433" t="s">
        <v>2518</v>
      </c>
      <c r="D2" s="2434" t="s">
        <v>2519</v>
      </c>
      <c r="E2" s="2435">
        <f>SUM(E6:E13)</f>
        <v>3905.76</v>
      </c>
    </row>
    <row r="3" spans="1:6" ht="15.75">
      <c r="A3" s="2431" t="s">
        <v>1389</v>
      </c>
      <c r="B3" s="2432">
        <f ca="1">ROUND(B2*10000/E2,0)</f>
        <v>23255</v>
      </c>
      <c r="C3" s="2433" t="s">
        <v>2526</v>
      </c>
      <c r="D3" s="2436"/>
      <c r="E3" s="2437"/>
    </row>
    <row r="4" spans="1:6" ht="15.75">
      <c r="A4" s="2438"/>
      <c r="B4" s="2436"/>
      <c r="C4" s="2436"/>
      <c r="D4" s="2436"/>
      <c r="E4" s="2437"/>
    </row>
    <row r="5" spans="1:6" ht="15">
      <c r="A5" s="2439" t="s">
        <v>2520</v>
      </c>
      <c r="B5" s="3145" t="s">
        <v>2521</v>
      </c>
      <c r="C5" s="3145"/>
      <c r="D5" s="2440"/>
      <c r="E5" s="2441" t="s">
        <v>2522</v>
      </c>
      <c r="F5" s="2442" t="s">
        <v>2523</v>
      </c>
    </row>
    <row r="6" spans="1:6">
      <c r="A6" s="2443" t="str">
        <f>'数据-取费表'!AN6</f>
        <v>收益法</v>
      </c>
      <c r="B6" s="2442">
        <f ca="1">IF(F6="是",'数据-取费表'!AO6,0)</f>
        <v>9083</v>
      </c>
      <c r="C6" s="2433" t="s">
        <v>2518</v>
      </c>
      <c r="D6" s="2436"/>
      <c r="E6" s="2444">
        <f>IF(OR(A6=0,F6="否"),0,'数据-取费表'!K6+'数据-取费表'!S6)</f>
        <v>3905.76</v>
      </c>
      <c r="F6" s="2445" t="s">
        <v>2524</v>
      </c>
    </row>
    <row r="7" spans="1:6">
      <c r="A7" s="2443">
        <f>'数据-取费表'!AN7</f>
        <v>0</v>
      </c>
      <c r="B7" s="2442" t="e">
        <f ca="1">IF(F7="是",'数据-取费表'!AO7,0)</f>
        <v>#REF!</v>
      </c>
      <c r="C7" s="2433" t="s">
        <v>2518</v>
      </c>
      <c r="D7" s="2436"/>
      <c r="E7" s="2444">
        <f>IF(OR(A7=0,F7="否"),0,'数据-取费表'!K7+'数据-取费表'!S7)</f>
        <v>0</v>
      </c>
      <c r="F7" s="2445" t="s">
        <v>2524</v>
      </c>
    </row>
    <row r="8" spans="1:6">
      <c r="A8" s="2443">
        <f>'数据-取费表'!AN8</f>
        <v>0</v>
      </c>
      <c r="B8" s="2442" t="e">
        <f ca="1">IF(F8="是",'数据-取费表'!AO8,0)</f>
        <v>#REF!</v>
      </c>
      <c r="C8" s="2433" t="s">
        <v>2518</v>
      </c>
      <c r="D8" s="2436"/>
      <c r="E8" s="2444">
        <f>IF(OR(A8=0,F8="否"),0,'数据-取费表'!K8+'数据-取费表'!S8)</f>
        <v>0</v>
      </c>
      <c r="F8" s="2445" t="s">
        <v>2524</v>
      </c>
    </row>
    <row r="9" spans="1:6">
      <c r="A9" s="2443">
        <f>'数据-取费表'!AN9</f>
        <v>0</v>
      </c>
      <c r="B9" s="2442" t="e">
        <f ca="1">IF(F9="是",'数据-取费表'!AO9,0)</f>
        <v>#REF!</v>
      </c>
      <c r="C9" s="2433" t="s">
        <v>2518</v>
      </c>
      <c r="D9" s="2436"/>
      <c r="E9" s="2444">
        <f>IF(OR(A9=0,F9="否"),0,'数据-取费表'!K9+'数据-取费表'!S9)</f>
        <v>0</v>
      </c>
      <c r="F9" s="2445" t="s">
        <v>2524</v>
      </c>
    </row>
    <row r="10" spans="1:6">
      <c r="A10" s="2443">
        <f>'数据-取费表'!AN10</f>
        <v>0</v>
      </c>
      <c r="B10" s="2442" t="e">
        <f ca="1">IF(F10="是",'数据-取费表'!AO10,0)</f>
        <v>#REF!</v>
      </c>
      <c r="C10" s="2433" t="s">
        <v>2518</v>
      </c>
      <c r="D10" s="2436"/>
      <c r="E10" s="2444">
        <f>IF(OR(A10=0,F10="否"),0,'数据-取费表'!K10+'数据-取费表'!S10)</f>
        <v>0</v>
      </c>
      <c r="F10" s="2445" t="s">
        <v>2524</v>
      </c>
    </row>
    <row r="11" spans="1:6">
      <c r="A11" s="2443">
        <f>'数据-取费表'!AN11</f>
        <v>0</v>
      </c>
      <c r="B11" s="2442" t="e">
        <f ca="1">IF(F11="是",'数据-取费表'!AO11,0)</f>
        <v>#REF!</v>
      </c>
      <c r="C11" s="2433" t="s">
        <v>2518</v>
      </c>
      <c r="D11" s="2436"/>
      <c r="E11" s="2444">
        <f>IF(OR(A11=0,F11="否"),0,'数据-取费表'!K11+'数据-取费表'!S11)</f>
        <v>0</v>
      </c>
      <c r="F11" s="2445" t="s">
        <v>2524</v>
      </c>
    </row>
    <row r="12" spans="1:6">
      <c r="A12" s="2443">
        <f>'数据-取费表'!AN12</f>
        <v>0</v>
      </c>
      <c r="B12" s="2442" t="e">
        <f ca="1">IF(F12="是",'数据-取费表'!AO12,0)</f>
        <v>#REF!</v>
      </c>
      <c r="C12" s="2433" t="s">
        <v>2518</v>
      </c>
      <c r="D12" s="2436"/>
      <c r="E12" s="2444">
        <f>IF(OR(A12=0,F12="否"),0,'数据-取费表'!K12+'数据-取费表'!S12)</f>
        <v>0</v>
      </c>
      <c r="F12" s="2445" t="s">
        <v>2524</v>
      </c>
    </row>
    <row r="13" spans="1:6" ht="15" thickBot="1">
      <c r="A13" s="2446">
        <f>'数据-取费表'!AN13</f>
        <v>0</v>
      </c>
      <c r="B13" s="2442" t="e">
        <f ca="1">IF(F13="是",'数据-取费表'!AO13,0)</f>
        <v>#REF!</v>
      </c>
      <c r="C13" s="2447" t="s">
        <v>2518</v>
      </c>
      <c r="D13" s="2448"/>
      <c r="E13" s="2444">
        <f>IF(OR(A13=0,F13="否"),0,'数据-取费表'!K13+'数据-取费表'!S13)</f>
        <v>0</v>
      </c>
      <c r="F13" s="244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2" t="s">
        <v>1072</v>
      </c>
      <c r="B1" s="3163"/>
      <c r="C1" s="3164"/>
      <c r="D1" s="3165">
        <f>SUM(I10,I15,I20,I21,I23)</f>
        <v>0</v>
      </c>
      <c r="E1" s="3165"/>
      <c r="F1" s="3165"/>
      <c r="G1" s="3165"/>
      <c r="H1" s="3165"/>
      <c r="I1" s="3166"/>
    </row>
    <row r="2" spans="1:9">
      <c r="A2" s="3152" t="s">
        <v>1073</v>
      </c>
      <c r="B2" s="3153" t="s">
        <v>1074</v>
      </c>
      <c r="C2" s="3153"/>
      <c r="D2" s="1301" t="s">
        <v>1075</v>
      </c>
      <c r="E2" s="1301" t="s">
        <v>1076</v>
      </c>
      <c r="F2" s="1301" t="s">
        <v>1077</v>
      </c>
      <c r="G2" s="1301" t="s">
        <v>1078</v>
      </c>
      <c r="H2" s="1301" t="s">
        <v>1079</v>
      </c>
      <c r="I2" s="1302" t="s">
        <v>1080</v>
      </c>
    </row>
    <row r="3" spans="1:9">
      <c r="A3" s="3152"/>
      <c r="B3" s="3153" t="s">
        <v>1081</v>
      </c>
      <c r="C3" s="3153"/>
      <c r="D3" s="1303"/>
      <c r="E3" s="1301"/>
      <c r="F3" s="1304"/>
      <c r="G3" s="1304"/>
      <c r="H3" s="1305"/>
      <c r="I3" s="1306">
        <f>ROUND(D3*E3*F3*G3*H3/10000,0)</f>
        <v>0</v>
      </c>
    </row>
    <row r="4" spans="1:9">
      <c r="A4" s="3152"/>
      <c r="B4" s="3153" t="s">
        <v>1082</v>
      </c>
      <c r="C4" s="3153"/>
      <c r="D4" s="1303"/>
      <c r="E4" s="1301"/>
      <c r="F4" s="1304"/>
      <c r="G4" s="1304"/>
      <c r="H4" s="1305"/>
      <c r="I4" s="1306">
        <f t="shared" ref="I4:I9" si="0">ROUND(D4*E4*F4*G4*H4/10000,0)</f>
        <v>0</v>
      </c>
    </row>
    <row r="5" spans="1:9">
      <c r="A5" s="3152"/>
      <c r="B5" s="3153" t="s">
        <v>1083</v>
      </c>
      <c r="C5" s="3153"/>
      <c r="D5" s="1303"/>
      <c r="E5" s="1301"/>
      <c r="F5" s="1304"/>
      <c r="G5" s="1304"/>
      <c r="H5" s="1305"/>
      <c r="I5" s="1306">
        <f t="shared" si="0"/>
        <v>0</v>
      </c>
    </row>
    <row r="6" spans="1:9">
      <c r="A6" s="3152"/>
      <c r="B6" s="3153" t="s">
        <v>1084</v>
      </c>
      <c r="C6" s="3153"/>
      <c r="D6" s="1303"/>
      <c r="E6" s="1301"/>
      <c r="F6" s="1304"/>
      <c r="G6" s="1304"/>
      <c r="H6" s="1305"/>
      <c r="I6" s="1306">
        <f t="shared" si="0"/>
        <v>0</v>
      </c>
    </row>
    <row r="7" spans="1:9">
      <c r="A7" s="3152"/>
      <c r="B7" s="3153" t="s">
        <v>1085</v>
      </c>
      <c r="C7" s="3153"/>
      <c r="D7" s="1303"/>
      <c r="E7" s="1301"/>
      <c r="F7" s="1304"/>
      <c r="G7" s="1304"/>
      <c r="H7" s="1305"/>
      <c r="I7" s="1306">
        <f t="shared" si="0"/>
        <v>0</v>
      </c>
    </row>
    <row r="8" spans="1:9">
      <c r="A8" s="3152"/>
      <c r="B8" s="3153" t="s">
        <v>1086</v>
      </c>
      <c r="C8" s="3153"/>
      <c r="D8" s="1303"/>
      <c r="E8" s="1301"/>
      <c r="F8" s="1304"/>
      <c r="G8" s="1304"/>
      <c r="H8" s="1305"/>
      <c r="I8" s="1306">
        <f t="shared" si="0"/>
        <v>0</v>
      </c>
    </row>
    <row r="9" spans="1:9">
      <c r="A9" s="3152"/>
      <c r="B9" s="3153" t="s">
        <v>1087</v>
      </c>
      <c r="C9" s="3153"/>
      <c r="D9" s="1303"/>
      <c r="E9" s="1301"/>
      <c r="F9" s="1304"/>
      <c r="G9" s="1304"/>
      <c r="H9" s="1305"/>
      <c r="I9" s="1306">
        <f t="shared" si="0"/>
        <v>0</v>
      </c>
    </row>
    <row r="10" spans="1:9">
      <c r="A10" s="3152"/>
      <c r="B10" s="3154" t="s">
        <v>1088</v>
      </c>
      <c r="C10" s="3154"/>
      <c r="D10" s="1307"/>
      <c r="E10" s="1307" t="e">
        <f>ROUND(D1*10000/D10/H9,0)</f>
        <v>#DIV/0!</v>
      </c>
      <c r="F10" s="1308"/>
      <c r="G10" s="1308"/>
      <c r="H10" s="1309"/>
      <c r="I10" s="1310">
        <f>SUM(I3:I9)</f>
        <v>0</v>
      </c>
    </row>
    <row r="11" spans="1:9" ht="14.25">
      <c r="A11" s="3152" t="s">
        <v>1089</v>
      </c>
      <c r="B11" s="3153" t="s">
        <v>1090</v>
      </c>
      <c r="C11" s="3153"/>
      <c r="D11" s="1303" t="s">
        <v>1091</v>
      </c>
      <c r="E11" s="1303" t="s">
        <v>1092</v>
      </c>
      <c r="F11" s="1304" t="s">
        <v>1093</v>
      </c>
      <c r="G11" s="1304" t="s">
        <v>1079</v>
      </c>
      <c r="H11" s="1311" t="s">
        <v>1094</v>
      </c>
      <c r="I11" s="1302" t="s">
        <v>1080</v>
      </c>
    </row>
    <row r="12" spans="1:9">
      <c r="A12" s="3152"/>
      <c r="B12" s="3153" t="s">
        <v>1095</v>
      </c>
      <c r="C12" s="3153"/>
      <c r="D12" s="1303"/>
      <c r="E12" s="1303"/>
      <c r="F12" s="1304"/>
      <c r="G12" s="1305"/>
      <c r="H12" s="1312"/>
      <c r="I12" s="1302">
        <f>ROUND(D12*E12*F12*G12/10000,0)</f>
        <v>0</v>
      </c>
    </row>
    <row r="13" spans="1:9">
      <c r="A13" s="3152"/>
      <c r="B13" s="3153" t="s">
        <v>1096</v>
      </c>
      <c r="C13" s="3153"/>
      <c r="D13" s="1303"/>
      <c r="E13" s="1303"/>
      <c r="F13" s="1304"/>
      <c r="G13" s="1305"/>
      <c r="H13" s="1312"/>
      <c r="I13" s="1302">
        <f>ROUND(D13*E13*F13*G13/10000,0)</f>
        <v>0</v>
      </c>
    </row>
    <row r="14" spans="1:9">
      <c r="A14" s="3152"/>
      <c r="B14" s="3153" t="s">
        <v>1097</v>
      </c>
      <c r="C14" s="3153"/>
      <c r="D14" s="1303"/>
      <c r="E14" s="1303"/>
      <c r="F14" s="1304"/>
      <c r="G14" s="1305"/>
      <c r="H14" s="1312"/>
      <c r="I14" s="1302">
        <f>ROUND(D14*E14*F14*G14/10000,0)</f>
        <v>0</v>
      </c>
    </row>
    <row r="15" spans="1:9">
      <c r="A15" s="3152"/>
      <c r="B15" s="3154" t="s">
        <v>1088</v>
      </c>
      <c r="C15" s="3154"/>
      <c r="D15" s="1307"/>
      <c r="E15" s="1307">
        <f>SUM(E12:E14)</f>
        <v>0</v>
      </c>
      <c r="F15" s="1308"/>
      <c r="G15" s="1305"/>
      <c r="H15" s="1312"/>
      <c r="I15" s="1313">
        <f>SUM(I12:I14)</f>
        <v>0</v>
      </c>
    </row>
    <row r="16" spans="1:9" ht="24">
      <c r="A16" s="3152" t="s">
        <v>1098</v>
      </c>
      <c r="B16" s="3153" t="s">
        <v>1099</v>
      </c>
      <c r="C16" s="3153"/>
      <c r="D16" s="1303" t="s">
        <v>1075</v>
      </c>
      <c r="E16" s="1314" t="s">
        <v>1100</v>
      </c>
      <c r="F16" s="1304" t="s">
        <v>1101</v>
      </c>
      <c r="G16" s="1305" t="s">
        <v>1079</v>
      </c>
      <c r="H16" s="1311" t="s">
        <v>1094</v>
      </c>
      <c r="I16" s="1302" t="s">
        <v>1080</v>
      </c>
    </row>
    <row r="17" spans="1:9" ht="14.25">
      <c r="A17" s="3152"/>
      <c r="B17" s="3153" t="s">
        <v>1102</v>
      </c>
      <c r="C17" s="3153"/>
      <c r="D17" s="1303"/>
      <c r="E17" s="1303"/>
      <c r="F17" s="1304"/>
      <c r="G17" s="1305"/>
      <c r="H17" s="1315"/>
      <c r="I17" s="1316">
        <f>ROUND(D17*E17*F17*G17/10000,0)</f>
        <v>0</v>
      </c>
    </row>
    <row r="18" spans="1:9" ht="14.25">
      <c r="A18" s="3152"/>
      <c r="B18" s="3153" t="s">
        <v>1103</v>
      </c>
      <c r="C18" s="3153"/>
      <c r="D18" s="1303"/>
      <c r="E18" s="1303"/>
      <c r="F18" s="1304"/>
      <c r="G18" s="1305"/>
      <c r="H18" s="1315"/>
      <c r="I18" s="1316">
        <f>ROUND(D18*E18*F18*G18/10000,0)</f>
        <v>0</v>
      </c>
    </row>
    <row r="19" spans="1:9" ht="14.25">
      <c r="A19" s="3152"/>
      <c r="B19" s="3153" t="s">
        <v>1104</v>
      </c>
      <c r="C19" s="3153"/>
      <c r="D19" s="1303"/>
      <c r="E19" s="1303"/>
      <c r="F19" s="1304"/>
      <c r="G19" s="1305"/>
      <c r="H19" s="1315"/>
      <c r="I19" s="1316">
        <f>ROUND(D19*E19*F19*G19/10000,0)</f>
        <v>0</v>
      </c>
    </row>
    <row r="20" spans="1:9">
      <c r="A20" s="3152"/>
      <c r="B20" s="3154" t="s">
        <v>1088</v>
      </c>
      <c r="C20" s="3154"/>
      <c r="D20" s="1307">
        <f>SUM(D17:D19)</f>
        <v>0</v>
      </c>
      <c r="E20" s="1307"/>
      <c r="F20" s="1308"/>
      <c r="G20" s="1305"/>
      <c r="H20" s="1312"/>
      <c r="I20" s="1313">
        <f>SUM(I17:I19)</f>
        <v>0</v>
      </c>
    </row>
    <row r="21" spans="1:9">
      <c r="A21" s="3152" t="s">
        <v>1105</v>
      </c>
      <c r="B21" s="3155"/>
      <c r="C21" s="3155"/>
      <c r="D21" s="3155"/>
      <c r="E21" s="3155"/>
      <c r="F21" s="3155"/>
      <c r="G21" s="3155"/>
      <c r="H21" s="1634">
        <v>0.1</v>
      </c>
      <c r="I21" s="1310">
        <f>ROUND(I10*H21,0)</f>
        <v>0</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49">
        <f>C27-C30-C31-C32</f>
        <v>0</v>
      </c>
      <c r="F26" s="3149"/>
      <c r="G26" s="3149"/>
      <c r="H26" s="1614" t="s">
        <v>1335</v>
      </c>
    </row>
    <row r="27" spans="1:9">
      <c r="A27" s="1324">
        <v>1</v>
      </c>
      <c r="B27" s="1325" t="s">
        <v>1114</v>
      </c>
      <c r="C27" s="1325">
        <f>C28+C29</f>
        <v>0</v>
      </c>
      <c r="D27" s="1325"/>
      <c r="E27" s="3150"/>
      <c r="F27" s="3150"/>
      <c r="G27" s="3150"/>
    </row>
    <row r="28" spans="1:9">
      <c r="A28" s="1326" t="s">
        <v>1115</v>
      </c>
      <c r="B28" s="1325" t="s">
        <v>1116</v>
      </c>
      <c r="C28" s="1325"/>
      <c r="D28" s="1325"/>
      <c r="E28" s="3150"/>
      <c r="F28" s="3150"/>
      <c r="G28" s="315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1"/>
      <c r="F32" s="3151"/>
      <c r="G32" s="3151"/>
    </row>
    <row r="33" spans="1:7" hidden="1">
      <c r="A33" s="3146" t="s">
        <v>1125</v>
      </c>
      <c r="B33" s="3147"/>
      <c r="C33" s="3147"/>
      <c r="D33" s="3148"/>
      <c r="E33" s="3149"/>
      <c r="F33" s="3149"/>
      <c r="G33" s="3149"/>
    </row>
    <row r="34" spans="1:7" hidden="1">
      <c r="A34" s="1328">
        <v>1</v>
      </c>
      <c r="B34" s="1325" t="s">
        <v>1126</v>
      </c>
      <c r="C34" s="1325"/>
      <c r="D34" s="1325"/>
      <c r="E34" s="3150"/>
      <c r="F34" s="3150"/>
      <c r="G34" s="3150"/>
    </row>
    <row r="35" spans="1:7" hidden="1">
      <c r="A35" s="1328">
        <v>2</v>
      </c>
      <c r="B35" s="1325" t="s">
        <v>1127</v>
      </c>
      <c r="C35" s="1325"/>
      <c r="D35" s="1325"/>
      <c r="E35" s="3150"/>
      <c r="F35" s="3150"/>
      <c r="G35" s="3150"/>
    </row>
    <row r="36" spans="1:7" hidden="1">
      <c r="A36" s="1328">
        <v>3</v>
      </c>
      <c r="B36" s="1325" t="s">
        <v>1128</v>
      </c>
      <c r="C36" s="1325"/>
      <c r="D36" s="1325"/>
      <c r="E36" s="3150"/>
      <c r="F36" s="3150"/>
      <c r="G36" s="3150"/>
    </row>
    <row r="37" spans="1:7" hidden="1">
      <c r="A37" s="1328">
        <v>4</v>
      </c>
      <c r="B37" s="1325" t="s">
        <v>1129</v>
      </c>
      <c r="C37" s="1325"/>
      <c r="D37" s="1325"/>
      <c r="E37" s="3150"/>
      <c r="F37" s="3150"/>
      <c r="G37" s="3150"/>
    </row>
    <row r="38" spans="1:7" hidden="1">
      <c r="A38" s="3146" t="s">
        <v>1130</v>
      </c>
      <c r="B38" s="3147"/>
      <c r="C38" s="3147"/>
      <c r="D38" s="3148"/>
      <c r="E38" s="3149"/>
      <c r="F38" s="3149"/>
      <c r="G38" s="31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2528</v>
      </c>
      <c r="C1" s="1518" t="s">
        <v>2529</v>
      </c>
      <c r="D1" s="1505"/>
      <c r="E1" s="2450"/>
      <c r="F1" s="2451" t="s">
        <v>2530</v>
      </c>
      <c r="G1" s="1515" t="s">
        <v>2531</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2532</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2533</v>
      </c>
      <c r="D3" s="399">
        <f>IF(D1="",'数据-汇总表'!E3,SUMIF('数据-汇总表'!$C19:$C33,D1,'数据-汇总表'!$E19:$E33))</f>
        <v>3905.76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2534</v>
      </c>
      <c r="B4" s="402"/>
      <c r="C4" s="3185" t="s">
        <v>2535</v>
      </c>
      <c r="D4" s="3186"/>
      <c r="E4" s="3187" t="s">
        <v>2536</v>
      </c>
      <c r="F4" s="3188"/>
      <c r="G4" s="3185" t="s">
        <v>2537</v>
      </c>
      <c r="H4" s="3186"/>
      <c r="I4" s="3185" t="s">
        <v>2538</v>
      </c>
      <c r="J4" s="3186"/>
      <c r="K4" s="2463" t="s">
        <v>2539</v>
      </c>
      <c r="L4" s="1130"/>
      <c r="M4" s="1131"/>
      <c r="N4" s="1131"/>
      <c r="O4" s="1131"/>
      <c r="P4" s="3189" t="s">
        <v>2540</v>
      </c>
      <c r="Q4" s="3190"/>
      <c r="R4" s="3195" t="s">
        <v>2536</v>
      </c>
      <c r="S4" s="3196"/>
      <c r="T4" s="3195" t="s">
        <v>2537</v>
      </c>
      <c r="U4" s="3196"/>
      <c r="V4" s="3201" t="s">
        <v>2538</v>
      </c>
      <c r="W4" s="3201"/>
      <c r="X4" s="1678"/>
      <c r="Y4" s="3195" t="s">
        <v>2540</v>
      </c>
      <c r="Z4" s="3196"/>
      <c r="AA4" s="3182" t="s">
        <v>2536</v>
      </c>
      <c r="AB4" s="3182" t="s">
        <v>2537</v>
      </c>
      <c r="AC4" s="3182" t="s">
        <v>2538</v>
      </c>
    </row>
    <row r="5" spans="1:29" ht="15">
      <c r="A5" s="404"/>
      <c r="B5" s="405"/>
      <c r="C5" s="3204" t="s">
        <v>2541</v>
      </c>
      <c r="D5" s="3205"/>
      <c r="E5" s="3211" t="s">
        <v>2542</v>
      </c>
      <c r="F5" s="3212"/>
      <c r="G5" s="3204" t="s">
        <v>2543</v>
      </c>
      <c r="H5" s="3205"/>
      <c r="I5" s="3204" t="s">
        <v>2544</v>
      </c>
      <c r="J5" s="3205"/>
      <c r="K5" s="2464"/>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2545</v>
      </c>
      <c r="D6" s="3203"/>
      <c r="E6" s="3209" t="s">
        <v>2545</v>
      </c>
      <c r="F6" s="3210"/>
      <c r="G6" s="3202" t="s">
        <v>2545</v>
      </c>
      <c r="H6" s="3203"/>
      <c r="I6" s="3202" t="s">
        <v>2545</v>
      </c>
      <c r="J6" s="3203"/>
      <c r="K6" s="2464" t="s">
        <v>2546</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2547</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06" t="s">
        <v>2548</v>
      </c>
      <c r="Q7" s="3208"/>
      <c r="R7" s="770" t="s">
        <v>23</v>
      </c>
      <c r="S7" s="771">
        <f t="shared" ref="S7:S15" si="0">F7</f>
        <v>0</v>
      </c>
      <c r="T7" s="770" t="s">
        <v>23</v>
      </c>
      <c r="U7" s="771">
        <f t="shared" ref="U7:U15" si="1">H7</f>
        <v>0</v>
      </c>
      <c r="V7" s="770" t="s">
        <v>23</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06" t="s">
        <v>2551</v>
      </c>
      <c r="Q8" s="3207"/>
      <c r="R8" s="770" t="s">
        <v>23</v>
      </c>
      <c r="S8" s="771">
        <f t="shared" si="0"/>
        <v>0</v>
      </c>
      <c r="T8" s="770" t="s">
        <v>23</v>
      </c>
      <c r="U8" s="771">
        <f t="shared" si="1"/>
        <v>0</v>
      </c>
      <c r="V8" s="770" t="s">
        <v>23</v>
      </c>
      <c r="W8" s="771">
        <f t="shared" si="2"/>
        <v>0</v>
      </c>
      <c r="X8" s="772"/>
      <c r="Y8" s="3206" t="s">
        <v>2551</v>
      </c>
      <c r="Z8" s="320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1"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660" t="str">
        <f t="shared" si="6"/>
        <v>容积率</v>
      </c>
      <c r="R11" s="770" t="s">
        <v>21</v>
      </c>
      <c r="S11" s="771" t="e">
        <f t="shared" si="0"/>
        <v>#N/A</v>
      </c>
      <c r="T11" s="770" t="s">
        <v>21</v>
      </c>
      <c r="U11" s="771" t="e">
        <f t="shared" si="1"/>
        <v>#N/A</v>
      </c>
      <c r="V11" s="770" t="s">
        <v>21</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1"/>
      <c r="Q12" s="1660">
        <f t="shared" si="6"/>
        <v>111</v>
      </c>
      <c r="R12" s="770" t="s">
        <v>21</v>
      </c>
      <c r="S12" s="771">
        <f t="shared" si="0"/>
        <v>100</v>
      </c>
      <c r="T12" s="770" t="s">
        <v>21</v>
      </c>
      <c r="U12" s="771">
        <f t="shared" si="1"/>
        <v>100</v>
      </c>
      <c r="V12" s="770" t="s">
        <v>21</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1"/>
      <c r="Q13" s="1660">
        <f t="shared" si="6"/>
        <v>111</v>
      </c>
      <c r="R13" s="770" t="s">
        <v>21</v>
      </c>
      <c r="S13" s="771">
        <f t="shared" si="0"/>
        <v>100</v>
      </c>
      <c r="T13" s="770" t="s">
        <v>21</v>
      </c>
      <c r="U13" s="771">
        <f t="shared" si="1"/>
        <v>100</v>
      </c>
      <c r="V13" s="770" t="s">
        <v>21</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1"/>
      <c r="Q14" s="1660">
        <f t="shared" si="6"/>
        <v>111</v>
      </c>
      <c r="R14" s="770" t="s">
        <v>21</v>
      </c>
      <c r="S14" s="771">
        <f t="shared" si="0"/>
        <v>100</v>
      </c>
      <c r="T14" s="770" t="s">
        <v>21</v>
      </c>
      <c r="U14" s="771">
        <f t="shared" si="1"/>
        <v>100</v>
      </c>
      <c r="V14" s="770" t="s">
        <v>21</v>
      </c>
      <c r="W14" s="771">
        <f t="shared" si="2"/>
        <v>100</v>
      </c>
      <c r="X14" s="772"/>
      <c r="Y14" s="2993"/>
      <c r="Z14" s="55">
        <f t="shared" si="7"/>
        <v>111</v>
      </c>
      <c r="AA14" s="773">
        <f t="shared" si="3"/>
        <v>1</v>
      </c>
      <c r="AB14" s="773">
        <f t="shared" si="4"/>
        <v>1</v>
      </c>
      <c r="AC14" s="773">
        <f t="shared" si="5"/>
        <v>1</v>
      </c>
    </row>
    <row r="15" spans="1:29" ht="99.75">
      <c r="A15" s="440" t="s">
        <v>2558</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9" t="s">
        <v>2559</v>
      </c>
      <c r="Q15" s="1675" t="str">
        <f t="shared" si="6"/>
        <v>居住社区成熟度</v>
      </c>
      <c r="R15" s="774" t="s">
        <v>21</v>
      </c>
      <c r="S15" s="775">
        <f t="shared" si="0"/>
        <v>100</v>
      </c>
      <c r="T15" s="774" t="s">
        <v>21</v>
      </c>
      <c r="U15" s="775">
        <f t="shared" si="1"/>
        <v>100</v>
      </c>
      <c r="V15" s="774" t="s">
        <v>21</v>
      </c>
      <c r="W15" s="775">
        <f t="shared" si="2"/>
        <v>100</v>
      </c>
      <c r="X15" s="1678"/>
      <c r="Y15" s="3172" t="s">
        <v>2559</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180"/>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0"/>
      <c r="Q17" s="1675" t="str">
        <f>B17</f>
        <v>交通便捷度</v>
      </c>
      <c r="R17" s="774" t="s">
        <v>21</v>
      </c>
      <c r="S17" s="775">
        <f>F17</f>
        <v>100</v>
      </c>
      <c r="T17" s="774" t="s">
        <v>21</v>
      </c>
      <c r="U17" s="775">
        <f>H17</f>
        <v>100</v>
      </c>
      <c r="V17" s="774" t="s">
        <v>21</v>
      </c>
      <c r="W17" s="775">
        <f>J17</f>
        <v>100</v>
      </c>
      <c r="X17" s="1678"/>
      <c r="Y17" s="3173"/>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180"/>
      <c r="Q18" s="1675"/>
      <c r="R18" s="774"/>
      <c r="S18" s="775"/>
      <c r="T18" s="774"/>
      <c r="U18" s="775"/>
      <c r="V18" s="774"/>
      <c r="W18" s="775"/>
      <c r="X18" s="1678"/>
      <c r="Y18" s="3173"/>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0"/>
      <c r="Q19" s="1675" t="str">
        <f>B19</f>
        <v>公共配套设施</v>
      </c>
      <c r="R19" s="774" t="s">
        <v>21</v>
      </c>
      <c r="S19" s="775">
        <f>F19</f>
        <v>100</v>
      </c>
      <c r="T19" s="774" t="s">
        <v>21</v>
      </c>
      <c r="U19" s="775">
        <f>H19</f>
        <v>100</v>
      </c>
      <c r="V19" s="774" t="s">
        <v>21</v>
      </c>
      <c r="W19" s="775">
        <f>J19</f>
        <v>100</v>
      </c>
      <c r="X19" s="1678"/>
      <c r="Y19" s="3173"/>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180"/>
      <c r="Q20" s="1675"/>
      <c r="R20" s="774"/>
      <c r="S20" s="775"/>
      <c r="T20" s="774"/>
      <c r="U20" s="775"/>
      <c r="V20" s="774"/>
      <c r="W20" s="775"/>
      <c r="X20" s="1678"/>
      <c r="Y20" s="3173"/>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180"/>
      <c r="Q22" s="1675"/>
      <c r="R22" s="774"/>
      <c r="S22" s="775"/>
      <c r="T22" s="774"/>
      <c r="U22" s="775"/>
      <c r="V22" s="774"/>
      <c r="W22" s="775"/>
      <c r="X22" s="1678"/>
      <c r="Y22" s="3173"/>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0"/>
      <c r="Q23" s="1675" t="str">
        <f>B23</f>
        <v>自然及人文环境</v>
      </c>
      <c r="R23" s="774" t="s">
        <v>21</v>
      </c>
      <c r="S23" s="775">
        <f>F23</f>
        <v>100</v>
      </c>
      <c r="T23" s="774" t="s">
        <v>21</v>
      </c>
      <c r="U23" s="775">
        <f>H23</f>
        <v>100</v>
      </c>
      <c r="V23" s="774" t="s">
        <v>21</v>
      </c>
      <c r="W23" s="775">
        <f>J23</f>
        <v>100</v>
      </c>
      <c r="X23" s="1678"/>
      <c r="Y23" s="3173"/>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180"/>
      <c r="Q24" s="1675"/>
      <c r="R24" s="774"/>
      <c r="S24" s="775"/>
      <c r="T24" s="774"/>
      <c r="U24" s="775"/>
      <c r="V24" s="774"/>
      <c r="W24" s="775"/>
      <c r="X24" s="1678"/>
      <c r="Y24" s="3173"/>
      <c r="Z24" s="1679"/>
      <c r="AA24" s="1676">
        <v>1</v>
      </c>
      <c r="AB24" s="1676">
        <v>1</v>
      </c>
      <c r="AC24" s="1676">
        <v>1</v>
      </c>
    </row>
    <row r="25" spans="1:29" ht="15">
      <c r="A25" s="428"/>
      <c r="B25" s="422" t="s">
        <v>2560</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180"/>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73"/>
      <c r="Z25" s="1679" t="str">
        <f>Q25</f>
        <v>楼层-1</v>
      </c>
      <c r="AA25" s="1676">
        <f t="shared" ref="AA25:AA46" si="15">D25/F25</f>
        <v>1</v>
      </c>
      <c r="AB25" s="1676">
        <f t="shared" ref="AB25:AB46" si="16">D25/H25</f>
        <v>1</v>
      </c>
      <c r="AC25" s="1676">
        <f t="shared" ref="AC25:AC46" si="17">D25/J25</f>
        <v>1</v>
      </c>
    </row>
    <row r="26" spans="1:29" ht="15">
      <c r="A26" s="428"/>
      <c r="B26" s="422" t="s">
        <v>2561</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180"/>
      <c r="Q26" s="1675" t="str">
        <f t="shared" si="11"/>
        <v>朝向</v>
      </c>
      <c r="R26" s="774" t="s">
        <v>21</v>
      </c>
      <c r="S26" s="775">
        <f t="shared" si="12"/>
        <v>100</v>
      </c>
      <c r="T26" s="774" t="s">
        <v>21</v>
      </c>
      <c r="U26" s="775">
        <f t="shared" si="13"/>
        <v>100</v>
      </c>
      <c r="V26" s="774" t="s">
        <v>21</v>
      </c>
      <c r="W26" s="775">
        <f t="shared" si="14"/>
        <v>100</v>
      </c>
      <c r="X26" s="1678"/>
      <c r="Y26" s="3173"/>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180"/>
      <c r="Q27" s="1660">
        <f t="shared" si="11"/>
        <v>111</v>
      </c>
      <c r="R27" s="770" t="s">
        <v>21</v>
      </c>
      <c r="S27" s="771">
        <f t="shared" si="12"/>
        <v>100</v>
      </c>
      <c r="T27" s="770" t="s">
        <v>21</v>
      </c>
      <c r="U27" s="771">
        <f t="shared" si="13"/>
        <v>100</v>
      </c>
      <c r="V27" s="770" t="s">
        <v>21</v>
      </c>
      <c r="W27" s="771">
        <f t="shared" si="14"/>
        <v>100</v>
      </c>
      <c r="X27" s="772"/>
      <c r="Y27" s="3173"/>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180"/>
      <c r="Q28" s="1675">
        <f t="shared" si="11"/>
        <v>111</v>
      </c>
      <c r="R28" s="774" t="s">
        <v>21</v>
      </c>
      <c r="S28" s="775">
        <f t="shared" si="12"/>
        <v>100</v>
      </c>
      <c r="T28" s="774" t="s">
        <v>21</v>
      </c>
      <c r="U28" s="775">
        <f t="shared" si="13"/>
        <v>100</v>
      </c>
      <c r="V28" s="774" t="s">
        <v>21</v>
      </c>
      <c r="W28" s="775">
        <f t="shared" si="14"/>
        <v>100</v>
      </c>
      <c r="X28" s="1678"/>
      <c r="Y28" s="3173"/>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180"/>
      <c r="Q29" s="1675">
        <f t="shared" si="11"/>
        <v>111</v>
      </c>
      <c r="R29" s="774" t="s">
        <v>21</v>
      </c>
      <c r="S29" s="775">
        <f t="shared" si="12"/>
        <v>100</v>
      </c>
      <c r="T29" s="774" t="s">
        <v>21</v>
      </c>
      <c r="U29" s="775">
        <f t="shared" si="13"/>
        <v>100</v>
      </c>
      <c r="V29" s="774" t="s">
        <v>21</v>
      </c>
      <c r="W29" s="775">
        <f t="shared" si="14"/>
        <v>100</v>
      </c>
      <c r="X29" s="1678"/>
      <c r="Y29" s="3173"/>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180"/>
      <c r="Q30" s="1675">
        <f t="shared" si="11"/>
        <v>111</v>
      </c>
      <c r="R30" s="774" t="s">
        <v>21</v>
      </c>
      <c r="S30" s="775">
        <f t="shared" si="12"/>
        <v>100</v>
      </c>
      <c r="T30" s="774" t="s">
        <v>21</v>
      </c>
      <c r="U30" s="775">
        <f t="shared" si="13"/>
        <v>100</v>
      </c>
      <c r="V30" s="774" t="s">
        <v>21</v>
      </c>
      <c r="W30" s="775">
        <f t="shared" si="14"/>
        <v>100</v>
      </c>
      <c r="X30" s="1678"/>
      <c r="Y30" s="3173"/>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180"/>
      <c r="Q31" s="1675">
        <f t="shared" si="11"/>
        <v>111</v>
      </c>
      <c r="R31" s="774" t="s">
        <v>21</v>
      </c>
      <c r="S31" s="775">
        <f t="shared" si="12"/>
        <v>100</v>
      </c>
      <c r="T31" s="774" t="s">
        <v>21</v>
      </c>
      <c r="U31" s="775">
        <f t="shared" si="13"/>
        <v>100</v>
      </c>
      <c r="V31" s="774" t="s">
        <v>21</v>
      </c>
      <c r="W31" s="775">
        <f t="shared" si="14"/>
        <v>100</v>
      </c>
      <c r="X31" s="1678"/>
      <c r="Y31" s="3173"/>
      <c r="Z31" s="1679">
        <f t="shared" si="18"/>
        <v>111</v>
      </c>
      <c r="AA31" s="1676">
        <f t="shared" si="15"/>
        <v>1</v>
      </c>
      <c r="AB31" s="1676">
        <f t="shared" si="16"/>
        <v>1</v>
      </c>
      <c r="AC31" s="1676">
        <f t="shared" si="17"/>
        <v>1</v>
      </c>
    </row>
    <row r="32" spans="1:29" ht="15">
      <c r="A32" s="440" t="s">
        <v>2562</v>
      </c>
      <c r="B32" s="71" t="s">
        <v>2563</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174" t="s">
        <v>2564</v>
      </c>
      <c r="Q32" s="1675" t="str">
        <f t="shared" si="11"/>
        <v>建筑类型</v>
      </c>
      <c r="R32" s="774" t="s">
        <v>21</v>
      </c>
      <c r="S32" s="775">
        <f t="shared" si="12"/>
        <v>100</v>
      </c>
      <c r="T32" s="774" t="s">
        <v>21</v>
      </c>
      <c r="U32" s="775">
        <f t="shared" si="13"/>
        <v>100</v>
      </c>
      <c r="V32" s="774" t="s">
        <v>21</v>
      </c>
      <c r="W32" s="775">
        <f t="shared" si="14"/>
        <v>100</v>
      </c>
      <c r="X32" s="1678"/>
      <c r="Y32" s="3177" t="s">
        <v>2564</v>
      </c>
      <c r="Z32" s="1679" t="str">
        <f t="shared" si="18"/>
        <v>建筑类型</v>
      </c>
      <c r="AA32" s="1676">
        <f t="shared" si="15"/>
        <v>1</v>
      </c>
      <c r="AB32" s="1676">
        <f t="shared" si="16"/>
        <v>1</v>
      </c>
      <c r="AC32" s="167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175"/>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676" t="e">
        <f t="shared" si="15"/>
        <v>#N/A</v>
      </c>
      <c r="AB33" s="1676" t="e">
        <f t="shared" si="16"/>
        <v>#N/A</v>
      </c>
      <c r="AC33" s="1676" t="e">
        <f t="shared" si="17"/>
        <v>#N/A</v>
      </c>
    </row>
    <row r="34" spans="1:29" ht="15">
      <c r="A34" s="472"/>
      <c r="B34" s="422" t="s">
        <v>2566</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175"/>
      <c r="Q34" s="1675" t="str">
        <f t="shared" si="11"/>
        <v>建筑结构</v>
      </c>
      <c r="R34" s="774" t="s">
        <v>21</v>
      </c>
      <c r="S34" s="775">
        <f t="shared" si="12"/>
        <v>100</v>
      </c>
      <c r="T34" s="774" t="s">
        <v>21</v>
      </c>
      <c r="U34" s="775">
        <f t="shared" si="13"/>
        <v>100</v>
      </c>
      <c r="V34" s="774" t="s">
        <v>21</v>
      </c>
      <c r="W34" s="775">
        <f t="shared" si="14"/>
        <v>100</v>
      </c>
      <c r="X34" s="1678"/>
      <c r="Y34" s="3177"/>
      <c r="Z34" s="1679" t="str">
        <f t="shared" si="18"/>
        <v>建筑结构</v>
      </c>
      <c r="AA34" s="1676">
        <f t="shared" si="15"/>
        <v>1</v>
      </c>
      <c r="AB34" s="1676">
        <f t="shared" si="16"/>
        <v>1</v>
      </c>
      <c r="AC34" s="1676">
        <f t="shared" si="17"/>
        <v>1</v>
      </c>
    </row>
    <row r="35" spans="1:29" ht="15">
      <c r="A35" s="472"/>
      <c r="B35" s="422" t="s">
        <v>2567</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175"/>
      <c r="Q35" s="1675" t="str">
        <f t="shared" si="11"/>
        <v>建筑品质</v>
      </c>
      <c r="R35" s="774" t="s">
        <v>21</v>
      </c>
      <c r="S35" s="775">
        <f t="shared" si="12"/>
        <v>100</v>
      </c>
      <c r="T35" s="774" t="s">
        <v>21</v>
      </c>
      <c r="U35" s="775">
        <f t="shared" si="13"/>
        <v>100</v>
      </c>
      <c r="V35" s="774" t="s">
        <v>21</v>
      </c>
      <c r="W35" s="775">
        <f t="shared" si="14"/>
        <v>100</v>
      </c>
      <c r="X35" s="1678"/>
      <c r="Y35" s="3177"/>
      <c r="Z35" s="1679" t="str">
        <f t="shared" si="18"/>
        <v>建筑品质</v>
      </c>
      <c r="AA35" s="1676">
        <f t="shared" si="15"/>
        <v>1</v>
      </c>
      <c r="AB35" s="1676">
        <f t="shared" si="16"/>
        <v>1</v>
      </c>
      <c r="AC35" s="1676">
        <f t="shared" si="17"/>
        <v>1</v>
      </c>
    </row>
    <row r="36" spans="1:29" ht="15">
      <c r="A36" s="472"/>
      <c r="B36" s="422" t="s">
        <v>2568</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175"/>
      <c r="Q36" s="1675" t="str">
        <f t="shared" si="11"/>
        <v>公共部分装修</v>
      </c>
      <c r="R36" s="774" t="s">
        <v>21</v>
      </c>
      <c r="S36" s="775">
        <f t="shared" si="12"/>
        <v>100</v>
      </c>
      <c r="T36" s="774" t="s">
        <v>21</v>
      </c>
      <c r="U36" s="775">
        <f t="shared" si="13"/>
        <v>100</v>
      </c>
      <c r="V36" s="774" t="s">
        <v>21</v>
      </c>
      <c r="W36" s="775">
        <f t="shared" si="14"/>
        <v>100</v>
      </c>
      <c r="X36" s="1678"/>
      <c r="Y36" s="3177"/>
      <c r="Z36" s="1679" t="str">
        <f t="shared" si="18"/>
        <v>公共部分装修</v>
      </c>
      <c r="AA36" s="1676">
        <f t="shared" si="15"/>
        <v>1</v>
      </c>
      <c r="AB36" s="1676">
        <f t="shared" si="16"/>
        <v>1</v>
      </c>
      <c r="AC36" s="167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5"/>
      <c r="Q37" s="1660"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2570</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175" t="s">
        <v>2564</v>
      </c>
      <c r="Q38" s="1675" t="str">
        <f t="shared" si="11"/>
        <v>物业管理</v>
      </c>
      <c r="R38" s="774" t="s">
        <v>21</v>
      </c>
      <c r="S38" s="775">
        <f t="shared" si="12"/>
        <v>100</v>
      </c>
      <c r="T38" s="774" t="s">
        <v>21</v>
      </c>
      <c r="U38" s="775">
        <f t="shared" si="13"/>
        <v>100</v>
      </c>
      <c r="V38" s="774" t="s">
        <v>21</v>
      </c>
      <c r="W38" s="775">
        <f t="shared" si="14"/>
        <v>100</v>
      </c>
      <c r="X38" s="1678"/>
      <c r="Y38" s="3177" t="s">
        <v>2564</v>
      </c>
      <c r="Z38" s="1679" t="str">
        <f t="shared" si="18"/>
        <v>物业管理</v>
      </c>
      <c r="AA38" s="1676">
        <f t="shared" si="15"/>
        <v>1</v>
      </c>
      <c r="AB38" s="1676">
        <f t="shared" si="16"/>
        <v>1</v>
      </c>
      <c r="AC38" s="1676">
        <f t="shared" si="17"/>
        <v>1</v>
      </c>
    </row>
    <row r="39" spans="1:29" ht="15">
      <c r="A39" s="472"/>
      <c r="B39" s="422" t="s">
        <v>2571</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175"/>
      <c r="Q39" s="1675" t="str">
        <f t="shared" si="11"/>
        <v>市政基础设施</v>
      </c>
      <c r="R39" s="774" t="s">
        <v>21</v>
      </c>
      <c r="S39" s="775">
        <f t="shared" si="12"/>
        <v>100</v>
      </c>
      <c r="T39" s="774" t="s">
        <v>21</v>
      </c>
      <c r="U39" s="775">
        <f t="shared" si="13"/>
        <v>100</v>
      </c>
      <c r="V39" s="774" t="s">
        <v>21</v>
      </c>
      <c r="W39" s="775">
        <f t="shared" si="14"/>
        <v>100</v>
      </c>
      <c r="X39" s="1678"/>
      <c r="Y39" s="3177"/>
      <c r="Z39" s="1679" t="str">
        <f t="shared" si="18"/>
        <v>市政基础设施</v>
      </c>
      <c r="AA39" s="1676">
        <f t="shared" si="15"/>
        <v>1</v>
      </c>
      <c r="AB39" s="1676">
        <f t="shared" si="16"/>
        <v>1</v>
      </c>
      <c r="AC39" s="1676">
        <f t="shared" si="17"/>
        <v>1</v>
      </c>
    </row>
    <row r="40" spans="1:29" ht="15">
      <c r="A40" s="472"/>
      <c r="B40" s="422" t="s">
        <v>2572</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175"/>
      <c r="Q40" s="1675" t="str">
        <f t="shared" si="11"/>
        <v>房型</v>
      </c>
      <c r="R40" s="774" t="s">
        <v>21</v>
      </c>
      <c r="S40" s="775">
        <f t="shared" si="12"/>
        <v>100</v>
      </c>
      <c r="T40" s="774" t="s">
        <v>21</v>
      </c>
      <c r="U40" s="775">
        <f t="shared" si="13"/>
        <v>100</v>
      </c>
      <c r="V40" s="774" t="s">
        <v>21</v>
      </c>
      <c r="W40" s="775">
        <f t="shared" si="14"/>
        <v>100</v>
      </c>
      <c r="X40" s="1678"/>
      <c r="Y40" s="3177"/>
      <c r="Z40" s="1679" t="str">
        <f t="shared" si="18"/>
        <v>房型</v>
      </c>
      <c r="AA40" s="1676">
        <f t="shared" si="15"/>
        <v>1</v>
      </c>
      <c r="AB40" s="1676">
        <f t="shared" si="16"/>
        <v>1</v>
      </c>
      <c r="AC40" s="167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175"/>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676">
        <f t="shared" si="15"/>
        <v>1</v>
      </c>
      <c r="AB41" s="1676">
        <f t="shared" si="16"/>
        <v>1</v>
      </c>
      <c r="AC41" s="1676">
        <f t="shared" si="17"/>
        <v>1</v>
      </c>
    </row>
    <row r="42" spans="1:29" ht="15">
      <c r="A42" s="472"/>
      <c r="B42" s="422" t="s">
        <v>2574</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175"/>
      <c r="Q42" s="1675" t="str">
        <f t="shared" si="11"/>
        <v>内部装修</v>
      </c>
      <c r="R42" s="774" t="s">
        <v>21</v>
      </c>
      <c r="S42" s="775">
        <f t="shared" si="12"/>
        <v>100</v>
      </c>
      <c r="T42" s="774" t="s">
        <v>21</v>
      </c>
      <c r="U42" s="775">
        <f t="shared" si="13"/>
        <v>100</v>
      </c>
      <c r="V42" s="774" t="s">
        <v>21</v>
      </c>
      <c r="W42" s="775">
        <f t="shared" si="14"/>
        <v>100</v>
      </c>
      <c r="X42" s="1678"/>
      <c r="Y42" s="3177"/>
      <c r="Z42" s="1679" t="str">
        <f t="shared" si="18"/>
        <v>内部装修</v>
      </c>
      <c r="AA42" s="1676">
        <f t="shared" si="15"/>
        <v>1</v>
      </c>
      <c r="AB42" s="1676">
        <f t="shared" si="16"/>
        <v>1</v>
      </c>
      <c r="AC42" s="1676">
        <f t="shared" si="17"/>
        <v>1</v>
      </c>
    </row>
    <row r="43" spans="1:29" ht="15">
      <c r="A43" s="472"/>
      <c r="B43" s="422" t="s">
        <v>2575</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175"/>
      <c r="Q43" s="1675" t="str">
        <f t="shared" si="11"/>
        <v>内部装修维护情况</v>
      </c>
      <c r="R43" s="774" t="s">
        <v>21</v>
      </c>
      <c r="S43" s="775">
        <f t="shared" si="12"/>
        <v>100</v>
      </c>
      <c r="T43" s="774" t="s">
        <v>21</v>
      </c>
      <c r="U43" s="775">
        <f t="shared" si="13"/>
        <v>100</v>
      </c>
      <c r="V43" s="774" t="s">
        <v>21</v>
      </c>
      <c r="W43" s="775">
        <f t="shared" si="14"/>
        <v>100</v>
      </c>
      <c r="X43" s="1678"/>
      <c r="Y43" s="3177"/>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175"/>
      <c r="Q44" s="1660">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175"/>
      <c r="Q45" s="1675">
        <f t="shared" si="11"/>
        <v>111</v>
      </c>
      <c r="R45" s="774" t="s">
        <v>21</v>
      </c>
      <c r="S45" s="775">
        <f t="shared" si="12"/>
        <v>100</v>
      </c>
      <c r="T45" s="774" t="s">
        <v>21</v>
      </c>
      <c r="U45" s="775">
        <f t="shared" si="13"/>
        <v>100</v>
      </c>
      <c r="V45" s="774" t="s">
        <v>21</v>
      </c>
      <c r="W45" s="775">
        <f t="shared" si="14"/>
        <v>100</v>
      </c>
      <c r="X45" s="1678"/>
      <c r="Y45" s="3177"/>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176"/>
      <c r="Q46" s="1675">
        <f t="shared" si="11"/>
        <v>111</v>
      </c>
      <c r="R46" s="774" t="s">
        <v>20</v>
      </c>
      <c r="S46" s="775">
        <f t="shared" si="12"/>
        <v>100</v>
      </c>
      <c r="T46" s="774" t="s">
        <v>20</v>
      </c>
      <c r="U46" s="775">
        <f t="shared" si="13"/>
        <v>100</v>
      </c>
      <c r="V46" s="774" t="s">
        <v>20</v>
      </c>
      <c r="W46" s="775">
        <f t="shared" si="14"/>
        <v>100</v>
      </c>
      <c r="X46" s="1678"/>
      <c r="Y46" s="3178"/>
      <c r="Z46" s="1679">
        <f t="shared" si="18"/>
        <v>111</v>
      </c>
      <c r="AA46" s="1676">
        <f t="shared" si="15"/>
        <v>1</v>
      </c>
      <c r="AB46" s="1676">
        <f t="shared" si="16"/>
        <v>1</v>
      </c>
      <c r="AC46" s="1676">
        <f t="shared" si="17"/>
        <v>1</v>
      </c>
    </row>
    <row r="47" spans="1:29" ht="15">
      <c r="A47" s="479" t="s">
        <v>2576</v>
      </c>
      <c r="B47" s="480"/>
      <c r="C47" s="1407" t="s">
        <v>19</v>
      </c>
      <c r="D47" s="1408"/>
      <c r="E47" s="1409"/>
      <c r="F47" s="1410"/>
      <c r="G47" s="1411"/>
      <c r="H47" s="1412"/>
      <c r="I47" s="1409"/>
      <c r="J47" s="1412"/>
      <c r="K47" s="2488"/>
      <c r="L47" s="1143"/>
      <c r="M47" s="1144"/>
      <c r="N47" s="1131"/>
      <c r="O47" s="1144"/>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489"/>
      <c r="L48" s="1143"/>
      <c r="M48" s="1144"/>
      <c r="N48" s="1144"/>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490"/>
      <c r="L49" s="1143"/>
      <c r="M49" s="1144"/>
      <c r="N49" s="1144"/>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493"/>
      <c r="Q57" s="504"/>
    </row>
    <row r="58" spans="1:29" s="508" customFormat="1" ht="15">
      <c r="A58" s="505" t="s">
        <v>2583</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2584</v>
      </c>
      <c r="B60" s="516"/>
      <c r="C60" s="517"/>
      <c r="D60" s="518"/>
      <c r="E60" s="518"/>
      <c r="F60" s="518"/>
      <c r="G60" s="518"/>
      <c r="H60" s="518"/>
      <c r="I60" s="518"/>
      <c r="J60" s="518"/>
      <c r="K60" s="518"/>
      <c r="L60" s="518"/>
      <c r="M60" s="519"/>
      <c r="N60" s="518"/>
      <c r="O60" s="519"/>
      <c r="P60" s="2495"/>
      <c r="Q60" s="504"/>
    </row>
    <row r="61" spans="1:29" s="117" customFormat="1" ht="15">
      <c r="A61" s="521" t="s">
        <v>2585</v>
      </c>
      <c r="B61" s="510"/>
      <c r="C61" s="522" t="s">
        <v>2586</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2609</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2610</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2562</v>
      </c>
      <c r="B100" s="528" t="s">
        <v>2611</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2613</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2614</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2615</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2616</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2617</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2618</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2619</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2621</v>
      </c>
    </row>
    <row r="137" spans="1:17" ht="15">
      <c r="B137" s="2505" t="s">
        <v>2622</v>
      </c>
      <c r="C137" s="2506"/>
      <c r="D137" s="2506"/>
      <c r="E137" s="2506"/>
      <c r="F137" s="2506"/>
      <c r="G137" s="2507"/>
      <c r="H137" s="2508"/>
      <c r="I137" s="2509" t="s">
        <v>2623</v>
      </c>
      <c r="J137" s="2506"/>
      <c r="K137" s="2510"/>
    </row>
    <row r="138" spans="1:17" ht="15">
      <c r="B138" s="2511"/>
      <c r="C138" s="146" t="s">
        <v>2624</v>
      </c>
      <c r="D138" s="146" t="s">
        <v>2625</v>
      </c>
      <c r="E138" s="2512" t="s">
        <v>2626</v>
      </c>
      <c r="F138" s="2513" t="s">
        <v>2627</v>
      </c>
      <c r="G138" s="146" t="s">
        <v>2625</v>
      </c>
      <c r="H138" s="147" t="s">
        <v>2626</v>
      </c>
      <c r="I138" s="2514"/>
      <c r="J138" s="146" t="s">
        <v>2628</v>
      </c>
      <c r="K138" s="147" t="s">
        <v>2629</v>
      </c>
    </row>
    <row r="139" spans="1:17" ht="15">
      <c r="B139" s="1084">
        <v>6</v>
      </c>
      <c r="C139" s="1085">
        <v>96</v>
      </c>
      <c r="D139" s="2515" t="s">
        <v>2630</v>
      </c>
      <c r="E139" s="1086">
        <v>100</v>
      </c>
      <c r="F139" s="1087">
        <v>102.5</v>
      </c>
      <c r="G139" s="2515" t="s">
        <v>2630</v>
      </c>
      <c r="H139" s="1088">
        <v>105</v>
      </c>
      <c r="I139" s="2516" t="s">
        <v>2631</v>
      </c>
      <c r="J139" s="1085">
        <v>20</v>
      </c>
      <c r="K139" s="1089">
        <f>C145/(J139-2)</f>
        <v>4.0555555555555553E-3</v>
      </c>
    </row>
    <row r="140" spans="1:17" ht="15">
      <c r="B140" s="1090">
        <v>5</v>
      </c>
      <c r="C140" s="1091">
        <v>100</v>
      </c>
      <c r="D140" s="1091"/>
      <c r="E140" s="1092"/>
      <c r="F140" s="1093">
        <v>102</v>
      </c>
      <c r="G140" s="1091"/>
      <c r="H140" s="1094"/>
      <c r="I140" s="2517" t="s">
        <v>2632</v>
      </c>
      <c r="J140" s="315">
        <f>ROUNDUP((J139-1)/2,0)</f>
        <v>10</v>
      </c>
      <c r="K140" s="1095">
        <v>100</v>
      </c>
    </row>
    <row r="141" spans="1:17" ht="15">
      <c r="B141" s="1090">
        <v>4</v>
      </c>
      <c r="C141" s="1091">
        <v>102</v>
      </c>
      <c r="D141" s="1091"/>
      <c r="E141" s="1092"/>
      <c r="F141" s="1093">
        <v>101.5</v>
      </c>
      <c r="G141" s="1091"/>
      <c r="H141" s="1094"/>
      <c r="I141" s="2517" t="s">
        <v>2633</v>
      </c>
      <c r="J141" s="315">
        <v>1</v>
      </c>
      <c r="K141" s="1096">
        <f>ROUND(100+(J141-J140)*K139*100,1)</f>
        <v>96.4</v>
      </c>
    </row>
    <row r="142" spans="1:17" ht="15">
      <c r="B142" s="1090">
        <v>3</v>
      </c>
      <c r="C142" s="1091">
        <v>103</v>
      </c>
      <c r="D142" s="1091"/>
      <c r="E142" s="1092"/>
      <c r="F142" s="1093">
        <v>101</v>
      </c>
      <c r="G142" s="1091"/>
      <c r="H142" s="1094"/>
      <c r="I142" s="2517" t="s">
        <v>2634</v>
      </c>
      <c r="J142" s="315">
        <f>J139</f>
        <v>20</v>
      </c>
      <c r="K142" s="1097">
        <v>95</v>
      </c>
    </row>
    <row r="143" spans="1:17" ht="15">
      <c r="B143" s="1090">
        <v>2</v>
      </c>
      <c r="C143" s="1091">
        <v>100</v>
      </c>
      <c r="D143" s="1091"/>
      <c r="E143" s="1092"/>
      <c r="F143" s="1093">
        <v>100.5</v>
      </c>
      <c r="G143" s="1091"/>
      <c r="H143" s="1094"/>
      <c r="I143" s="2517" t="s">
        <v>2635</v>
      </c>
      <c r="J143" s="1091">
        <v>15</v>
      </c>
      <c r="K143" s="1096">
        <f>ROUND(100+(J143-J140)*K139*100,1)</f>
        <v>102</v>
      </c>
    </row>
    <row r="144" spans="1:17" ht="15">
      <c r="B144" s="1090">
        <v>1</v>
      </c>
      <c r="C144" s="1091">
        <v>98</v>
      </c>
      <c r="D144" s="2518" t="s">
        <v>2636</v>
      </c>
      <c r="E144" s="1092">
        <v>102</v>
      </c>
      <c r="F144" s="1098">
        <v>100</v>
      </c>
      <c r="G144" s="2518" t="s">
        <v>2636</v>
      </c>
      <c r="H144" s="1094">
        <v>105</v>
      </c>
      <c r="I144" s="2517" t="s">
        <v>2635</v>
      </c>
      <c r="J144" s="1091">
        <v>18</v>
      </c>
      <c r="K144" s="1096">
        <f>ROUND(100+(J144-J140)*K139*100,1)</f>
        <v>103.2</v>
      </c>
    </row>
    <row r="145" spans="2:11" ht="15.75" thickBot="1">
      <c r="B145" s="2519" t="s">
        <v>2637</v>
      </c>
      <c r="C145" s="1099">
        <f>ROUND(MAX(C139:C144)/MIN(C139:C144)-1,3)</f>
        <v>7.2999999999999995E-2</v>
      </c>
      <c r="D145" s="1100"/>
      <c r="E145" s="1100"/>
      <c r="F145" s="2520" t="s">
        <v>2638</v>
      </c>
      <c r="G145" s="2521"/>
      <c r="H145" s="2522"/>
      <c r="I145" s="2523" t="s">
        <v>2635</v>
      </c>
      <c r="J145" s="1101">
        <v>8</v>
      </c>
      <c r="K145" s="1102">
        <f>ROUND(100+(J145-J140)*K139*100,1)</f>
        <v>99.2</v>
      </c>
    </row>
    <row r="147" spans="2:11">
      <c r="B147" s="2504" t="s">
        <v>2639</v>
      </c>
    </row>
    <row r="148" spans="2:11">
      <c r="B148" s="250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56" sqref="C56"/>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2803</v>
      </c>
      <c r="B1" s="241"/>
      <c r="C1" s="245" t="s">
        <v>2804</v>
      </c>
      <c r="D1" s="388">
        <f>SUM(D29:D30,D33:D39)</f>
        <v>4881.9800000000005</v>
      </c>
      <c r="E1" s="2584"/>
      <c r="F1" s="2584"/>
      <c r="G1" s="2584"/>
      <c r="H1" s="2584"/>
      <c r="I1" s="2584"/>
      <c r="J1" s="2584"/>
      <c r="K1" s="1370"/>
      <c r="L1" s="2585" t="s">
        <v>2805</v>
      </c>
      <c r="M1" s="1080">
        <f>SUMPRODUCT((区片价!B5:B9=I2)*(区片价!C3:F3=E2)*(区片价!C5:F9))</f>
        <v>0</v>
      </c>
      <c r="N1" s="1083">
        <f>SUMPRODUCT((因素修正幅度!B5:B9=I2)*(因素修正幅度!C3:F3=E2)*(因素修正幅度!C5:F9))</f>
        <v>0</v>
      </c>
      <c r="O1" s="2586"/>
      <c r="P1" s="2586"/>
      <c r="Q1" s="1370"/>
      <c r="R1" s="1486" t="s">
        <v>2806</v>
      </c>
      <c r="S1" s="1486" t="s">
        <v>2807</v>
      </c>
      <c r="T1" s="1486" t="s">
        <v>2808</v>
      </c>
      <c r="U1" s="1486" t="s">
        <v>2809</v>
      </c>
      <c r="V1" s="1486" t="s">
        <v>2810</v>
      </c>
      <c r="W1" s="1490"/>
      <c r="X1" s="1490"/>
      <c r="Y1" s="1490"/>
      <c r="Z1" s="1490"/>
      <c r="AA1" s="1490"/>
      <c r="AB1" s="1490"/>
      <c r="AC1" s="1491"/>
      <c r="AD1" s="1492"/>
      <c r="AE1" s="1492"/>
      <c r="AF1" s="1492"/>
      <c r="AG1" s="1492"/>
      <c r="AH1" s="1492"/>
      <c r="AI1" s="1492"/>
      <c r="AJ1" s="1493"/>
    </row>
    <row r="2" spans="1:36" ht="15.75">
      <c r="A2" s="245" t="s">
        <v>2811</v>
      </c>
      <c r="B2" s="248">
        <f ca="1">C26</f>
        <v>6984</v>
      </c>
      <c r="C2" s="2588" t="s">
        <v>2812</v>
      </c>
      <c r="D2" s="2589" t="s">
        <v>2813</v>
      </c>
      <c r="E2" s="2590" t="s">
        <v>1372</v>
      </c>
      <c r="F2" s="2589" t="s">
        <v>2814</v>
      </c>
      <c r="G2" s="2591" t="str">
        <f>IF(E2="商业",项目基本情况!B37,IF(E2="办公",项目基本情况!C37,IF(E2="住宅",项目基本情况!D37,项目基本情况!E37)))</f>
        <v>五级</v>
      </c>
      <c r="H2" s="2589" t="s">
        <v>2815</v>
      </c>
      <c r="I2" s="2591" t="str">
        <f>IF(E2="商业",项目基本情况!B38,IF(E2="办公",项目基本情况!C38,IF(E2="住宅",项目基本情况!D38,项目基本情况!E38)))</f>
        <v>Ⅴ-26</v>
      </c>
      <c r="J2" s="2592"/>
      <c r="K2" s="1370"/>
      <c r="L2" s="2593" t="s">
        <v>2816</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26567</v>
      </c>
      <c r="U2" s="1487">
        <f>'数据-基础表'!I13</f>
        <v>1330.07</v>
      </c>
      <c r="V2" s="1486">
        <f ca="1">ROUND(T2*U2/10000,0)</f>
        <v>3534</v>
      </c>
      <c r="W2" s="1490"/>
      <c r="X2" s="1490"/>
      <c r="Y2" s="1490"/>
      <c r="Z2" s="1490"/>
      <c r="AA2" s="1490"/>
      <c r="AB2" s="1490"/>
      <c r="AC2" s="1491"/>
      <c r="AD2" s="1492"/>
      <c r="AE2" s="1492"/>
      <c r="AF2" s="1492"/>
      <c r="AG2" s="1492"/>
      <c r="AH2" s="1492"/>
      <c r="AI2" s="1492"/>
      <c r="AJ2" s="1493"/>
    </row>
    <row r="3" spans="1:36" ht="15.75">
      <c r="A3" s="247" t="s">
        <v>2817</v>
      </c>
      <c r="B3" s="248">
        <f ca="1">ROUND(B2*10000/D1,0)</f>
        <v>14306</v>
      </c>
      <c r="C3" s="2588" t="s">
        <v>2818</v>
      </c>
      <c r="D3" s="2589" t="s">
        <v>2819</v>
      </c>
      <c r="E3" s="2594" t="s">
        <v>3077</v>
      </c>
      <c r="F3" s="2595" t="s">
        <v>2820</v>
      </c>
      <c r="G3" s="916">
        <f>IF(F3="宗地容积率",'数据-汇总表'!I4,IF(F3="估价对象容积率",'数据-汇总表'!I6,'数据-汇总表'!I7))</f>
        <v>1.64</v>
      </c>
      <c r="H3" s="198" t="s">
        <v>2821</v>
      </c>
      <c r="I3" s="944">
        <v>3</v>
      </c>
      <c r="J3" s="2592" t="s">
        <v>2822</v>
      </c>
      <c r="K3" s="1370"/>
      <c r="L3" s="2593" t="s">
        <v>2823</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19070</v>
      </c>
      <c r="U3" s="1487">
        <f>'数据-基础表'!I14</f>
        <v>968.83</v>
      </c>
      <c r="V3" s="1486">
        <f t="shared" ref="V3:V16" ca="1" si="1">ROUND(T3*U3/10000,0)</f>
        <v>1848</v>
      </c>
      <c r="W3" s="1490"/>
      <c r="X3" s="1490"/>
      <c r="Y3" s="1490"/>
      <c r="Z3" s="1490"/>
      <c r="AA3" s="1490"/>
      <c r="AB3" s="1490"/>
      <c r="AC3" s="1491"/>
      <c r="AD3" s="1492"/>
      <c r="AE3" s="1492"/>
      <c r="AF3" s="1492"/>
      <c r="AG3" s="1492"/>
      <c r="AH3" s="1492"/>
      <c r="AI3" s="1492"/>
      <c r="AJ3" s="1493"/>
    </row>
    <row r="4" spans="1:36" ht="15.75">
      <c r="A4" s="3216"/>
      <c r="B4" s="3217"/>
      <c r="C4" s="3217"/>
      <c r="D4" s="3218"/>
      <c r="E4" s="3218"/>
      <c r="F4" s="3218"/>
      <c r="G4" s="3218"/>
      <c r="H4" s="3218"/>
      <c r="I4" s="3218"/>
      <c r="J4" s="3219"/>
      <c r="K4" s="1370"/>
      <c r="L4" s="2593" t="s">
        <v>2824</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15385</v>
      </c>
      <c r="U4" s="1487">
        <f>'数据-基础表'!I15</f>
        <v>630.64</v>
      </c>
      <c r="V4" s="1486">
        <f t="shared" ca="1" si="1"/>
        <v>970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2825</v>
      </c>
      <c r="C5" s="917">
        <f>ROUND(IF(E2="商业",C6*C7+C16,(IF(E2="住宅",C6*C12+C16,C6+C16))),0)</f>
        <v>12960</v>
      </c>
      <c r="D5" s="1656">
        <f>ROUND(C6+C16,0)</f>
        <v>12960</v>
      </c>
      <c r="E5" s="1656"/>
      <c r="F5" s="2598"/>
      <c r="G5" s="2599"/>
      <c r="H5" s="2599"/>
      <c r="I5" s="2599"/>
      <c r="J5" s="2600"/>
      <c r="K5" s="2601"/>
      <c r="L5" s="2593" t="s">
        <v>2826</v>
      </c>
      <c r="M5" s="1081">
        <f>SUMPRODUCT((区片价!B76:B109=I2)*(区片价!C3:F3=E2)*(区片价!C76:F109))</f>
        <v>12960</v>
      </c>
      <c r="N5" s="1083">
        <f>SUMPRODUCT((因素修正幅度!B76:B109=I2)*(因素修正幅度!C3:F3=E2)*(因素修正幅度!C76:F109))</f>
        <v>9.8000000000000004E-2</v>
      </c>
      <c r="O5" s="1370"/>
      <c r="P5" s="1370"/>
      <c r="Q5" s="1370"/>
      <c r="R5" s="1486">
        <v>4</v>
      </c>
      <c r="S5" s="1486">
        <f>ROUND(IF(G3&gt;1,IF(R5&lt;7,SUMPRODUCT((B93:B98=R5)*(C92:N92=G2)*(C93:N98)),SUMIF(C92:N92,G2,C100:N100)),IF(R5&lt;7,SUMPRODUCT((B102:B107=R5)*(C92:N92=G2)*(C102:N107)),SUMIF(C92:N92,G2,C109:N109))),4)</f>
        <v>0.86560000000000004</v>
      </c>
      <c r="T5" s="1486">
        <f t="shared" ca="1" si="0"/>
        <v>12344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2827</v>
      </c>
      <c r="B6" s="2607" t="s">
        <v>2828</v>
      </c>
      <c r="C6" s="918">
        <f>SUMIF(L1:L12,G2,M1:M12)</f>
        <v>12960</v>
      </c>
      <c r="D6" s="2608" t="s">
        <v>2829</v>
      </c>
      <c r="E6" s="2609"/>
      <c r="F6" s="2609"/>
      <c r="G6" s="2610"/>
      <c r="H6" s="2610"/>
      <c r="I6" s="2610"/>
      <c r="J6" s="2611"/>
      <c r="K6" s="1707"/>
      <c r="L6" s="2593" t="s">
        <v>2830</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10512</v>
      </c>
      <c r="U6" s="1487"/>
      <c r="V6" s="1486">
        <f t="shared" ca="1" si="1"/>
        <v>0</v>
      </c>
      <c r="W6" s="1490"/>
      <c r="X6" s="1490"/>
      <c r="Y6" s="1490"/>
      <c r="Z6" s="1490"/>
      <c r="AA6" s="1490"/>
      <c r="AB6" s="1490"/>
      <c r="AC6" s="2602"/>
      <c r="AD6" s="2603"/>
      <c r="AE6" s="2603"/>
      <c r="AF6" s="2603"/>
      <c r="AG6" s="2603"/>
      <c r="AH6" s="2603"/>
      <c r="AI6" s="2603"/>
      <c r="AJ6" s="2604"/>
    </row>
    <row r="7" spans="1:36" ht="24">
      <c r="A7" s="3220" t="str">
        <f>IF(E2="商业",IF(C8="不临58条商业街","",2),"")</f>
        <v/>
      </c>
      <c r="B7" s="2612" t="s">
        <v>2831</v>
      </c>
      <c r="C7" s="919">
        <f>IF(C8="不临58条商业街",1,ROUND(1+(1.6*E8+1.2*E9+0.8*E10+0.4*E11)*C9,4))</f>
        <v>1</v>
      </c>
      <c r="D7" s="2613" t="s">
        <v>2832</v>
      </c>
      <c r="E7" s="945"/>
      <c r="F7" s="2614"/>
      <c r="G7" s="2615"/>
      <c r="H7" s="2615"/>
      <c r="I7" s="2615"/>
      <c r="J7" s="2616"/>
      <c r="K7" s="1707"/>
      <c r="L7" s="2593" t="s">
        <v>2833</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9244</v>
      </c>
      <c r="U7" s="1487"/>
      <c r="V7" s="1486">
        <f t="shared" ca="1" si="1"/>
        <v>0</v>
      </c>
      <c r="W7" s="1681" t="s">
        <v>2834</v>
      </c>
      <c r="X7" s="1488" t="str">
        <f>G2</f>
        <v>五级</v>
      </c>
      <c r="Y7" s="1488" t="s">
        <v>2835</v>
      </c>
      <c r="Z7" s="1489">
        <f>G3</f>
        <v>1.64</v>
      </c>
      <c r="AA7" s="1490"/>
      <c r="AB7" s="1490"/>
      <c r="AC7" s="1491"/>
      <c r="AD7" s="1492"/>
      <c r="AE7" s="1492"/>
      <c r="AF7" s="1492"/>
      <c r="AG7" s="1492"/>
      <c r="AH7" s="1492"/>
      <c r="AI7" s="1492"/>
      <c r="AJ7" s="1493"/>
    </row>
    <row r="8" spans="1:36" ht="25.5">
      <c r="A8" s="3221"/>
      <c r="B8" s="198" t="s">
        <v>2836</v>
      </c>
      <c r="C8" s="2617" t="s">
        <v>3069</v>
      </c>
      <c r="D8" s="920" t="s">
        <v>139</v>
      </c>
      <c r="E8" s="921" t="e">
        <f>ROUND(C11/E7,4)</f>
        <v>#DIV/0!</v>
      </c>
      <c r="F8" s="2618" t="s">
        <v>2837</v>
      </c>
      <c r="G8" s="2619"/>
      <c r="H8" s="2619"/>
      <c r="I8" s="2619"/>
      <c r="J8" s="2620"/>
      <c r="K8" s="1370"/>
      <c r="L8" s="2593" t="s">
        <v>2838</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13" t="s">
        <v>2839</v>
      </c>
      <c r="X8" s="3214"/>
      <c r="Y8" s="1494" t="s">
        <v>2840</v>
      </c>
      <c r="Z8" s="1494" t="s">
        <v>2841</v>
      </c>
      <c r="AA8" s="1494" t="s">
        <v>2842</v>
      </c>
      <c r="AB8" s="1494" t="s">
        <v>2843</v>
      </c>
      <c r="AC8" s="1494" t="s">
        <v>2844</v>
      </c>
      <c r="AD8" s="1494" t="s">
        <v>2845</v>
      </c>
      <c r="AE8" s="1494" t="s">
        <v>2846</v>
      </c>
      <c r="AF8" s="1494" t="s">
        <v>2847</v>
      </c>
      <c r="AG8" s="1494" t="s">
        <v>2848</v>
      </c>
      <c r="AH8" s="1494" t="s">
        <v>2849</v>
      </c>
      <c r="AI8" s="1494" t="s">
        <v>2850</v>
      </c>
      <c r="AJ8" s="1494" t="s">
        <v>2851</v>
      </c>
    </row>
    <row r="9" spans="1:36" ht="15">
      <c r="A9" s="3221"/>
      <c r="B9" s="198" t="s">
        <v>2852</v>
      </c>
      <c r="C9" s="922">
        <f>SUMIF(修正!C59:C119,C8,修正!E59:E119)</f>
        <v>0</v>
      </c>
      <c r="D9" s="200" t="s">
        <v>140</v>
      </c>
      <c r="E9" s="200" t="e">
        <f>ROUND(C11/E7,4)</f>
        <v>#DIV/0!</v>
      </c>
      <c r="F9" s="2618" t="s">
        <v>2853</v>
      </c>
      <c r="G9" s="2619"/>
      <c r="H9" s="2619"/>
      <c r="I9" s="2619"/>
      <c r="J9" s="2620"/>
      <c r="K9" s="1370"/>
      <c r="L9" s="2593" t="s">
        <v>2854</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15" t="s">
        <v>2855</v>
      </c>
      <c r="X9" s="1495" t="s">
        <v>2856</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21"/>
      <c r="B10" s="198" t="s">
        <v>2857</v>
      </c>
      <c r="C10" s="200">
        <f>SUMIF(修正!C59:C119,C8,修正!F59:F119)</f>
        <v>0</v>
      </c>
      <c r="D10" s="200" t="s">
        <v>141</v>
      </c>
      <c r="E10" s="200" t="e">
        <f>ROUND(C11/E7,4)</f>
        <v>#DIV/0!</v>
      </c>
      <c r="F10" s="2618" t="s">
        <v>2858</v>
      </c>
      <c r="G10" s="2619"/>
      <c r="H10" s="2619"/>
      <c r="I10" s="2619"/>
      <c r="J10" s="2620"/>
      <c r="K10" s="1370"/>
      <c r="L10" s="2593" t="s">
        <v>2859</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15"/>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21"/>
      <c r="B11" s="2621" t="s">
        <v>2860</v>
      </c>
      <c r="C11" s="923">
        <f>C10/4</f>
        <v>0</v>
      </c>
      <c r="D11" s="923" t="s">
        <v>142</v>
      </c>
      <c r="E11" s="923" t="e">
        <f>ROUND(C11/E7,4)</f>
        <v>#DIV/0!</v>
      </c>
      <c r="F11" s="2622" t="s">
        <v>2861</v>
      </c>
      <c r="G11" s="2623"/>
      <c r="H11" s="2623"/>
      <c r="I11" s="2623"/>
      <c r="J11" s="2624"/>
      <c r="K11" s="1370"/>
      <c r="L11" s="2593" t="s">
        <v>2862</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15" t="s">
        <v>2863</v>
      </c>
      <c r="X11" s="1498" t="s">
        <v>2864</v>
      </c>
      <c r="Y11" s="1499">
        <f>$G$3</f>
        <v>1.64</v>
      </c>
      <c r="Z11" s="1499">
        <f t="shared" ref="Z11:AJ11" si="3">$G$3</f>
        <v>1.64</v>
      </c>
      <c r="AA11" s="1499">
        <f t="shared" si="3"/>
        <v>1.64</v>
      </c>
      <c r="AB11" s="1499">
        <f t="shared" si="3"/>
        <v>1.64</v>
      </c>
      <c r="AC11" s="1499">
        <f t="shared" si="3"/>
        <v>1.64</v>
      </c>
      <c r="AD11" s="1499">
        <f t="shared" si="3"/>
        <v>1.64</v>
      </c>
      <c r="AE11" s="1499">
        <f t="shared" si="3"/>
        <v>1.64</v>
      </c>
      <c r="AF11" s="1499">
        <f t="shared" si="3"/>
        <v>1.64</v>
      </c>
      <c r="AG11" s="1499">
        <f t="shared" si="3"/>
        <v>1.64</v>
      </c>
      <c r="AH11" s="1499">
        <f t="shared" si="3"/>
        <v>1.64</v>
      </c>
      <c r="AI11" s="1499">
        <f t="shared" si="3"/>
        <v>1.64</v>
      </c>
      <c r="AJ11" s="1499">
        <f t="shared" si="3"/>
        <v>1.64</v>
      </c>
    </row>
    <row r="12" spans="1:36" ht="25.5" thickBot="1">
      <c r="A12" s="3220" t="s">
        <v>2865</v>
      </c>
      <c r="B12" s="2625" t="s">
        <v>2866</v>
      </c>
      <c r="C12" s="919">
        <f>ROUND(C15*D15*E15*F15*G15*H15*I15*J15,4)</f>
        <v>1</v>
      </c>
      <c r="D12" s="2626" t="s">
        <v>2867</v>
      </c>
      <c r="E12" s="2627"/>
      <c r="F12" s="2627"/>
      <c r="G12" s="2628"/>
      <c r="H12" s="2628"/>
      <c r="I12" s="2628"/>
      <c r="J12" s="2629"/>
      <c r="K12" s="1370"/>
      <c r="L12" s="2630" t="s">
        <v>2868</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15"/>
      <c r="X12" s="1500" t="s">
        <v>2869</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22"/>
      <c r="B13" s="2631" t="s">
        <v>2870</v>
      </c>
      <c r="C13" s="2632" t="s">
        <v>2871</v>
      </c>
      <c r="D13" s="1673" t="s">
        <v>2872</v>
      </c>
      <c r="E13" s="1673" t="s">
        <v>2873</v>
      </c>
      <c r="F13" s="30" t="s">
        <v>2874</v>
      </c>
      <c r="G13" s="2633" t="s">
        <v>2875</v>
      </c>
      <c r="H13" s="2633" t="s">
        <v>2875</v>
      </c>
      <c r="I13" s="2633" t="s">
        <v>2875</v>
      </c>
      <c r="J13" s="2634" t="s">
        <v>2875</v>
      </c>
      <c r="K13" s="1370"/>
      <c r="L13" s="1370"/>
      <c r="M13" s="1370"/>
      <c r="N13" s="1370"/>
      <c r="O13" s="1370"/>
      <c r="P13" s="1370"/>
      <c r="Q13" s="1370"/>
      <c r="R13" s="1486">
        <v>12</v>
      </c>
      <c r="S13" s="1487"/>
      <c r="T13" s="1486">
        <f t="shared" ca="1" si="0"/>
        <v>0</v>
      </c>
      <c r="U13" s="1487"/>
      <c r="V13" s="1486">
        <f t="shared" ca="1" si="1"/>
        <v>0</v>
      </c>
      <c r="W13" s="3215"/>
      <c r="X13" s="1500"/>
      <c r="Y13" s="1497">
        <f>(-0.163*(Y12^2)-0.59*Y12+7617)*(10^(-4))/Y11</f>
        <v>0.4644512195121952</v>
      </c>
      <c r="Z13" s="1497">
        <f t="shared" ref="Z13:AJ13" si="5">(-0.163*(Z12^2)-0.59*Z12+7617)*(10^(-4))/Z11</f>
        <v>0.4644512195121952</v>
      </c>
      <c r="AA13" s="1497">
        <f t="shared" si="5"/>
        <v>0.4644512195121952</v>
      </c>
      <c r="AB13" s="1497">
        <f t="shared" si="5"/>
        <v>0.4644512195121952</v>
      </c>
      <c r="AC13" s="1497">
        <f t="shared" si="5"/>
        <v>0.4644512195121952</v>
      </c>
      <c r="AD13" s="1497">
        <f t="shared" si="5"/>
        <v>0.4644512195121952</v>
      </c>
      <c r="AE13" s="1497">
        <f t="shared" si="5"/>
        <v>0.4644512195121952</v>
      </c>
      <c r="AF13" s="1497">
        <f t="shared" si="5"/>
        <v>0.4644512195121952</v>
      </c>
      <c r="AG13" s="1497">
        <f t="shared" si="5"/>
        <v>0.4644512195121952</v>
      </c>
      <c r="AH13" s="1497">
        <f t="shared" si="5"/>
        <v>0.4644512195121952</v>
      </c>
      <c r="AI13" s="1497">
        <f t="shared" si="5"/>
        <v>0.4644512195121952</v>
      </c>
      <c r="AJ13" s="1497">
        <f t="shared" si="5"/>
        <v>0.4644512195121952</v>
      </c>
    </row>
    <row r="14" spans="1:36" ht="15">
      <c r="A14" s="3222"/>
      <c r="B14" s="2635"/>
      <c r="C14" s="2636"/>
      <c r="D14" s="2637"/>
      <c r="E14" s="2637"/>
      <c r="F14" s="2638"/>
      <c r="G14" s="2639" t="s">
        <v>2876</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23"/>
      <c r="B15" s="2643" t="s">
        <v>2877</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20" t="s">
        <v>2882</v>
      </c>
      <c r="B16" s="2612" t="s">
        <v>2883</v>
      </c>
      <c r="C16" s="2784">
        <f>ROUND(IF(F17="与级别开发程度一致",0,(G17-E17)/C17),0)</f>
        <v>0</v>
      </c>
      <c r="D16" s="3234" t="s">
        <v>2887</v>
      </c>
      <c r="E16" s="3235"/>
      <c r="F16" s="3234" t="s">
        <v>2884</v>
      </c>
      <c r="G16" s="3235"/>
      <c r="H16" s="2646" t="s">
        <v>3070</v>
      </c>
      <c r="I16" s="2646" t="s">
        <v>3071</v>
      </c>
      <c r="J16" s="2788" t="s">
        <v>3072</v>
      </c>
      <c r="K16" s="2646" t="s">
        <v>3073</v>
      </c>
      <c r="L16" s="2646" t="s">
        <v>3074</v>
      </c>
      <c r="M16" s="2646" t="s">
        <v>3096</v>
      </c>
      <c r="N16" s="2646" t="s">
        <v>3101</v>
      </c>
      <c r="O16" s="2647" t="s">
        <v>3075</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24"/>
      <c r="B17" s="2795" t="s">
        <v>2886</v>
      </c>
      <c r="C17" s="2796">
        <f>SUMPRODUCT((修正!A2:A5=E2)*(修正!B1:M1=G2)*(修正!B2:M5))</f>
        <v>2.5</v>
      </c>
      <c r="D17" s="229" t="str">
        <f>IF(OR(G2="八级",G2="九级",G2="十级",G2="十一级",G2="十二级"),"五通一平","七通一平")</f>
        <v>七通一平</v>
      </c>
      <c r="E17" s="2785">
        <f>SUMPRODUCT((修正!B1:M1=G2)*(修正!B15:M15))</f>
        <v>300</v>
      </c>
      <c r="F17" s="2786" t="s">
        <v>3102</v>
      </c>
      <c r="G17" s="2787">
        <f>SUM(H17:O17)</f>
        <v>300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40</v>
      </c>
      <c r="O17" s="2798">
        <f>SUMPRODUCT((七通一平=O16)*(修正!B1:M1=G2)*(修正!B6:M14))</f>
        <v>15</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2889</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2890</v>
      </c>
      <c r="C19" s="924">
        <f>ROUND(IF(H19="按公示增长率计算",SUMPRODUCT((地价!A3:A31=YEAR(G19)&amp;"-"&amp;ROUNDUP(MONTH(G19)/3,0))*(地价!X2:AB2=E2)*(地价!X3:AB31)),IF(H19="地价指数",M20/M19,(1+I19)^O19)),4)</f>
        <v>1.3472</v>
      </c>
      <c r="D19" s="2656" t="s">
        <v>2891</v>
      </c>
      <c r="E19" s="925">
        <v>41640</v>
      </c>
      <c r="F19" s="2656" t="s">
        <v>2892</v>
      </c>
      <c r="G19" s="926">
        <f>'数据-取费表'!B2</f>
        <v>44046</v>
      </c>
      <c r="H19" s="2657" t="s">
        <v>3076</v>
      </c>
      <c r="I19" s="927" t="str">
        <f>IF(H19="季度增幅（自定义）",SUMIF(N21:N24,E2,O21:O24),"")</f>
        <v/>
      </c>
      <c r="J19" s="2654"/>
      <c r="K19" s="1377"/>
      <c r="L19" s="2658" t="s">
        <v>2893</v>
      </c>
      <c r="M19" s="1611">
        <f>ROUND(SUMIF(地价!B2:F2,E2,地价!B31:F31),0)</f>
        <v>258</v>
      </c>
      <c r="N19" s="2659"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2895</v>
      </c>
      <c r="C20" s="929">
        <f ca="1">ROUND(POWER(1+G20,J20-I20)*(POWER(1+G20,I20)-1)/(POWER(1+G20,J20)-1),4)</f>
        <v>0.78659999999999997</v>
      </c>
      <c r="D20" s="2665" t="s">
        <v>2896</v>
      </c>
      <c r="E20" s="1637">
        <f ca="1">存贷款利率!D4/100</f>
        <v>4.3499999999999997E-2</v>
      </c>
      <c r="F20" s="2665" t="s">
        <v>2888</v>
      </c>
      <c r="G20" s="934">
        <f ca="1">SUMIF(M26:P26,E2,M28:P28)</f>
        <v>5.3999999999999999E-2</v>
      </c>
      <c r="H20" s="2665" t="s">
        <v>2897</v>
      </c>
      <c r="I20" s="935">
        <f>SUMIF('数据-取费表'!C6:C15,E2,'数据-取费表'!F6:F15)/COUNTIF('数据-取费表'!C6:C15,E2)</f>
        <v>22.31</v>
      </c>
      <c r="J20" s="936">
        <f>IF(E2="住宅",70,IF(E2="商业",40,50))</f>
        <v>40</v>
      </c>
      <c r="K20" s="1377"/>
      <c r="L20" s="2666" t="s">
        <v>2898</v>
      </c>
      <c r="M20" s="1612">
        <f>ROUND(SUMPRODUCT((地价!A4:A31=YEAR(G19)&amp;"-"&amp;ROUNDUP(MONTH(G19)/3,0))*(地价!B2:F2=E2)*(地价!B4:F31)),0)</f>
        <v>347</v>
      </c>
      <c r="N20" s="2667" t="s">
        <v>2899</v>
      </c>
      <c r="O20" s="2668" t="s">
        <v>2900</v>
      </c>
      <c r="P20" s="2669" t="s">
        <v>2901</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3078</v>
      </c>
      <c r="C21" s="937">
        <f>IF(B21="容积率修正",IF(G3&lt;=10,D22,J22),C23)</f>
        <v>1.0788</v>
      </c>
      <c r="D21" s="2672"/>
      <c r="E21" s="2672"/>
      <c r="F21" s="2672"/>
      <c r="G21" s="2672"/>
      <c r="H21" s="2672"/>
      <c r="I21" s="2672"/>
      <c r="J21" s="2673"/>
      <c r="K21" s="1377"/>
      <c r="N21" s="2674" t="s">
        <v>2902</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2903</v>
      </c>
      <c r="B22" s="2675" t="s">
        <v>2904</v>
      </c>
      <c r="C22" s="1675" t="s">
        <v>2905</v>
      </c>
      <c r="D22" s="1675">
        <f>IF(E22=G22,F22,IF(G3&lt;=10,ROUND(F22+(H22-F22)*(G3-E22)/(G22-E22),4),"——"))</f>
        <v>1.1687000000000001</v>
      </c>
      <c r="E22" s="916">
        <f>ROUNDDOWN(G3,1)</f>
        <v>1.6</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916">
        <f>ROUNDUP(G3,1)</f>
        <v>1.7000000000000002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675" t="s">
        <v>155</v>
      </c>
      <c r="J22" s="938" t="str">
        <f>IF(G3&gt;10,D113,"——")</f>
        <v>——</v>
      </c>
      <c r="K22" s="1377"/>
      <c r="N22" s="2674" t="s">
        <v>2906</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2907</v>
      </c>
      <c r="B23" s="2676" t="s">
        <v>2908</v>
      </c>
      <c r="C23" s="1013">
        <f>ROUND(IF(G3&gt;1,IF(I3&lt;7,SUMPRODUCT((B93:B98=I3)*(C92:N92=G2)*(C93:N98)),SUMIF(C92:N92,G2,C100:N100)),IF(I3&lt;7,SUMPRODUCT((B102:B107=I3)*(C92:N92=G2)*(C102:N107)),SUMIF(C92:N92,G2,C109:N109))),4)</f>
        <v>1.0788</v>
      </c>
      <c r="D23" s="2640"/>
      <c r="E23" s="2640"/>
      <c r="F23" s="2677"/>
      <c r="G23" s="2678"/>
      <c r="H23" s="2679"/>
      <c r="I23" s="2680"/>
      <c r="J23" s="2681"/>
      <c r="K23" s="1370"/>
      <c r="N23" s="2674" t="s">
        <v>2909</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2910</v>
      </c>
      <c r="C24" s="924">
        <f>SUMIF(A45:A88,E2,B45:B88)</f>
        <v>1.0384</v>
      </c>
      <c r="D24" s="2653"/>
      <c r="E24" s="2682"/>
      <c r="F24" s="2682"/>
      <c r="G24" s="2682"/>
      <c r="H24" s="2682"/>
      <c r="I24" s="2682"/>
      <c r="J24" s="2683"/>
      <c r="K24" s="1377"/>
      <c r="N24" s="2684" t="s">
        <v>2911</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2912</v>
      </c>
      <c r="C25" s="930"/>
      <c r="D25" s="2615"/>
      <c r="E25" s="2615"/>
      <c r="F25" s="2686"/>
      <c r="G25" s="2615"/>
      <c r="H25" s="2615"/>
      <c r="I25" s="2615"/>
      <c r="J25" s="2616"/>
      <c r="K25" s="1370"/>
      <c r="N25" s="2687" t="s">
        <v>2913</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2914</v>
      </c>
      <c r="C26" s="206">
        <f ca="1">E29+SUM(E33:E39)</f>
        <v>6984</v>
      </c>
      <c r="D26" s="2689"/>
      <c r="E26" s="2640"/>
      <c r="F26" s="2690"/>
      <c r="G26" s="2640"/>
      <c r="H26" s="2640"/>
      <c r="I26" s="2640"/>
      <c r="J26" s="2691"/>
      <c r="K26" s="1370"/>
      <c r="L26" s="2644" t="s">
        <v>2813</v>
      </c>
      <c r="M26" s="920" t="s">
        <v>2878</v>
      </c>
      <c r="N26" s="920" t="s">
        <v>2879</v>
      </c>
      <c r="O26" s="920" t="s">
        <v>2880</v>
      </c>
      <c r="P26" s="2645" t="s">
        <v>2881</v>
      </c>
      <c r="R26" s="1376"/>
      <c r="S26" s="1376"/>
      <c r="T26" s="1371"/>
      <c r="U26" s="1371"/>
      <c r="V26" s="1371"/>
      <c r="W26" s="1370"/>
      <c r="X26" s="1370"/>
      <c r="Y26" s="1370"/>
      <c r="Z26" s="1377"/>
      <c r="AA26" s="1378"/>
      <c r="AB26" s="1378"/>
      <c r="AC26" s="1378"/>
      <c r="AD26" s="1378"/>
    </row>
    <row r="27" spans="1:37" ht="15.75" thickBot="1">
      <c r="A27" s="2688"/>
      <c r="B27" s="2692" t="s">
        <v>2915</v>
      </c>
      <c r="C27" s="931">
        <f ca="1">E30+SUM(I33:I39)</f>
        <v>244</v>
      </c>
      <c r="D27" s="2693"/>
      <c r="E27" s="2694"/>
      <c r="F27" s="2695"/>
      <c r="G27" s="2694"/>
      <c r="H27" s="2694"/>
      <c r="I27" s="2694"/>
      <c r="J27" s="2696"/>
      <c r="K27" s="1370"/>
      <c r="L27" s="2648"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2916</v>
      </c>
      <c r="C28" s="2699" t="s">
        <v>2917</v>
      </c>
      <c r="D28" s="2699" t="s">
        <v>2918</v>
      </c>
      <c r="E28" s="2700" t="s">
        <v>2919</v>
      </c>
      <c r="F28" s="2701"/>
      <c r="G28" s="2628"/>
      <c r="H28" s="2628"/>
      <c r="I28" s="2628"/>
      <c r="J28" s="2629"/>
      <c r="K28" s="1370"/>
      <c r="L28" s="2649"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2920</v>
      </c>
      <c r="C29" s="206">
        <f ca="1">ROUND(C5*C18*C19*C20*C21*C24,0)</f>
        <v>15385</v>
      </c>
      <c r="D29" s="2704">
        <f>'数据-汇总表'!F19</f>
        <v>3905.76</v>
      </c>
      <c r="E29" s="942">
        <f ca="1">ROUND(C29*D29/10000,0)</f>
        <v>6009</v>
      </c>
      <c r="F29" s="2705" t="s">
        <v>2921</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2922</v>
      </c>
      <c r="C30" s="229">
        <f ca="1">ROUND(IF(E2="工业",C29*M39,C29*M38),0)</f>
        <v>3846</v>
      </c>
      <c r="D30" s="2710"/>
      <c r="E30" s="942">
        <f ca="1">ROUND(C30*D30/10000,0)</f>
        <v>0</v>
      </c>
      <c r="F30" s="2711" t="s">
        <v>2923</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2924</v>
      </c>
      <c r="C31" s="2716" t="s">
        <v>2925</v>
      </c>
      <c r="D31" s="2628"/>
      <c r="E31" s="2716"/>
      <c r="F31" s="2716"/>
      <c r="G31" s="2626" t="s">
        <v>2926</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2917</v>
      </c>
      <c r="D32" s="498" t="s">
        <v>2918</v>
      </c>
      <c r="E32" s="498" t="s">
        <v>2919</v>
      </c>
      <c r="F32" s="388" t="s">
        <v>2927</v>
      </c>
      <c r="G32" s="2719" t="s">
        <v>2917</v>
      </c>
      <c r="H32" s="2719" t="s">
        <v>2918</v>
      </c>
      <c r="I32" s="2719"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31" t="s">
        <v>2928</v>
      </c>
      <c r="B33" s="2720" t="s">
        <v>2929</v>
      </c>
      <c r="C33" s="206">
        <f ca="1">ROUND(D5*C19*C20*C24*F33,0)</f>
        <v>9983</v>
      </c>
      <c r="D33" s="2704">
        <f>'数据-基础表'!I16</f>
        <v>976.22</v>
      </c>
      <c r="E33" s="200">
        <f ca="1">ROUND(C33*D33/10000,0)</f>
        <v>975</v>
      </c>
      <c r="F33" s="200">
        <f>SUMIF(修正!A45:A56,G2,修正!B45:B56)</f>
        <v>0.7</v>
      </c>
      <c r="G33" s="200">
        <f t="shared" ref="G33" ca="1" si="6">ROUND(IF(E2="工业",C33*$M$39,C33*$M$38),0)</f>
        <v>2496</v>
      </c>
      <c r="H33" s="200">
        <f>D33</f>
        <v>976.22</v>
      </c>
      <c r="I33" s="200">
        <f ca="1">ROUND(G33*H33/10000,0)</f>
        <v>244</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2"/>
      <c r="B34" s="2632" t="s">
        <v>2930</v>
      </c>
      <c r="C34" s="206">
        <f ca="1">ROUND(D5*C19*C20*C24*F34,0)</f>
        <v>5704</v>
      </c>
      <c r="D34" s="2704"/>
      <c r="E34" s="200">
        <f t="shared" ref="E34:E39" ca="1" si="7">ROUND(C34*D34/10000,0)</f>
        <v>0</v>
      </c>
      <c r="F34" s="200">
        <f>SUMIF(修正!A45:A56,G2,修正!C45:C56)</f>
        <v>0.4</v>
      </c>
      <c r="G34" s="200">
        <f ca="1">ROUND(IF(E2="工业",C34*$M$39,C34*$M$38),0)</f>
        <v>1426</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2"/>
      <c r="B35" s="2632" t="s">
        <v>2931</v>
      </c>
      <c r="C35" s="206">
        <f ca="1">ROUND(D5*C19*C20*C24*F35,0)</f>
        <v>3993</v>
      </c>
      <c r="D35" s="2704"/>
      <c r="E35" s="200">
        <f t="shared" ca="1" si="7"/>
        <v>0</v>
      </c>
      <c r="F35" s="200">
        <f>SUMIF(修正!A45:A56,G2,修正!D45:D56)</f>
        <v>0.28000000000000003</v>
      </c>
      <c r="G35" s="200">
        <f ca="1">ROUND(IF(E2="工业",C35*$M$39,C35*$M$38),0)</f>
        <v>998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33"/>
      <c r="B36" s="2632" t="s">
        <v>2932</v>
      </c>
      <c r="C36" s="206">
        <f ca="1">ROUND(D5*C19*C20*C24*F36,0)</f>
        <v>3565</v>
      </c>
      <c r="D36" s="2704"/>
      <c r="E36" s="200">
        <f t="shared" ca="1" si="7"/>
        <v>0</v>
      </c>
      <c r="F36" s="200">
        <f>SUMIF(修正!A45:A56,G2,修正!E45:E56)</f>
        <v>0.25</v>
      </c>
      <c r="G36" s="200">
        <f ca="1">ROUND(IF(E2="工业",C36*$M$39,C36*$M$38),0)</f>
        <v>891</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2933</v>
      </c>
      <c r="C37" s="200">
        <f ca="1">ROUND(D5*C19*C20*C24*F37,0)</f>
        <v>3565</v>
      </c>
      <c r="D37" s="2704"/>
      <c r="E37" s="200">
        <f t="shared" ca="1" si="7"/>
        <v>0</v>
      </c>
      <c r="F37" s="206">
        <f>SUMIF(修正!A45:A56,G2,修正!F45:F56)</f>
        <v>0.25</v>
      </c>
      <c r="G37" s="200">
        <f ca="1">ROUND(IF(E2="工业",C37*$M$39,C37*$M$38),0)</f>
        <v>891</v>
      </c>
      <c r="H37" s="200">
        <f t="shared" si="8"/>
        <v>0</v>
      </c>
      <c r="I37" s="200">
        <f t="shared" ca="1" si="9"/>
        <v>0</v>
      </c>
      <c r="J37" s="2721"/>
      <c r="K37" s="1370"/>
      <c r="L37" s="2723" t="s">
        <v>2934</v>
      </c>
      <c r="M37" s="2724"/>
      <c r="N37" s="1370"/>
      <c r="O37" s="1370"/>
      <c r="P37" s="1370"/>
      <c r="Q37" s="1370"/>
      <c r="R37" s="1370"/>
      <c r="S37" s="1370"/>
      <c r="T37" s="1370"/>
      <c r="U37" s="1370"/>
      <c r="V37" s="1370"/>
      <c r="W37" s="1370"/>
      <c r="X37" s="1370"/>
      <c r="Y37" s="1370"/>
      <c r="Z37" s="1371"/>
    </row>
    <row r="38" spans="1:37">
      <c r="A38" s="2722"/>
      <c r="B38" s="2632" t="s">
        <v>2935</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2936</v>
      </c>
      <c r="M38" s="2725">
        <v>0.25</v>
      </c>
      <c r="N38" s="1370"/>
      <c r="O38" s="1370"/>
      <c r="P38" s="1370"/>
      <c r="Q38" s="1370"/>
      <c r="R38" s="1370"/>
      <c r="S38" s="1370"/>
      <c r="T38" s="1370"/>
      <c r="U38" s="1370"/>
      <c r="V38" s="1370"/>
      <c r="W38" s="1370"/>
      <c r="X38" s="1370"/>
      <c r="Y38" s="1370"/>
      <c r="Z38" s="1371"/>
    </row>
    <row r="39" spans="1:37" ht="13.5" thickBot="1">
      <c r="A39" s="2708"/>
      <c r="B39" s="2726" t="s">
        <v>2937</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2881</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3043</v>
      </c>
      <c r="C41" s="388">
        <f ca="1">ROUND(POWER(1+E41,H41-G41)*(POWER(1+E41,G41)-1)/(POWER(1+E41,H41)-1),4)</f>
        <v>0</v>
      </c>
      <c r="D41" s="200" t="s">
        <v>2888</v>
      </c>
      <c r="E41" s="278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2938</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2939</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2940</v>
      </c>
      <c r="B47" s="1674" t="s">
        <v>2941</v>
      </c>
      <c r="C47" s="1674" t="s">
        <v>2942</v>
      </c>
      <c r="D47" s="1674" t="s">
        <v>2943</v>
      </c>
      <c r="E47" s="819" t="s">
        <v>2944</v>
      </c>
      <c r="F47" s="2738" t="s">
        <v>2945</v>
      </c>
      <c r="G47" s="1674" t="s">
        <v>754</v>
      </c>
      <c r="H47" s="2739" t="s">
        <v>2946</v>
      </c>
      <c r="I47" s="1674"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737" t="s">
        <v>2948</v>
      </c>
      <c r="B48" s="2740" t="str">
        <f>估价对象房地状况!C4</f>
        <v>估价对象位于XX商圈，周边商业氛围成熟，人流量大，商业繁华度好</v>
      </c>
      <c r="C48" s="2637" t="s">
        <v>3085</v>
      </c>
      <c r="D48" s="1286">
        <f t="shared" ref="D48:D56" si="10">SUMIF($J$47:$N$47,C48,J48:N48)</f>
        <v>1.61E-2</v>
      </c>
      <c r="E48" s="821">
        <f>ROUND(SUM(D48:D56),4)</f>
        <v>3.8399999999999997E-2</v>
      </c>
      <c r="F48" s="2368">
        <f>IF(E2="商业",SUMIF(L1:L12,G2,N1:N12),"——")</f>
        <v>9.8000000000000004E-2</v>
      </c>
      <c r="G48" s="1284">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2949</v>
      </c>
      <c r="B49" s="2741" t="str">
        <f>估价对象房地状况!C18</f>
        <v>估价对象周边道路状况、公共交通通达情况、停车便捷程度，综合评价交通便捷度较好</v>
      </c>
      <c r="C49" s="2637" t="s">
        <v>3105</v>
      </c>
      <c r="D49" s="1286">
        <f t="shared" si="10"/>
        <v>0</v>
      </c>
      <c r="E49" s="822"/>
      <c r="F49" s="2368"/>
      <c r="G49" s="1284">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2950</v>
      </c>
      <c r="B50" s="2741">
        <f>估价对象房地状况!C19</f>
        <v>0</v>
      </c>
      <c r="C50" s="2637" t="s">
        <v>3085</v>
      </c>
      <c r="D50" s="1286">
        <f t="shared" si="10"/>
        <v>2.3999999999999998E-3</v>
      </c>
      <c r="E50" s="822"/>
      <c r="F50" s="2368"/>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2951</v>
      </c>
      <c r="B51" s="2742" t="s">
        <v>2952</v>
      </c>
      <c r="C51" s="2637" t="s">
        <v>3085</v>
      </c>
      <c r="D51" s="1286">
        <f t="shared" si="10"/>
        <v>2.3999999999999998E-3</v>
      </c>
      <c r="E51" s="822"/>
      <c r="F51" s="2368"/>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2953</v>
      </c>
      <c r="B52" s="2741">
        <f>估价对象房地状况!C24</f>
        <v>0</v>
      </c>
      <c r="C52" s="2637" t="s">
        <v>3085</v>
      </c>
      <c r="D52" s="1286">
        <f t="shared" si="10"/>
        <v>3.8999999999999998E-3</v>
      </c>
      <c r="E52" s="822"/>
      <c r="F52" s="2368"/>
      <c r="G52" s="1284">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2954</v>
      </c>
      <c r="B53" s="2743" t="s">
        <v>2955</v>
      </c>
      <c r="C53" s="2637" t="s">
        <v>3085</v>
      </c>
      <c r="D53" s="1286">
        <f t="shared" si="10"/>
        <v>1.4E-3</v>
      </c>
      <c r="E53" s="822"/>
      <c r="F53" s="2368"/>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2956</v>
      </c>
      <c r="B54" s="1609" t="str">
        <f>估价对象房地状况!C21</f>
        <v>估价对象所在区域公共配套设施齐备情况</v>
      </c>
      <c r="C54" s="2637" t="s">
        <v>3085</v>
      </c>
      <c r="D54" s="1286">
        <f t="shared" si="10"/>
        <v>2.3999999999999998E-3</v>
      </c>
      <c r="E54" s="822"/>
      <c r="F54" s="2368"/>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2957</v>
      </c>
      <c r="B55" s="2741" t="str">
        <f>估价对象房地状况!C22</f>
        <v>估价对象所在区域基础设施水平</v>
      </c>
      <c r="C55" s="2637" t="s">
        <v>3097</v>
      </c>
      <c r="D55" s="1286">
        <f t="shared" si="10"/>
        <v>9.7999999999999997E-3</v>
      </c>
      <c r="E55" s="822"/>
      <c r="F55" s="2368"/>
      <c r="G55" s="1284">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2958</v>
      </c>
      <c r="B56" s="2746" t="str">
        <f>估价对象房地状况!C20</f>
        <v>区域自然环境：；人文环境；综合评价环境状况一般</v>
      </c>
      <c r="C56" s="2637" t="s">
        <v>3105</v>
      </c>
      <c r="D56" s="1286">
        <f t="shared" si="10"/>
        <v>0</v>
      </c>
      <c r="E56" s="825"/>
      <c r="F56" s="2368"/>
      <c r="G56" s="1284">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2959</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2940</v>
      </c>
      <c r="B58" s="1674"/>
      <c r="C58" s="1674" t="s">
        <v>2942</v>
      </c>
      <c r="D58" s="1674" t="s">
        <v>2943</v>
      </c>
      <c r="E58" s="819" t="s">
        <v>2944</v>
      </c>
      <c r="F58" s="2738" t="s">
        <v>2960</v>
      </c>
      <c r="G58" s="1674" t="s">
        <v>754</v>
      </c>
      <c r="H58" s="2739" t="s">
        <v>2946</v>
      </c>
      <c r="I58" s="1674"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737" t="s">
        <v>2961</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2949</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2950</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2951</v>
      </c>
      <c r="B62" s="2742" t="s">
        <v>2952</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2953</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2954</v>
      </c>
      <c r="B64" s="2743" t="s">
        <v>2955</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2956</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2957</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2958</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2962</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2940</v>
      </c>
      <c r="B69" s="1674"/>
      <c r="C69" s="1674" t="s">
        <v>2942</v>
      </c>
      <c r="D69" s="1674" t="s">
        <v>2943</v>
      </c>
      <c r="E69" s="819" t="s">
        <v>2944</v>
      </c>
      <c r="F69" s="2738" t="s">
        <v>2960</v>
      </c>
      <c r="G69" s="1674" t="s">
        <v>754</v>
      </c>
      <c r="H69" s="2739" t="s">
        <v>2946</v>
      </c>
      <c r="I69" s="1674"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737" t="s">
        <v>2963</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2949</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2950</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2964</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2956</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2957</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2954</v>
      </c>
      <c r="B76" s="2743" t="s">
        <v>2955</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2958</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2965</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2966</v>
      </c>
      <c r="B79" s="2734">
        <f>1+E81</f>
        <v>1</v>
      </c>
      <c r="C79" s="814"/>
      <c r="D79" s="814"/>
      <c r="E79" s="815"/>
      <c r="F79" s="2736"/>
      <c r="G79" s="6"/>
      <c r="H79" s="6"/>
      <c r="I79" s="6"/>
      <c r="J79" s="7"/>
      <c r="K79" s="7"/>
      <c r="L79" s="7"/>
      <c r="M79" s="7"/>
      <c r="N79" s="7"/>
      <c r="Z79" s="2587"/>
      <c r="AA79" s="2655"/>
      <c r="AG79" s="1372"/>
      <c r="AK79" s="2655"/>
    </row>
    <row r="80" spans="1:37" ht="24.75">
      <c r="A80" s="2737" t="s">
        <v>2940</v>
      </c>
      <c r="B80" s="1674"/>
      <c r="C80" s="1674" t="s">
        <v>2942</v>
      </c>
      <c r="D80" s="1674" t="s">
        <v>2943</v>
      </c>
      <c r="E80" s="819" t="s">
        <v>2944</v>
      </c>
      <c r="F80" s="2738" t="s">
        <v>2960</v>
      </c>
      <c r="G80" s="1674" t="s">
        <v>754</v>
      </c>
      <c r="H80" s="2739" t="s">
        <v>2946</v>
      </c>
      <c r="I80" s="1674" t="s">
        <v>2947</v>
      </c>
      <c r="J80" s="603" t="s">
        <v>2596</v>
      </c>
      <c r="K80" s="603" t="s">
        <v>2597</v>
      </c>
      <c r="L80" s="603" t="s">
        <v>2598</v>
      </c>
      <c r="M80" s="603" t="s">
        <v>2599</v>
      </c>
      <c r="N80" s="603" t="s">
        <v>2600</v>
      </c>
      <c r="Z80" s="2587"/>
      <c r="AA80" s="2655"/>
      <c r="AG80" s="1372"/>
      <c r="AK80" s="2655"/>
    </row>
    <row r="81" spans="1:37" ht="38.25">
      <c r="A81" s="2737" t="s">
        <v>2967</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2949</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2950</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2964</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2956</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2957</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2954</v>
      </c>
      <c r="B87" s="2743" t="s">
        <v>2968</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2969</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25" t="s">
        <v>2970</v>
      </c>
      <c r="B90" s="3225"/>
      <c r="C90" s="3225"/>
      <c r="D90" s="3225"/>
      <c r="E90" s="3225"/>
      <c r="F90" s="3225"/>
      <c r="G90" s="3225"/>
      <c r="H90" s="3225"/>
      <c r="I90" s="3225"/>
      <c r="J90" s="3225"/>
      <c r="K90" s="2751"/>
      <c r="L90" s="2751"/>
      <c r="M90" s="2751"/>
      <c r="N90" s="2751"/>
    </row>
    <row r="91" spans="1:37">
      <c r="A91" s="3227" t="s">
        <v>2971</v>
      </c>
      <c r="B91" s="3227" t="s">
        <v>2972</v>
      </c>
      <c r="C91" s="2705" t="s">
        <v>2973</v>
      </c>
      <c r="D91" s="2706"/>
      <c r="E91" s="2706"/>
      <c r="F91" s="2706"/>
      <c r="G91" s="2706"/>
      <c r="H91" s="2706"/>
      <c r="I91" s="2706"/>
      <c r="J91" s="2752"/>
      <c r="K91" s="2753"/>
      <c r="L91" s="2753"/>
      <c r="M91" s="2753"/>
      <c r="N91" s="2753"/>
    </row>
    <row r="92" spans="1:37">
      <c r="A92" s="3227"/>
      <c r="B92" s="322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28" t="s">
        <v>2974</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2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2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2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2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2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29"/>
      <c r="B99" s="2754" t="s">
        <v>2856</v>
      </c>
      <c r="C99" s="2756">
        <f>$I$3</f>
        <v>3</v>
      </c>
      <c r="D99" s="2756">
        <f t="shared" ref="D99:M99" si="30">$I$3</f>
        <v>3</v>
      </c>
      <c r="E99" s="2756">
        <f t="shared" si="30"/>
        <v>3</v>
      </c>
      <c r="F99" s="2756">
        <f t="shared" si="30"/>
        <v>3</v>
      </c>
      <c r="G99" s="2756">
        <f t="shared" si="30"/>
        <v>3</v>
      </c>
      <c r="H99" s="2756">
        <f t="shared" si="30"/>
        <v>3</v>
      </c>
      <c r="I99" s="2756">
        <f t="shared" si="30"/>
        <v>3</v>
      </c>
      <c r="J99" s="2756">
        <f t="shared" si="30"/>
        <v>3</v>
      </c>
      <c r="K99" s="2756">
        <f t="shared" si="30"/>
        <v>3</v>
      </c>
      <c r="L99" s="2756">
        <f t="shared" si="30"/>
        <v>3</v>
      </c>
      <c r="M99" s="2756">
        <f t="shared" si="30"/>
        <v>3</v>
      </c>
      <c r="N99" s="2756">
        <f>$I$3</f>
        <v>3</v>
      </c>
    </row>
    <row r="100" spans="1:14">
      <c r="A100" s="3230"/>
      <c r="B100" s="2754">
        <v>7</v>
      </c>
      <c r="C100" s="2757">
        <f>(-0.163*(C99^2)-0.59*C99+7617)*(10^(-4))</f>
        <v>0.76137630000000001</v>
      </c>
      <c r="D100" s="2757">
        <f>(-0.163*(D99^2)-0.59*D99+7617)*(10^(-4))</f>
        <v>0.76137630000000001</v>
      </c>
      <c r="E100" s="2757">
        <f>(-0.161*(E99^2)-7.509*E99+6533)*(10^(-4))</f>
        <v>0.6509024000000001</v>
      </c>
      <c r="F100" s="2757">
        <f>(-0.161*(F99^2)-7.509*F99+6533)*(10^(-4))</f>
        <v>0.6509024000000001</v>
      </c>
      <c r="G100" s="2757">
        <f>(-0.161*(G99^2)-7.509*G99+6533)*(10^(-4))</f>
        <v>0.6509024000000001</v>
      </c>
      <c r="H100" s="2757">
        <f>(-0.161*(H99^2)-7.509*H99+6533)*(10^(-4))</f>
        <v>0.6509024000000001</v>
      </c>
      <c r="I100" s="2757">
        <f>(-0.161*(I99^2)-7.509*I99+6533)*(10^(-4))</f>
        <v>0.6509024000000001</v>
      </c>
      <c r="J100" s="2757">
        <f>(-0.214*(J99^2)-21.991*J99+4665)*(10^(-4))</f>
        <v>0.45971010000000001</v>
      </c>
      <c r="K100" s="2757">
        <f>(-0.214*(K99^2)-21.991*K99+4665)*(10^(-4))</f>
        <v>0.45971010000000001</v>
      </c>
      <c r="L100" s="2757">
        <f>(-0.214*(L99^2)-21.991*L99+4665)*(10^(-4))</f>
        <v>0.45971010000000001</v>
      </c>
      <c r="M100" s="2757">
        <f>(-0.214*(M99^2)-21.991*M99+4665)*(10^(-4))</f>
        <v>0.45971010000000001</v>
      </c>
      <c r="N100" s="2757">
        <f>(-0.214*(N99^2)-21.991*N99+4665)*(10^(-4))</f>
        <v>0.45971010000000001</v>
      </c>
    </row>
    <row r="101" spans="1:14">
      <c r="A101" s="3228" t="s">
        <v>2975</v>
      </c>
      <c r="B101" s="2758" t="s">
        <v>2976</v>
      </c>
      <c r="C101" s="2759">
        <f>$G$3</f>
        <v>1.64</v>
      </c>
      <c r="D101" s="2759">
        <f t="shared" ref="D101:N101" si="31">$G$3</f>
        <v>1.64</v>
      </c>
      <c r="E101" s="2759">
        <f t="shared" si="31"/>
        <v>1.64</v>
      </c>
      <c r="F101" s="2759">
        <f t="shared" si="31"/>
        <v>1.64</v>
      </c>
      <c r="G101" s="2759">
        <f t="shared" si="31"/>
        <v>1.64</v>
      </c>
      <c r="H101" s="2759">
        <f t="shared" si="31"/>
        <v>1.64</v>
      </c>
      <c r="I101" s="2759">
        <f t="shared" si="31"/>
        <v>1.64</v>
      </c>
      <c r="J101" s="2759">
        <f t="shared" si="31"/>
        <v>1.64</v>
      </c>
      <c r="K101" s="2759">
        <f t="shared" si="31"/>
        <v>1.64</v>
      </c>
      <c r="L101" s="2759">
        <f t="shared" si="31"/>
        <v>1.64</v>
      </c>
      <c r="M101" s="2759">
        <f t="shared" si="31"/>
        <v>1.64</v>
      </c>
      <c r="N101" s="2759">
        <f t="shared" si="31"/>
        <v>1.64</v>
      </c>
    </row>
    <row r="102" spans="1:14">
      <c r="A102" s="3229"/>
      <c r="B102" s="2754">
        <v>1</v>
      </c>
      <c r="C102" s="2755">
        <f>1.9362/C101</f>
        <v>1.180609756097561</v>
      </c>
      <c r="D102" s="2755">
        <f>1.9362/D101</f>
        <v>1.180609756097561</v>
      </c>
      <c r="E102" s="2755">
        <f>1.8629/E101</f>
        <v>1.1359146341463415</v>
      </c>
      <c r="F102" s="2755">
        <f>1.8629/F101</f>
        <v>1.1359146341463415</v>
      </c>
      <c r="G102" s="2755">
        <f>1.8629/G101</f>
        <v>1.1359146341463415</v>
      </c>
      <c r="H102" s="2755">
        <f>1.8629/H101</f>
        <v>1.1359146341463415</v>
      </c>
      <c r="I102" s="2755">
        <f>1.8629/I101</f>
        <v>1.1359146341463415</v>
      </c>
      <c r="J102" s="2755">
        <f>1.942/J101</f>
        <v>1.1841463414634146</v>
      </c>
      <c r="K102" s="2755">
        <f>1.942/K101</f>
        <v>1.1841463414634146</v>
      </c>
      <c r="L102" s="2755">
        <f>1.942/L101</f>
        <v>1.1841463414634146</v>
      </c>
      <c r="M102" s="2755">
        <f>1.942/M101</f>
        <v>1.1841463414634146</v>
      </c>
      <c r="N102" s="2755">
        <f>1.942/N101</f>
        <v>1.1841463414634146</v>
      </c>
    </row>
    <row r="103" spans="1:14">
      <c r="A103" s="3229"/>
      <c r="B103" s="2754">
        <v>2</v>
      </c>
      <c r="C103" s="2755">
        <f>1.4198/C101</f>
        <v>0.86573170731707316</v>
      </c>
      <c r="D103" s="2755">
        <f>1.4198/D101</f>
        <v>0.86573170731707316</v>
      </c>
      <c r="E103" s="2755">
        <f>1.3372/E101</f>
        <v>0.81536585365853664</v>
      </c>
      <c r="F103" s="2755">
        <f>1.3372/F101</f>
        <v>0.81536585365853664</v>
      </c>
      <c r="G103" s="2755">
        <f>1.3372/G101</f>
        <v>0.81536585365853664</v>
      </c>
      <c r="H103" s="2755">
        <f>1.3372/H101</f>
        <v>0.81536585365853664</v>
      </c>
      <c r="I103" s="2755">
        <f>1.3372/I101</f>
        <v>0.81536585365853664</v>
      </c>
      <c r="J103" s="2755">
        <f>1.2799/J101</f>
        <v>0.78042682926829277</v>
      </c>
      <c r="K103" s="2755">
        <f>1.2799/K101</f>
        <v>0.78042682926829277</v>
      </c>
      <c r="L103" s="2755">
        <f>1.2799/L101</f>
        <v>0.78042682926829277</v>
      </c>
      <c r="M103" s="2755">
        <f>1.2799/M101</f>
        <v>0.78042682926829277</v>
      </c>
      <c r="N103" s="2755">
        <f>1.2799/N101</f>
        <v>0.78042682926829277</v>
      </c>
    </row>
    <row r="104" spans="1:14">
      <c r="A104" s="3229"/>
      <c r="B104" s="2754">
        <v>3</v>
      </c>
      <c r="C104" s="2755">
        <f>1.1594/C101</f>
        <v>0.70695121951219519</v>
      </c>
      <c r="D104" s="2755">
        <f>1.1594/D101</f>
        <v>0.70695121951219519</v>
      </c>
      <c r="E104" s="2755">
        <f>1.0788/E101</f>
        <v>0.65780487804878052</v>
      </c>
      <c r="F104" s="2755">
        <f>1.0788/F101</f>
        <v>0.65780487804878052</v>
      </c>
      <c r="G104" s="2755">
        <f>1.0788/G101</f>
        <v>0.65780487804878052</v>
      </c>
      <c r="H104" s="2755">
        <f>1.0788/H101</f>
        <v>0.65780487804878052</v>
      </c>
      <c r="I104" s="2755">
        <f>1.0788/I101</f>
        <v>0.65780487804878052</v>
      </c>
      <c r="J104" s="2755">
        <f>1.0072/J101</f>
        <v>0.61414634146341474</v>
      </c>
      <c r="K104" s="2755">
        <f>1.0072/K101</f>
        <v>0.61414634146341474</v>
      </c>
      <c r="L104" s="2755">
        <f>1.0072/L101</f>
        <v>0.61414634146341474</v>
      </c>
      <c r="M104" s="2755">
        <f>1.0072/M101</f>
        <v>0.61414634146341474</v>
      </c>
      <c r="N104" s="2755">
        <f>1.0072/N101</f>
        <v>0.61414634146341474</v>
      </c>
    </row>
    <row r="105" spans="1:14">
      <c r="A105" s="3229"/>
      <c r="B105" s="2754">
        <v>4</v>
      </c>
      <c r="C105" s="2755">
        <f>0.9622/C101</f>
        <v>0.58670731707317081</v>
      </c>
      <c r="D105" s="2755">
        <f>0.9622/D101</f>
        <v>0.58670731707317081</v>
      </c>
      <c r="E105" s="2755">
        <f>0.8656/E101</f>
        <v>0.52780487804878051</v>
      </c>
      <c r="F105" s="2755">
        <f>0.8656/F101</f>
        <v>0.52780487804878051</v>
      </c>
      <c r="G105" s="2755">
        <f>0.8656/G101</f>
        <v>0.52780487804878051</v>
      </c>
      <c r="H105" s="2755">
        <f>0.8656/H101</f>
        <v>0.52780487804878051</v>
      </c>
      <c r="I105" s="2755">
        <f>0.8656/I101</f>
        <v>0.52780487804878051</v>
      </c>
      <c r="J105" s="2755">
        <f>0.7525/J101</f>
        <v>0.45884146341463417</v>
      </c>
      <c r="K105" s="2755">
        <f>0.7525/K101</f>
        <v>0.45884146341463417</v>
      </c>
      <c r="L105" s="2755">
        <f>0.7525/L101</f>
        <v>0.45884146341463417</v>
      </c>
      <c r="M105" s="2755">
        <f>0.7525/M101</f>
        <v>0.45884146341463417</v>
      </c>
      <c r="N105" s="2755">
        <f>0.7525/N101</f>
        <v>0.45884146341463417</v>
      </c>
    </row>
    <row r="106" spans="1:14">
      <c r="A106" s="3229"/>
      <c r="B106" s="2754">
        <v>5</v>
      </c>
      <c r="C106" s="2755">
        <f>0.8417/C101</f>
        <v>0.51323170731707324</v>
      </c>
      <c r="D106" s="2755">
        <f>0.8417/D101</f>
        <v>0.51323170731707324</v>
      </c>
      <c r="E106" s="2755">
        <f>0.7371/E101</f>
        <v>0.44945121951219513</v>
      </c>
      <c r="F106" s="2755">
        <f>0.7371/F101</f>
        <v>0.44945121951219513</v>
      </c>
      <c r="G106" s="2755">
        <f>0.7371/G101</f>
        <v>0.44945121951219513</v>
      </c>
      <c r="H106" s="2755">
        <f>0.7371/H101</f>
        <v>0.44945121951219513</v>
      </c>
      <c r="I106" s="2755">
        <f>0.7371/I101</f>
        <v>0.44945121951219513</v>
      </c>
      <c r="J106" s="2755">
        <f>0.5659/J101</f>
        <v>0.34506097560975607</v>
      </c>
      <c r="K106" s="2755">
        <f>0.5659/K101</f>
        <v>0.34506097560975607</v>
      </c>
      <c r="L106" s="2755">
        <f>0.5659/L101</f>
        <v>0.34506097560975607</v>
      </c>
      <c r="M106" s="2755">
        <f>0.5659/M101</f>
        <v>0.34506097560975607</v>
      </c>
      <c r="N106" s="2755">
        <f>0.5659/N101</f>
        <v>0.34506097560975607</v>
      </c>
    </row>
    <row r="107" spans="1:14">
      <c r="A107" s="3229"/>
      <c r="B107" s="2754">
        <v>6</v>
      </c>
      <c r="C107" s="2755">
        <f>0.7608/C101</f>
        <v>0.46390243902439027</v>
      </c>
      <c r="D107" s="2755">
        <f>0.7608/D101</f>
        <v>0.46390243902439027</v>
      </c>
      <c r="E107" s="2755">
        <f>0.6482/E101</f>
        <v>0.39524390243902441</v>
      </c>
      <c r="F107" s="2755">
        <f>0.6482/F101</f>
        <v>0.39524390243902441</v>
      </c>
      <c r="G107" s="2755">
        <f>0.6482/G101</f>
        <v>0.39524390243902441</v>
      </c>
      <c r="H107" s="2755">
        <f>0.6482/H101</f>
        <v>0.39524390243902441</v>
      </c>
      <c r="I107" s="2755">
        <f>0.6482/I101</f>
        <v>0.39524390243902441</v>
      </c>
      <c r="J107" s="2755">
        <f>0.4525/J101</f>
        <v>0.27591463414634149</v>
      </c>
      <c r="K107" s="2755">
        <f>0.4525/K101</f>
        <v>0.27591463414634149</v>
      </c>
      <c r="L107" s="2755">
        <f>0.4525/L101</f>
        <v>0.27591463414634149</v>
      </c>
      <c r="M107" s="2755">
        <f>0.4525/M101</f>
        <v>0.27591463414634149</v>
      </c>
      <c r="N107" s="2755">
        <f>0.4525/N101</f>
        <v>0.27591463414634149</v>
      </c>
    </row>
    <row r="108" spans="1:14">
      <c r="A108" s="3229"/>
      <c r="B108" s="3108" t="s">
        <v>2977</v>
      </c>
      <c r="C108" s="2756">
        <f>C99</f>
        <v>3</v>
      </c>
      <c r="D108" s="2756">
        <f t="shared" ref="D108:N108" si="32">D99</f>
        <v>3</v>
      </c>
      <c r="E108" s="2756">
        <f t="shared" si="32"/>
        <v>3</v>
      </c>
      <c r="F108" s="2756">
        <f t="shared" si="32"/>
        <v>3</v>
      </c>
      <c r="G108" s="2756">
        <f t="shared" si="32"/>
        <v>3</v>
      </c>
      <c r="H108" s="2756">
        <f t="shared" si="32"/>
        <v>3</v>
      </c>
      <c r="I108" s="2756">
        <f t="shared" si="32"/>
        <v>3</v>
      </c>
      <c r="J108" s="2756">
        <f t="shared" si="32"/>
        <v>3</v>
      </c>
      <c r="K108" s="2756">
        <f t="shared" si="32"/>
        <v>3</v>
      </c>
      <c r="L108" s="2756">
        <f t="shared" si="32"/>
        <v>3</v>
      </c>
      <c r="M108" s="2756">
        <f t="shared" si="32"/>
        <v>3</v>
      </c>
      <c r="N108" s="2756">
        <f t="shared" si="32"/>
        <v>3</v>
      </c>
    </row>
    <row r="109" spans="1:14">
      <c r="A109" s="3230"/>
      <c r="B109" s="3109"/>
      <c r="C109" s="2757">
        <f>(-0.163*(C108^2)-0.59*C108+7617)*(10^(-4))/C101</f>
        <v>0.46425384146341464</v>
      </c>
      <c r="D109" s="2757">
        <f>(-0.163*(D108^2)-0.59*D108+7617)*(10^(-4))/D101</f>
        <v>0.46425384146341464</v>
      </c>
      <c r="E109" s="2757">
        <f>(-0.161*(E108^2)-7.509*E108+6533)*(10^(-4))/E101</f>
        <v>0.39689170731707324</v>
      </c>
      <c r="F109" s="2757">
        <f>(-0.161*(F108^2)-7.509*F108+6533)*(10^(-4))/F101</f>
        <v>0.39689170731707324</v>
      </c>
      <c r="G109" s="2757">
        <f>(-0.161*(G108^2)-7.509*G108+6533)*(10^(-4))/G101</f>
        <v>0.39689170731707324</v>
      </c>
      <c r="H109" s="2757">
        <f>(-0.161*(H108^2)-7.509*H108+6533)*(10^(-4))/H101</f>
        <v>0.39689170731707324</v>
      </c>
      <c r="I109" s="2757">
        <f>(-0.161*(I108^2)-7.509*I108+6533)*(10^(-4))/I101</f>
        <v>0.39689170731707324</v>
      </c>
      <c r="J109" s="2757">
        <f>(-0.214*(J108^2)-21.991*J108+4665)*(10^(-4))/J101</f>
        <v>0.28031103658536588</v>
      </c>
      <c r="K109" s="2757">
        <f>(-0.214*(K108^2)-21.991*K108+4665)*(10^(-4))/K101</f>
        <v>0.28031103658536588</v>
      </c>
      <c r="L109" s="2757">
        <f>(-0.214*(L108^2)-21.991*L108+4665)*(10^(-4))/L101</f>
        <v>0.28031103658536588</v>
      </c>
      <c r="M109" s="2757">
        <f>(-0.214*(M108^2)-21.991*M108+4665)*(10^(-4))/M101</f>
        <v>0.28031103658536588</v>
      </c>
      <c r="N109" s="2757">
        <f>(-0.214*(N108^2)-21.991*N108+4665)*(10^(-4))/N101</f>
        <v>0.28031103658536588</v>
      </c>
    </row>
    <row r="110" spans="1:14">
      <c r="A110" s="3226" t="s">
        <v>2978</v>
      </c>
      <c r="B110" s="3226"/>
      <c r="C110" s="3226"/>
      <c r="D110" s="3226"/>
      <c r="E110" s="3226"/>
      <c r="F110" s="3226"/>
      <c r="G110" s="3226"/>
      <c r="H110" s="3226"/>
      <c r="I110" s="3226"/>
      <c r="J110" s="3226"/>
      <c r="K110" s="2760"/>
      <c r="L110" s="2760"/>
      <c r="M110" s="2760"/>
      <c r="N110" s="2760"/>
    </row>
    <row r="112" spans="1:14" ht="13.5" thickBot="1"/>
    <row r="113" spans="1:13" ht="25.5" thickBot="1">
      <c r="A113" s="903" t="s">
        <v>2979</v>
      </c>
      <c r="B113" s="1287">
        <f>G3</f>
        <v>1.64</v>
      </c>
      <c r="C113" s="904" t="s">
        <v>2980</v>
      </c>
      <c r="D113" s="905">
        <f>SUMPRODUCT((A115:A118=F113)*(B114:M114=H113)*B115:M118)</f>
        <v>0.81520000000000004</v>
      </c>
      <c r="E113" s="2591" t="s">
        <v>2813</v>
      </c>
      <c r="F113" s="2762" t="str">
        <f>E2</f>
        <v>商业</v>
      </c>
      <c r="G113" s="2591" t="s">
        <v>2814</v>
      </c>
      <c r="H113" s="2762" t="str">
        <f>G2</f>
        <v>五级</v>
      </c>
      <c r="I113" s="2591"/>
      <c r="J113" s="2763"/>
      <c r="K113" s="2763"/>
      <c r="L113" s="2763"/>
      <c r="M113" s="2763"/>
    </row>
    <row r="114" spans="1:13">
      <c r="A114" s="908"/>
      <c r="B114" s="2764" t="s">
        <v>2981</v>
      </c>
      <c r="C114" s="2764" t="s">
        <v>2982</v>
      </c>
      <c r="D114" s="2764" t="s">
        <v>2983</v>
      </c>
      <c r="E114" s="2765" t="s">
        <v>2984</v>
      </c>
      <c r="F114" s="2765" t="s">
        <v>2985</v>
      </c>
      <c r="G114" s="2765" t="s">
        <v>2986</v>
      </c>
      <c r="H114" s="2766" t="s">
        <v>2987</v>
      </c>
      <c r="I114" s="2766" t="s">
        <v>2988</v>
      </c>
      <c r="J114" s="2767" t="s">
        <v>2989</v>
      </c>
      <c r="K114" s="2767" t="s">
        <v>2990</v>
      </c>
      <c r="L114" s="2767" t="s">
        <v>2991</v>
      </c>
      <c r="M114" s="2768" t="s">
        <v>2992</v>
      </c>
    </row>
    <row r="115" spans="1:13">
      <c r="A115" s="909" t="s">
        <v>2878</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2879</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2880</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2881</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37" sqref="L3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2641</v>
      </c>
      <c r="C1" s="1518" t="s">
        <v>2529</v>
      </c>
      <c r="D1" s="1505" t="s">
        <v>1372</v>
      </c>
      <c r="E1" s="2524"/>
      <c r="F1" s="2451" t="s">
        <v>3083</v>
      </c>
      <c r="G1" s="1515" t="s">
        <v>2642</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2326</v>
      </c>
      <c r="B2" s="1418">
        <f>IF(C2="——",ROUND(C49*D3/10000,0),ROUND(C49*D3/10000,0)-D2)</f>
        <v>15907</v>
      </c>
      <c r="C2" s="2453" t="s">
        <v>70</v>
      </c>
      <c r="D2" s="1365" t="e">
        <f ca="1">SUMIF(INDIRECT("'"&amp;F2&amp;"'"&amp;"!A:A"),"承租人权益价值",INDIRECT("'"&amp;F2&amp;"'"&amp;"!c:c"))</f>
        <v>#REF!</v>
      </c>
      <c r="E2" s="2454" t="s">
        <v>2327</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2328</v>
      </c>
      <c r="B3" s="609">
        <f>IF(C2="——",C49,ROUND(B2*10000/D3,0))</f>
        <v>40727</v>
      </c>
      <c r="C3" s="400" t="s">
        <v>2643</v>
      </c>
      <c r="D3" s="399">
        <f>IF(D1="",'数据-汇总表'!E3,SUMIF('数据-汇总表'!$C19:$C33,D1,'数据-汇总表'!$E19:$E33))</f>
        <v>3905.76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201" t="s">
        <v>2647</v>
      </c>
      <c r="AC4" s="3182" t="s">
        <v>2648</v>
      </c>
    </row>
    <row r="5" spans="1:29" ht="15">
      <c r="A5" s="404"/>
      <c r="B5" s="405"/>
      <c r="C5" s="3204" t="s">
        <v>2541</v>
      </c>
      <c r="D5" s="3205"/>
      <c r="E5" s="3237" t="s">
        <v>3103</v>
      </c>
      <c r="F5" s="3212"/>
      <c r="G5" s="3236" t="s">
        <v>3098</v>
      </c>
      <c r="H5" s="3205"/>
      <c r="I5" s="3236" t="s">
        <v>3100</v>
      </c>
      <c r="J5" s="3205"/>
      <c r="K5" s="610"/>
      <c r="L5" s="1130"/>
      <c r="M5" s="1131"/>
      <c r="N5" s="1131"/>
      <c r="O5" s="1131"/>
      <c r="P5" s="3191"/>
      <c r="Q5" s="3192"/>
      <c r="R5" s="3197"/>
      <c r="S5" s="3198"/>
      <c r="T5" s="3197"/>
      <c r="U5" s="3198"/>
      <c r="V5" s="3201"/>
      <c r="W5" s="3201"/>
      <c r="X5" s="1678"/>
      <c r="Y5" s="3197"/>
      <c r="Z5" s="3198"/>
      <c r="AA5" s="3183"/>
      <c r="AB5" s="3201"/>
      <c r="AC5" s="3183"/>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3"/>
      <c r="Q6" s="3194"/>
      <c r="R6" s="3197"/>
      <c r="S6" s="3198"/>
      <c r="T6" s="3199"/>
      <c r="U6" s="3200"/>
      <c r="V6" s="3201"/>
      <c r="W6" s="3201"/>
      <c r="X6" s="1678"/>
      <c r="Y6" s="3199"/>
      <c r="Z6" s="3200"/>
      <c r="AA6" s="3184"/>
      <c r="AB6" s="3201"/>
      <c r="AC6" s="3184"/>
    </row>
    <row r="7" spans="1:29" s="117" customFormat="1" ht="15.75" thickBot="1">
      <c r="A7" s="408" t="s">
        <v>2547</v>
      </c>
      <c r="B7" s="409"/>
      <c r="C7" s="410">
        <f>'数据-取费表'!B2</f>
        <v>44046</v>
      </c>
      <c r="D7" s="411">
        <v>100</v>
      </c>
      <c r="E7" s="412">
        <v>43913</v>
      </c>
      <c r="F7" s="413">
        <f>SUMIF(58:58,YEAR(E7)&amp;"-"&amp;MONTH(E7),59:59)</f>
        <v>100</v>
      </c>
      <c r="G7" s="412">
        <f>C7</f>
        <v>44046</v>
      </c>
      <c r="H7" s="411">
        <f>SUMIF(58:58,YEAR(G7)&amp;"-"&amp;MONTH(G7),59:59)</f>
        <v>100</v>
      </c>
      <c r="I7" s="412">
        <v>44029</v>
      </c>
      <c r="J7" s="411">
        <f>SUMIF(58:58,YEAR(I7)&amp;"-"&amp;MONTH(I7),59:59)</f>
        <v>100</v>
      </c>
      <c r="K7" s="611"/>
      <c r="L7" s="1132"/>
      <c r="M7" s="1133"/>
      <c r="N7" s="1133"/>
      <c r="O7" s="1133"/>
      <c r="P7" s="3206" t="s">
        <v>2548</v>
      </c>
      <c r="Q7" s="3208"/>
      <c r="R7" s="770" t="s">
        <v>17</v>
      </c>
      <c r="S7" s="771">
        <f t="shared" ref="S7:S15" si="0">F7</f>
        <v>100</v>
      </c>
      <c r="T7" s="770" t="s">
        <v>17</v>
      </c>
      <c r="U7" s="771">
        <f t="shared" ref="U7:U15" si="1">H7</f>
        <v>100</v>
      </c>
      <c r="V7" s="770" t="s">
        <v>17</v>
      </c>
      <c r="W7" s="771">
        <f t="shared" ref="W7:W15" si="2">J7</f>
        <v>100</v>
      </c>
      <c r="X7" s="772"/>
      <c r="Y7" s="3206" t="s">
        <v>2548</v>
      </c>
      <c r="Z7" s="3207"/>
      <c r="AA7" s="773">
        <f>D7/F7</f>
        <v>1</v>
      </c>
      <c r="AB7" s="773">
        <f>D7/H7</f>
        <v>1</v>
      </c>
      <c r="AC7" s="773">
        <f>D7/J7</f>
        <v>1</v>
      </c>
    </row>
    <row r="8" spans="1:29" s="117" customFormat="1" ht="15.75" thickBot="1">
      <c r="A8" s="408" t="s">
        <v>2549</v>
      </c>
      <c r="B8" s="409"/>
      <c r="C8" s="414" t="s">
        <v>2651</v>
      </c>
      <c r="D8" s="411">
        <v>100</v>
      </c>
      <c r="E8" s="414" t="s">
        <v>3082</v>
      </c>
      <c r="F8" s="413">
        <f>SUMIF(61:61,E8,62:62)-SUMIF(61:61,C8,62:62)+100</f>
        <v>100</v>
      </c>
      <c r="G8" s="414" t="s">
        <v>3082</v>
      </c>
      <c r="H8" s="411">
        <f>SUMIF(61:61,G8,62:62)-SUMIF(61:61,C8,62:62)+100</f>
        <v>100</v>
      </c>
      <c r="I8" s="414" t="s">
        <v>3082</v>
      </c>
      <c r="J8" s="411">
        <f>SUMIF(61:61,I8,62:62)-SUMIF(61:61,C8,62:62)+100</f>
        <v>100</v>
      </c>
      <c r="K8" s="611"/>
      <c r="L8" s="1132"/>
      <c r="M8" s="1133"/>
      <c r="N8" s="1133"/>
      <c r="O8" s="1133"/>
      <c r="P8" s="3206" t="s">
        <v>2551</v>
      </c>
      <c r="Q8" s="3207"/>
      <c r="R8" s="770" t="s">
        <v>17</v>
      </c>
      <c r="S8" s="771">
        <f t="shared" si="0"/>
        <v>100</v>
      </c>
      <c r="T8" s="770" t="s">
        <v>17</v>
      </c>
      <c r="U8" s="771">
        <f t="shared" si="1"/>
        <v>100</v>
      </c>
      <c r="V8" s="770" t="s">
        <v>17</v>
      </c>
      <c r="W8" s="771">
        <f t="shared" si="2"/>
        <v>100</v>
      </c>
      <c r="X8" s="772"/>
      <c r="Y8" s="3206" t="s">
        <v>2551</v>
      </c>
      <c r="Z8" s="3207"/>
      <c r="AA8" s="773">
        <f t="shared" ref="AA8:AA46" si="3">D8/F8</f>
        <v>1</v>
      </c>
      <c r="AB8" s="773">
        <f t="shared" ref="AB8:AB46" si="4">D8/H8</f>
        <v>1</v>
      </c>
      <c r="AC8" s="773">
        <f t="shared" ref="AC8:AC46" si="5">D8/J8</f>
        <v>1</v>
      </c>
    </row>
    <row r="9" spans="1:29" s="117" customFormat="1">
      <c r="A9" s="415" t="s">
        <v>2552</v>
      </c>
      <c r="B9" s="71" t="s">
        <v>2553</v>
      </c>
      <c r="C9" s="2945" t="s">
        <v>3099</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1"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773">
        <f t="shared" si="5"/>
        <v>1</v>
      </c>
    </row>
    <row r="10" spans="1:29" s="427" customFormat="1" ht="27">
      <c r="A10" s="421"/>
      <c r="B10" s="422" t="s">
        <v>2556</v>
      </c>
      <c r="C10" s="423" t="s">
        <v>3104</v>
      </c>
      <c r="D10" s="136">
        <v>100</v>
      </c>
      <c r="E10" s="424" t="s">
        <v>3104</v>
      </c>
      <c r="F10" s="425">
        <f>SUMIF(65:65,E10,66:66)-SUMIF(65:65,C10,66:66)+100</f>
        <v>100</v>
      </c>
      <c r="G10" s="423" t="s">
        <v>3104</v>
      </c>
      <c r="H10" s="136">
        <f>SUMIF(65:65,G10,66:66)-SUMIF(65:65,C10,66:66)+100</f>
        <v>100</v>
      </c>
      <c r="I10" s="423" t="s">
        <v>3104</v>
      </c>
      <c r="J10" s="136">
        <f>SUMIF(65:65,I10,66:66)-SUMIF(65:65,C10,66:66)+100</f>
        <v>100</v>
      </c>
      <c r="K10" s="612">
        <v>2</v>
      </c>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1"/>
      <c r="Q11" s="1660" t="str">
        <f t="shared" si="6"/>
        <v>容积率</v>
      </c>
      <c r="R11" s="770" t="s">
        <v>17</v>
      </c>
      <c r="S11" s="771">
        <f t="shared" si="0"/>
        <v>100</v>
      </c>
      <c r="T11" s="770" t="s">
        <v>17</v>
      </c>
      <c r="U11" s="771">
        <f t="shared" si="1"/>
        <v>100</v>
      </c>
      <c r="V11" s="770" t="s">
        <v>17</v>
      </c>
      <c r="W11" s="771">
        <f t="shared" si="2"/>
        <v>100</v>
      </c>
      <c r="X11" s="772"/>
      <c r="Y11" s="2993"/>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71.25">
      <c r="A15" s="440" t="s">
        <v>2558</v>
      </c>
      <c r="B15" s="69" t="s">
        <v>2652</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179" t="s">
        <v>2559</v>
      </c>
      <c r="Q15" s="1675" t="str">
        <f t="shared" si="6"/>
        <v>商业繁华度</v>
      </c>
      <c r="R15" s="774" t="s">
        <v>17</v>
      </c>
      <c r="S15" s="775">
        <f t="shared" si="0"/>
        <v>100</v>
      </c>
      <c r="T15" s="774" t="s">
        <v>17</v>
      </c>
      <c r="U15" s="775">
        <f t="shared" si="1"/>
        <v>97</v>
      </c>
      <c r="V15" s="774" t="s">
        <v>17</v>
      </c>
      <c r="W15" s="775">
        <f t="shared" si="2"/>
        <v>100</v>
      </c>
      <c r="X15" s="1678"/>
      <c r="Y15" s="3172" t="s">
        <v>2559</v>
      </c>
      <c r="Z15" s="1679" t="str">
        <f t="shared" si="7"/>
        <v>商业繁华度</v>
      </c>
      <c r="AA15" s="1676">
        <f t="shared" si="3"/>
        <v>1</v>
      </c>
      <c r="AB15" s="1676">
        <f t="shared" si="4"/>
        <v>1.0309278350515463</v>
      </c>
      <c r="AC15" s="1676">
        <f t="shared" si="5"/>
        <v>1</v>
      </c>
    </row>
    <row r="16" spans="1:29" ht="15">
      <c r="A16" s="428"/>
      <c r="B16" s="446"/>
      <c r="C16" s="447" t="s">
        <v>3085</v>
      </c>
      <c r="D16" s="448"/>
      <c r="E16" s="447" t="s">
        <v>3085</v>
      </c>
      <c r="F16" s="449"/>
      <c r="G16" s="447" t="s">
        <v>3105</v>
      </c>
      <c r="H16" s="450"/>
      <c r="I16" s="447" t="s">
        <v>3085</v>
      </c>
      <c r="J16" s="448"/>
      <c r="K16" s="615"/>
      <c r="L16" s="1140"/>
      <c r="M16" s="1131"/>
      <c r="N16" s="1131"/>
      <c r="O16" s="1131"/>
      <c r="P16" s="3180"/>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103</v>
      </c>
      <c r="K17" s="614">
        <v>3</v>
      </c>
      <c r="L17" s="1140"/>
      <c r="M17" s="1131"/>
      <c r="N17" s="1131"/>
      <c r="O17" s="1131"/>
      <c r="P17" s="3180"/>
      <c r="Q17" s="1675" t="str">
        <f>B17</f>
        <v>交通便捷度</v>
      </c>
      <c r="R17" s="774" t="s">
        <v>17</v>
      </c>
      <c r="S17" s="775">
        <f>F17</f>
        <v>100</v>
      </c>
      <c r="T17" s="774" t="s">
        <v>17</v>
      </c>
      <c r="U17" s="775">
        <f>H17</f>
        <v>100</v>
      </c>
      <c r="V17" s="774" t="s">
        <v>17</v>
      </c>
      <c r="W17" s="775">
        <f>J17</f>
        <v>103</v>
      </c>
      <c r="X17" s="1678"/>
      <c r="Y17" s="3173"/>
      <c r="Z17" s="1679" t="str">
        <f>Q17</f>
        <v>交通便捷度</v>
      </c>
      <c r="AA17" s="1676">
        <f t="shared" si="3"/>
        <v>1</v>
      </c>
      <c r="AB17" s="1676">
        <f t="shared" si="4"/>
        <v>1</v>
      </c>
      <c r="AC17" s="1676">
        <f t="shared" si="5"/>
        <v>0.970873786407767</v>
      </c>
    </row>
    <row r="18" spans="1:29" ht="15">
      <c r="A18" s="428"/>
      <c r="B18" s="456"/>
      <c r="C18" s="2475" t="s">
        <v>3105</v>
      </c>
      <c r="D18" s="450"/>
      <c r="E18" s="2477" t="s">
        <v>3105</v>
      </c>
      <c r="F18" s="453"/>
      <c r="G18" s="2476" t="s">
        <v>3105</v>
      </c>
      <c r="H18" s="448"/>
      <c r="I18" s="2477" t="s">
        <v>3085</v>
      </c>
      <c r="J18" s="448"/>
      <c r="K18" s="615"/>
      <c r="L18" s="1140"/>
      <c r="M18" s="1131"/>
      <c r="N18" s="1131"/>
      <c r="O18" s="1131"/>
      <c r="P18" s="3180"/>
      <c r="Q18" s="1675"/>
      <c r="R18" s="774"/>
      <c r="S18" s="775"/>
      <c r="T18" s="774"/>
      <c r="U18" s="775"/>
      <c r="V18" s="774"/>
      <c r="W18" s="775"/>
      <c r="X18" s="1678"/>
      <c r="Y18" s="3173"/>
      <c r="Z18" s="1679"/>
      <c r="AA18" s="1676">
        <v>1</v>
      </c>
      <c r="AB18" s="1676">
        <v>1</v>
      </c>
      <c r="AC18" s="1676">
        <v>1</v>
      </c>
    </row>
    <row r="19" spans="1:29" ht="42.75">
      <c r="A19" s="428"/>
      <c r="B19" s="451" t="s">
        <v>2653</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0"/>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1676">
        <f t="shared" si="5"/>
        <v>1</v>
      </c>
    </row>
    <row r="20" spans="1:29" ht="15">
      <c r="A20" s="428"/>
      <c r="B20" s="456"/>
      <c r="C20" s="447" t="s">
        <v>3085</v>
      </c>
      <c r="D20" s="448"/>
      <c r="E20" s="2472" t="s">
        <v>3085</v>
      </c>
      <c r="F20" s="449"/>
      <c r="G20" s="2471" t="s">
        <v>3085</v>
      </c>
      <c r="H20" s="448"/>
      <c r="I20" s="2472" t="s">
        <v>3085</v>
      </c>
      <c r="J20" s="448"/>
      <c r="K20" s="615"/>
      <c r="L20" s="1140"/>
      <c r="M20" s="1131"/>
      <c r="N20" s="1131"/>
      <c r="O20" s="1131"/>
      <c r="P20" s="3180"/>
      <c r="Q20" s="1675"/>
      <c r="R20" s="774"/>
      <c r="S20" s="775"/>
      <c r="T20" s="774"/>
      <c r="U20" s="775"/>
      <c r="V20" s="774"/>
      <c r="W20" s="775"/>
      <c r="X20" s="1678"/>
      <c r="Y20" s="3173"/>
      <c r="Z20" s="1679"/>
      <c r="AA20" s="1676">
        <v>1</v>
      </c>
      <c r="AB20" s="1676">
        <v>1</v>
      </c>
      <c r="AC20" s="1676">
        <v>1</v>
      </c>
    </row>
    <row r="21" spans="1:29" ht="28.5">
      <c r="A21" s="428"/>
      <c r="B21" s="1384" t="s">
        <v>2654</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t="s">
        <v>3106</v>
      </c>
      <c r="D22" s="448"/>
      <c r="E22" s="2475" t="s">
        <v>3106</v>
      </c>
      <c r="F22" s="449"/>
      <c r="G22" s="2475" t="s">
        <v>3106</v>
      </c>
      <c r="H22" s="448"/>
      <c r="I22" s="2475" t="s">
        <v>3106</v>
      </c>
      <c r="J22" s="448"/>
      <c r="K22" s="1383"/>
      <c r="L22" s="1140"/>
      <c r="M22" s="1131"/>
      <c r="N22" s="1131"/>
      <c r="O22" s="1131"/>
      <c r="P22" s="3180"/>
      <c r="Q22" s="1675"/>
      <c r="R22" s="774"/>
      <c r="S22" s="775"/>
      <c r="T22" s="774"/>
      <c r="U22" s="775"/>
      <c r="V22" s="774"/>
      <c r="W22" s="775"/>
      <c r="X22" s="1678"/>
      <c r="Y22" s="3173"/>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180"/>
      <c r="Q23" s="1675" t="str">
        <f>B23</f>
        <v>自然及人文环境</v>
      </c>
      <c r="R23" s="774" t="s">
        <v>17</v>
      </c>
      <c r="S23" s="775">
        <f>F23</f>
        <v>100</v>
      </c>
      <c r="T23" s="774" t="s">
        <v>17</v>
      </c>
      <c r="U23" s="775">
        <f>H23</f>
        <v>103</v>
      </c>
      <c r="V23" s="774" t="s">
        <v>17</v>
      </c>
      <c r="W23" s="775">
        <f>J23</f>
        <v>100</v>
      </c>
      <c r="X23" s="1678"/>
      <c r="Y23" s="3173"/>
      <c r="Z23" s="1679" t="str">
        <f>Q23</f>
        <v>自然及人文环境</v>
      </c>
      <c r="AA23" s="1676">
        <f t="shared" si="3"/>
        <v>1</v>
      </c>
      <c r="AB23" s="1676">
        <f t="shared" si="4"/>
        <v>0.970873786407767</v>
      </c>
      <c r="AC23" s="1676">
        <f t="shared" si="5"/>
        <v>1</v>
      </c>
    </row>
    <row r="24" spans="1:29" ht="15">
      <c r="A24" s="428"/>
      <c r="B24" s="456"/>
      <c r="C24" s="447" t="s">
        <v>3105</v>
      </c>
      <c r="D24" s="448"/>
      <c r="E24" s="2472" t="s">
        <v>3105</v>
      </c>
      <c r="F24" s="449"/>
      <c r="G24" s="2471" t="s">
        <v>3085</v>
      </c>
      <c r="H24" s="448"/>
      <c r="I24" s="2472" t="s">
        <v>3105</v>
      </c>
      <c r="J24" s="448"/>
      <c r="K24" s="615"/>
      <c r="L24" s="1140"/>
      <c r="M24" s="1131"/>
      <c r="N24" s="1131"/>
      <c r="O24" s="1131"/>
      <c r="P24" s="3180"/>
      <c r="Q24" s="1675"/>
      <c r="R24" s="774"/>
      <c r="S24" s="775"/>
      <c r="T24" s="774"/>
      <c r="U24" s="775"/>
      <c r="V24" s="774"/>
      <c r="W24" s="775"/>
      <c r="X24" s="1678"/>
      <c r="Y24" s="3173"/>
      <c r="Z24" s="1679"/>
      <c r="AA24" s="1676">
        <v>1</v>
      </c>
      <c r="AB24" s="1676">
        <v>1</v>
      </c>
      <c r="AC24" s="1676">
        <v>1</v>
      </c>
    </row>
    <row r="25" spans="1:29" ht="15">
      <c r="A25" s="428"/>
      <c r="B25" s="422" t="s">
        <v>2655</v>
      </c>
      <c r="C25" s="616" t="s">
        <v>3109</v>
      </c>
      <c r="D25" s="435">
        <v>100</v>
      </c>
      <c r="E25" s="616" t="s">
        <v>3109</v>
      </c>
      <c r="F25" s="461">
        <f>SUMIF(86:86,E25,87:87)-SUMIF(86:86,C25,87:87)+100</f>
        <v>100</v>
      </c>
      <c r="G25" s="616" t="s">
        <v>3109</v>
      </c>
      <c r="H25" s="435">
        <f>SUMIF(86:86,G25,87:87)-SUMIF(86:86,C25,87:87)+100</f>
        <v>100</v>
      </c>
      <c r="I25" s="616" t="s">
        <v>3109</v>
      </c>
      <c r="J25" s="435">
        <f>SUMIF(86:86,I25,87:87)-SUMIF(86:86,C25,87:87)+100</f>
        <v>100</v>
      </c>
      <c r="K25" s="612">
        <v>2</v>
      </c>
      <c r="L25" s="1140"/>
      <c r="M25" s="1131"/>
      <c r="N25" s="1131"/>
      <c r="O25" s="1131"/>
      <c r="P25" s="3180"/>
      <c r="Q25" s="1675" t="str">
        <f t="shared" ref="Q25:Q46" si="11">B25</f>
        <v>临街状况</v>
      </c>
      <c r="R25" s="774" t="s">
        <v>17</v>
      </c>
      <c r="S25" s="775">
        <f>F25</f>
        <v>100</v>
      </c>
      <c r="T25" s="774" t="s">
        <v>17</v>
      </c>
      <c r="U25" s="775">
        <f>H25</f>
        <v>100</v>
      </c>
      <c r="V25" s="774" t="s">
        <v>17</v>
      </c>
      <c r="W25" s="775">
        <f>J25</f>
        <v>100</v>
      </c>
      <c r="X25" s="1678"/>
      <c r="Y25" s="3173"/>
      <c r="Z25" s="1679" t="str">
        <f>Q25</f>
        <v>临街状况</v>
      </c>
      <c r="AA25" s="1676">
        <f t="shared" si="3"/>
        <v>1</v>
      </c>
      <c r="AB25" s="1676">
        <f t="shared" si="4"/>
        <v>1</v>
      </c>
      <c r="AC25" s="1676">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0"/>
      <c r="Q26" s="1675" t="str">
        <f t="shared" si="11"/>
        <v>平面位置/可视性</v>
      </c>
      <c r="R26" s="774" t="s">
        <v>17</v>
      </c>
      <c r="S26" s="775">
        <f>F26</f>
        <v>100</v>
      </c>
      <c r="T26" s="774" t="s">
        <v>17</v>
      </c>
      <c r="U26" s="775">
        <f>H26</f>
        <v>100</v>
      </c>
      <c r="V26" s="774" t="s">
        <v>17</v>
      </c>
      <c r="W26" s="775">
        <f>J26</f>
        <v>100</v>
      </c>
      <c r="X26" s="1678"/>
      <c r="Y26" s="3173"/>
      <c r="Z26" s="1679" t="str">
        <f>Q26</f>
        <v>平面位置/可视性</v>
      </c>
      <c r="AA26" s="1676">
        <f t="shared" si="3"/>
        <v>1</v>
      </c>
      <c r="AB26" s="1676">
        <f t="shared" si="4"/>
        <v>1</v>
      </c>
      <c r="AC26" s="1676">
        <f t="shared" si="5"/>
        <v>1</v>
      </c>
    </row>
    <row r="27" spans="1:29" s="117" customFormat="1" ht="15">
      <c r="A27" s="431"/>
      <c r="B27" s="451" t="s">
        <v>2657</v>
      </c>
      <c r="C27" s="2532" t="s">
        <v>3113</v>
      </c>
      <c r="D27" s="462">
        <v>100</v>
      </c>
      <c r="E27" s="2532" t="s">
        <v>3113</v>
      </c>
      <c r="F27" s="464">
        <f>SUMIF(90:90,E27,91:91)-SUMIF(90:90,C27,91:91)+100</f>
        <v>100</v>
      </c>
      <c r="G27" s="2532" t="s">
        <v>3105</v>
      </c>
      <c r="H27" s="462">
        <f>SUMIF(90:90,G27,91:91)-SUMIF(90:90,C27,91:91)+100</f>
        <v>97</v>
      </c>
      <c r="I27" s="2532" t="s">
        <v>3113</v>
      </c>
      <c r="J27" s="462">
        <f>SUMIF(90:90,I27,91:91)-SUMIF(90:90,C27,91:91)+100</f>
        <v>100</v>
      </c>
      <c r="K27" s="612">
        <v>3</v>
      </c>
      <c r="L27" s="1132"/>
      <c r="M27" s="1133"/>
      <c r="N27" s="1133"/>
      <c r="O27" s="1133"/>
      <c r="P27" s="3180"/>
      <c r="Q27" s="1660" t="str">
        <f t="shared" si="11"/>
        <v>人流量</v>
      </c>
      <c r="R27" s="770" t="s">
        <v>17</v>
      </c>
      <c r="S27" s="771">
        <f>F27</f>
        <v>100</v>
      </c>
      <c r="T27" s="770" t="s">
        <v>17</v>
      </c>
      <c r="U27" s="771">
        <f>H27</f>
        <v>97</v>
      </c>
      <c r="V27" s="770" t="s">
        <v>17</v>
      </c>
      <c r="W27" s="771">
        <f>J27</f>
        <v>100</v>
      </c>
      <c r="X27" s="772"/>
      <c r="Y27" s="3173"/>
      <c r="Z27" s="55" t="str">
        <f>Q27</f>
        <v>人流量</v>
      </c>
      <c r="AA27" s="1676">
        <f>D27/F27</f>
        <v>1</v>
      </c>
      <c r="AB27" s="1676">
        <f>D27/H27</f>
        <v>1.0309278350515463</v>
      </c>
      <c r="AC27" s="1676">
        <f>D27/J27</f>
        <v>1</v>
      </c>
    </row>
    <row r="28" spans="1:29" ht="15">
      <c r="A28" s="428"/>
      <c r="B28" s="422" t="s">
        <v>2658</v>
      </c>
      <c r="C28" s="616" t="s">
        <v>3145</v>
      </c>
      <c r="D28" s="435">
        <v>100</v>
      </c>
      <c r="E28" s="616" t="s">
        <v>3145</v>
      </c>
      <c r="F28" s="461">
        <f>SUMIF(92:92,E28,93:93)-SUMIF(92:92,C28,93:93)+100</f>
        <v>100</v>
      </c>
      <c r="G28" s="616" t="s">
        <v>3145</v>
      </c>
      <c r="H28" s="435">
        <f>SUMIF(92:92,G28,93:93)-SUMIF(92:92,C28,93:93)+100</f>
        <v>100</v>
      </c>
      <c r="I28" s="616" t="s">
        <v>3145</v>
      </c>
      <c r="J28" s="435">
        <f>SUMIF(92:92,I28,93:93)-SUMIF(92:92,C28,93:93)+100</f>
        <v>100</v>
      </c>
      <c r="K28" s="613"/>
      <c r="L28" s="1140"/>
      <c r="M28" s="1131"/>
      <c r="N28" s="1131"/>
      <c r="O28" s="1131"/>
      <c r="P28" s="3180"/>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73"/>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0"/>
      <c r="Q29" s="1675">
        <f t="shared" si="11"/>
        <v>111</v>
      </c>
      <c r="R29" s="774" t="s">
        <v>17</v>
      </c>
      <c r="S29" s="775">
        <f t="shared" si="12"/>
        <v>100</v>
      </c>
      <c r="T29" s="774" t="s">
        <v>17</v>
      </c>
      <c r="U29" s="775">
        <f t="shared" si="13"/>
        <v>100</v>
      </c>
      <c r="V29" s="774" t="s">
        <v>17</v>
      </c>
      <c r="W29" s="775">
        <f t="shared" si="14"/>
        <v>100</v>
      </c>
      <c r="X29" s="1678"/>
      <c r="Y29" s="3173"/>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0"/>
      <c r="Q30" s="1675">
        <f t="shared" si="11"/>
        <v>111</v>
      </c>
      <c r="R30" s="774" t="s">
        <v>17</v>
      </c>
      <c r="S30" s="775">
        <f t="shared" si="12"/>
        <v>100</v>
      </c>
      <c r="T30" s="774" t="s">
        <v>17</v>
      </c>
      <c r="U30" s="775">
        <f t="shared" si="13"/>
        <v>100</v>
      </c>
      <c r="V30" s="774" t="s">
        <v>17</v>
      </c>
      <c r="W30" s="775">
        <f t="shared" si="14"/>
        <v>100</v>
      </c>
      <c r="X30" s="1678"/>
      <c r="Y30" s="3173"/>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0"/>
      <c r="Q31" s="1675">
        <f t="shared" si="11"/>
        <v>111</v>
      </c>
      <c r="R31" s="774" t="s">
        <v>17</v>
      </c>
      <c r="S31" s="775">
        <f t="shared" si="12"/>
        <v>100</v>
      </c>
      <c r="T31" s="774" t="s">
        <v>17</v>
      </c>
      <c r="U31" s="775">
        <f t="shared" si="13"/>
        <v>100</v>
      </c>
      <c r="V31" s="774" t="s">
        <v>17</v>
      </c>
      <c r="W31" s="775">
        <f t="shared" si="14"/>
        <v>100</v>
      </c>
      <c r="X31" s="1678"/>
      <c r="Y31" s="3173"/>
      <c r="Z31" s="1679">
        <f t="shared" si="15"/>
        <v>111</v>
      </c>
      <c r="AA31" s="1676">
        <f t="shared" si="3"/>
        <v>1</v>
      </c>
      <c r="AB31" s="1676">
        <f t="shared" si="4"/>
        <v>1</v>
      </c>
      <c r="AC31" s="1676">
        <f t="shared" si="5"/>
        <v>1</v>
      </c>
    </row>
    <row r="32" spans="1:29" ht="15">
      <c r="A32" s="440" t="s">
        <v>2562</v>
      </c>
      <c r="B32" s="71" t="s">
        <v>2659</v>
      </c>
      <c r="C32" s="2484" t="s">
        <v>3132</v>
      </c>
      <c r="D32" s="467">
        <v>100</v>
      </c>
      <c r="E32" s="2484" t="s">
        <v>3134</v>
      </c>
      <c r="F32" s="461">
        <f>SUMIF(100:100,E32,101:101)-SUMIF(100:100,C32,101:101)+100</f>
        <v>98</v>
      </c>
      <c r="G32" s="2484" t="s">
        <v>3132</v>
      </c>
      <c r="H32" s="435">
        <f>SUMIF(100:100,G32,101:101)-SUMIF(100:100,C32,101:101)+100</f>
        <v>100</v>
      </c>
      <c r="I32" s="2484" t="s">
        <v>3134</v>
      </c>
      <c r="J32" s="467">
        <f>SUMIF(100:100,I32,101:101)-SUMIF(100:100,C32,101:101)+100</f>
        <v>98</v>
      </c>
      <c r="K32" s="612">
        <v>2</v>
      </c>
      <c r="L32" s="1140"/>
      <c r="M32" s="1131"/>
      <c r="N32" s="1131"/>
      <c r="O32" s="1131"/>
      <c r="P32" s="3174" t="s">
        <v>2564</v>
      </c>
      <c r="Q32" s="1675" t="str">
        <f t="shared" si="11"/>
        <v>商业类型</v>
      </c>
      <c r="R32" s="774" t="s">
        <v>17</v>
      </c>
      <c r="S32" s="775">
        <f t="shared" si="12"/>
        <v>98</v>
      </c>
      <c r="T32" s="774" t="s">
        <v>17</v>
      </c>
      <c r="U32" s="775">
        <f t="shared" si="13"/>
        <v>100</v>
      </c>
      <c r="V32" s="774" t="s">
        <v>17</v>
      </c>
      <c r="W32" s="775">
        <f t="shared" si="14"/>
        <v>98</v>
      </c>
      <c r="X32" s="1678"/>
      <c r="Y32" s="3177" t="s">
        <v>2564</v>
      </c>
      <c r="Z32" s="1679" t="str">
        <f t="shared" si="15"/>
        <v>商业类型</v>
      </c>
      <c r="AA32" s="1676">
        <f t="shared" si="3"/>
        <v>1.0204081632653061</v>
      </c>
      <c r="AB32" s="1676">
        <f t="shared" si="4"/>
        <v>1</v>
      </c>
      <c r="AC32" s="1676">
        <f t="shared" si="5"/>
        <v>1.0204081632653061</v>
      </c>
    </row>
    <row r="33" spans="1:29" s="471" customFormat="1" ht="15">
      <c r="A33" s="468"/>
      <c r="B33" s="422" t="s">
        <v>2565</v>
      </c>
      <c r="C33" s="469">
        <f>'数据-基础表'!I13</f>
        <v>1330.07</v>
      </c>
      <c r="D33" s="136">
        <v>100</v>
      </c>
      <c r="E33" s="430">
        <v>300</v>
      </c>
      <c r="F33" s="425">
        <f>LOOKUP(E33,103:103,104:104)-LOOKUP(C33,103:103,104:104)+100</f>
        <v>102</v>
      </c>
      <c r="G33" s="429">
        <v>131.81</v>
      </c>
      <c r="H33" s="136">
        <f>LOOKUP(G33,103:103,104:104)-LOOKUP(C33,103:103,104:104)+100</f>
        <v>103</v>
      </c>
      <c r="I33" s="429">
        <v>138</v>
      </c>
      <c r="J33" s="136">
        <f>LOOKUP(I33,103:103,104:104)-LOOKUP(C33,103:103,104:104)+100</f>
        <v>103</v>
      </c>
      <c r="K33" s="613"/>
      <c r="L33" s="1138"/>
      <c r="M33" s="1141"/>
      <c r="N33" s="1141"/>
      <c r="O33" s="1141"/>
      <c r="P33" s="3175"/>
      <c r="Q33" s="776" t="str">
        <f t="shared" si="11"/>
        <v>项目建筑规模</v>
      </c>
      <c r="R33" s="777" t="s">
        <v>17</v>
      </c>
      <c r="S33" s="778">
        <f t="shared" si="12"/>
        <v>102</v>
      </c>
      <c r="T33" s="777" t="s">
        <v>17</v>
      </c>
      <c r="U33" s="778">
        <f t="shared" si="13"/>
        <v>103</v>
      </c>
      <c r="V33" s="777" t="s">
        <v>17</v>
      </c>
      <c r="W33" s="778">
        <f t="shared" si="14"/>
        <v>103</v>
      </c>
      <c r="X33" s="779"/>
      <c r="Y33" s="3177"/>
      <c r="Z33" s="780" t="str">
        <f t="shared" si="15"/>
        <v>项目建筑规模</v>
      </c>
      <c r="AA33" s="1676">
        <f t="shared" si="3"/>
        <v>0.98039215686274506</v>
      </c>
      <c r="AB33" s="1676">
        <f t="shared" si="4"/>
        <v>0.970873786407767</v>
      </c>
      <c r="AC33" s="1676">
        <f t="shared" si="5"/>
        <v>0.970873786407767</v>
      </c>
    </row>
    <row r="34" spans="1:29" ht="15">
      <c r="A34" s="472"/>
      <c r="B34" s="422" t="s">
        <v>2566</v>
      </c>
      <c r="C34" s="2486" t="s">
        <v>3090</v>
      </c>
      <c r="D34" s="435">
        <v>100</v>
      </c>
      <c r="E34" s="2486" t="s">
        <v>3090</v>
      </c>
      <c r="F34" s="461">
        <f>SUMIF(105:105,E34,106:106)-SUMIF(105:105,C34,106:106)+100</f>
        <v>100</v>
      </c>
      <c r="G34" s="2486" t="s">
        <v>3090</v>
      </c>
      <c r="H34" s="435">
        <f>SUMIF(105:105,G34,106:106)-SUMIF(105:105,C34,106:106)+100</f>
        <v>100</v>
      </c>
      <c r="I34" s="2486" t="s">
        <v>3090</v>
      </c>
      <c r="J34" s="435">
        <f>SUMIF(105:105,I34,106:106)-SUMIF(105:105,C34,106:106)+100</f>
        <v>100</v>
      </c>
      <c r="K34" s="612">
        <v>2</v>
      </c>
      <c r="L34" s="1140"/>
      <c r="M34" s="1131"/>
      <c r="N34" s="1131"/>
      <c r="O34" s="1131"/>
      <c r="P34" s="3175"/>
      <c r="Q34" s="1675" t="str">
        <f t="shared" si="11"/>
        <v>建筑结构</v>
      </c>
      <c r="R34" s="774" t="s">
        <v>17</v>
      </c>
      <c r="S34" s="775">
        <f t="shared" si="12"/>
        <v>100</v>
      </c>
      <c r="T34" s="774" t="s">
        <v>17</v>
      </c>
      <c r="U34" s="775">
        <f t="shared" si="13"/>
        <v>100</v>
      </c>
      <c r="V34" s="774" t="s">
        <v>17</v>
      </c>
      <c r="W34" s="775">
        <f t="shared" si="14"/>
        <v>100</v>
      </c>
      <c r="X34" s="1678"/>
      <c r="Y34" s="3177"/>
      <c r="Z34" s="1679" t="str">
        <f t="shared" si="15"/>
        <v>建筑结构</v>
      </c>
      <c r="AA34" s="1676">
        <f t="shared" si="3"/>
        <v>1</v>
      </c>
      <c r="AB34" s="1676">
        <f t="shared" si="4"/>
        <v>1</v>
      </c>
      <c r="AC34" s="1676">
        <f t="shared" si="5"/>
        <v>1</v>
      </c>
    </row>
    <row r="35" spans="1:29" ht="15">
      <c r="A35" s="472"/>
      <c r="B35" s="422" t="s">
        <v>2660</v>
      </c>
      <c r="C35" s="2480" t="s">
        <v>3119</v>
      </c>
      <c r="D35" s="435">
        <v>100</v>
      </c>
      <c r="E35" s="2480" t="s">
        <v>3119</v>
      </c>
      <c r="F35" s="461">
        <f>SUMIF(107:107,E35,108:108)-SUMIF(107:107,C35,108:108)+100</f>
        <v>100</v>
      </c>
      <c r="G35" s="2480" t="s">
        <v>3119</v>
      </c>
      <c r="H35" s="435">
        <f>SUMIF(107:107,G35,108:108)-SUMIF(107:107,C35,108:108)+100</f>
        <v>100</v>
      </c>
      <c r="I35" s="2480" t="s">
        <v>3119</v>
      </c>
      <c r="J35" s="435">
        <f>SUMIF(107:107,I35,108:108)-SUMIF(107:107,C35,108:108)+100</f>
        <v>100</v>
      </c>
      <c r="K35" s="612">
        <v>2</v>
      </c>
      <c r="L35" s="1140"/>
      <c r="M35" s="1131"/>
      <c r="N35" s="1131"/>
      <c r="O35" s="1131"/>
      <c r="P35" s="3175"/>
      <c r="Q35" s="1675" t="str">
        <f t="shared" si="11"/>
        <v>公共部分装修</v>
      </c>
      <c r="R35" s="774" t="s">
        <v>17</v>
      </c>
      <c r="S35" s="775">
        <f t="shared" si="12"/>
        <v>100</v>
      </c>
      <c r="T35" s="774" t="s">
        <v>17</v>
      </c>
      <c r="U35" s="775">
        <f t="shared" si="13"/>
        <v>100</v>
      </c>
      <c r="V35" s="774" t="s">
        <v>17</v>
      </c>
      <c r="W35" s="775">
        <f t="shared" si="14"/>
        <v>100</v>
      </c>
      <c r="X35" s="1678"/>
      <c r="Y35" s="3177"/>
      <c r="Z35" s="1679" t="str">
        <f t="shared" si="15"/>
        <v>公共部分装修</v>
      </c>
      <c r="AA35" s="1676">
        <f t="shared" si="3"/>
        <v>1</v>
      </c>
      <c r="AB35" s="1676">
        <f t="shared" si="4"/>
        <v>1</v>
      </c>
      <c r="AC35" s="1676">
        <f t="shared" si="5"/>
        <v>1</v>
      </c>
    </row>
    <row r="36" spans="1:29" ht="15">
      <c r="A36" s="472"/>
      <c r="B36" s="422" t="s">
        <v>2661</v>
      </c>
      <c r="C36" s="474">
        <f>'数据-取费表'!N6</f>
        <v>0.73</v>
      </c>
      <c r="D36" s="435">
        <v>100</v>
      </c>
      <c r="E36" s="474">
        <f>1-(2020-E50)/60</f>
        <v>0.83333333333333337</v>
      </c>
      <c r="F36" s="461">
        <f>LOOKUP(E36,110:110,111:111)-LOOKUP(C36,110:110,111:111)+100</f>
        <v>102</v>
      </c>
      <c r="G36" s="474">
        <v>0.75</v>
      </c>
      <c r="H36" s="461">
        <f>LOOKUP(G36,110:110,111:111)-LOOKUP(C36,110:110,111:111)+100</f>
        <v>100</v>
      </c>
      <c r="I36" s="474">
        <f>1-(2020-I50)/60</f>
        <v>0.83333333333333337</v>
      </c>
      <c r="J36" s="435">
        <f>LOOKUP(I36,110:110,111:111)-LOOKUP(C36,110:110,111:111)+100</f>
        <v>102</v>
      </c>
      <c r="K36" s="612">
        <v>2</v>
      </c>
      <c r="L36" s="1140"/>
      <c r="M36" s="1131"/>
      <c r="N36" s="1131"/>
      <c r="O36" s="1131"/>
      <c r="P36" s="3175"/>
      <c r="Q36" s="1675" t="str">
        <f t="shared" si="11"/>
        <v>成新度</v>
      </c>
      <c r="R36" s="774" t="s">
        <v>17</v>
      </c>
      <c r="S36" s="775">
        <f t="shared" si="12"/>
        <v>102</v>
      </c>
      <c r="T36" s="774" t="s">
        <v>17</v>
      </c>
      <c r="U36" s="775">
        <f t="shared" si="13"/>
        <v>100</v>
      </c>
      <c r="V36" s="774" t="s">
        <v>17</v>
      </c>
      <c r="W36" s="775">
        <f t="shared" si="14"/>
        <v>102</v>
      </c>
      <c r="X36" s="1678"/>
      <c r="Y36" s="3177"/>
      <c r="Z36" s="1679" t="str">
        <f t="shared" si="15"/>
        <v>成新度</v>
      </c>
      <c r="AA36" s="1676">
        <f t="shared" si="3"/>
        <v>0.98039215686274506</v>
      </c>
      <c r="AB36" s="1676">
        <f t="shared" si="4"/>
        <v>1</v>
      </c>
      <c r="AC36" s="1676">
        <f t="shared" si="5"/>
        <v>0.98039215686274506</v>
      </c>
    </row>
    <row r="37" spans="1:29" s="117" customFormat="1" ht="15">
      <c r="A37" s="473"/>
      <c r="B37" s="422" t="s">
        <v>2662</v>
      </c>
      <c r="C37" s="2480" t="s">
        <v>3106</v>
      </c>
      <c r="D37" s="136">
        <v>100</v>
      </c>
      <c r="E37" s="2480" t="s">
        <v>3129</v>
      </c>
      <c r="F37" s="461">
        <f>SUMIF(112:112,E37,113:113)-SUMIF(112:112,C37,113:113)+100</f>
        <v>96</v>
      </c>
      <c r="G37" s="2480" t="s">
        <v>3127</v>
      </c>
      <c r="H37" s="435">
        <f>SUMIF(112:112,G37,113:113)-SUMIF(112:112,C37,113:113)+100</f>
        <v>98</v>
      </c>
      <c r="I37" s="2480" t="s">
        <v>3127</v>
      </c>
      <c r="J37" s="435">
        <f>SUMIF(112:112,I37,113:113)-SUMIF(112:112,C37,113:113)+100</f>
        <v>98</v>
      </c>
      <c r="K37" s="612">
        <v>2</v>
      </c>
      <c r="L37" s="1132"/>
      <c r="M37" s="1133"/>
      <c r="N37" s="1133"/>
      <c r="O37" s="1133"/>
      <c r="P37" s="3175"/>
      <c r="Q37" s="1660" t="str">
        <f t="shared" si="11"/>
        <v>市政基础设施</v>
      </c>
      <c r="R37" s="770" t="s">
        <v>17</v>
      </c>
      <c r="S37" s="771">
        <f t="shared" si="12"/>
        <v>96</v>
      </c>
      <c r="T37" s="770" t="s">
        <v>17</v>
      </c>
      <c r="U37" s="771">
        <f t="shared" si="13"/>
        <v>98</v>
      </c>
      <c r="V37" s="770" t="s">
        <v>17</v>
      </c>
      <c r="W37" s="771">
        <f t="shared" si="14"/>
        <v>98</v>
      </c>
      <c r="X37" s="772"/>
      <c r="Y37" s="3177"/>
      <c r="Z37" s="55" t="str">
        <f t="shared" si="15"/>
        <v>市政基础设施</v>
      </c>
      <c r="AA37" s="773">
        <f t="shared" si="3"/>
        <v>1.0416666666666667</v>
      </c>
      <c r="AB37" s="773">
        <f t="shared" si="4"/>
        <v>1.0204081632653061</v>
      </c>
      <c r="AC37" s="773">
        <f t="shared" si="5"/>
        <v>1.0204081632653061</v>
      </c>
    </row>
    <row r="38" spans="1:29" ht="15">
      <c r="A38" s="472"/>
      <c r="B38" s="422" t="s">
        <v>2663</v>
      </c>
      <c r="C38" s="2480" t="s">
        <v>3137</v>
      </c>
      <c r="D38" s="435">
        <v>100</v>
      </c>
      <c r="E38" s="2480" t="s">
        <v>3139</v>
      </c>
      <c r="F38" s="461">
        <f>SUMIF(114:114,E38,115:115)-SUMIF(114:114,C38,115:115)+100</f>
        <v>95</v>
      </c>
      <c r="G38" s="2480" t="s">
        <v>3139</v>
      </c>
      <c r="H38" s="435">
        <f>SUMIF(114:114,G38,115:115)-SUMIF(114:114,C38,115:115)+100</f>
        <v>95</v>
      </c>
      <c r="I38" s="2480" t="s">
        <v>3137</v>
      </c>
      <c r="J38" s="435">
        <f>SUMIF(114:114,I38,115:115)-SUMIF(114:114,C38,115:115)+100</f>
        <v>100</v>
      </c>
      <c r="K38" s="612">
        <v>5</v>
      </c>
      <c r="L38" s="1140"/>
      <c r="M38" s="1131"/>
      <c r="N38" s="1131"/>
      <c r="O38" s="1131"/>
      <c r="P38" s="3175" t="s">
        <v>2564</v>
      </c>
      <c r="Q38" s="1675" t="str">
        <f t="shared" si="11"/>
        <v>业态</v>
      </c>
      <c r="R38" s="774" t="s">
        <v>17</v>
      </c>
      <c r="S38" s="775">
        <f t="shared" si="12"/>
        <v>95</v>
      </c>
      <c r="T38" s="774" t="s">
        <v>17</v>
      </c>
      <c r="U38" s="775">
        <f t="shared" si="13"/>
        <v>95</v>
      </c>
      <c r="V38" s="774" t="s">
        <v>17</v>
      </c>
      <c r="W38" s="775">
        <f t="shared" si="14"/>
        <v>100</v>
      </c>
      <c r="X38" s="1678"/>
      <c r="Y38" s="3177" t="s">
        <v>2564</v>
      </c>
      <c r="Z38" s="1679" t="str">
        <f t="shared" si="15"/>
        <v>业态</v>
      </c>
      <c r="AA38" s="1676">
        <f t="shared" si="3"/>
        <v>1.0526315789473684</v>
      </c>
      <c r="AB38" s="1676">
        <f t="shared" si="4"/>
        <v>1.0526315789473684</v>
      </c>
      <c r="AC38" s="1676">
        <f t="shared" si="5"/>
        <v>1</v>
      </c>
    </row>
    <row r="39" spans="1:29" ht="15">
      <c r="A39" s="472"/>
      <c r="B39" s="422" t="s">
        <v>2664</v>
      </c>
      <c r="C39" s="2480" t="s">
        <v>3142</v>
      </c>
      <c r="D39" s="435">
        <v>100</v>
      </c>
      <c r="E39" s="2480" t="s">
        <v>3142</v>
      </c>
      <c r="F39" s="461">
        <f>SUMIF(116:116,E39,117:117)-SUMIF(116:116,C39,117:117)+100</f>
        <v>100</v>
      </c>
      <c r="G39" s="2480" t="s">
        <v>3142</v>
      </c>
      <c r="H39" s="435">
        <f>SUMIF(116:116,G39,117:117)-SUMIF(116:116,C39,117:117)+100</f>
        <v>100</v>
      </c>
      <c r="I39" s="2480" t="s">
        <v>3142</v>
      </c>
      <c r="J39" s="435">
        <f>SUMIF(116:116,I39,117:117)-SUMIF(116:116,C39,117:117)+100</f>
        <v>100</v>
      </c>
      <c r="K39" s="612">
        <v>2</v>
      </c>
      <c r="L39" s="1140"/>
      <c r="M39" s="1131"/>
      <c r="N39" s="1131"/>
      <c r="O39" s="1131"/>
      <c r="P39" s="3175"/>
      <c r="Q39" s="1675" t="str">
        <f t="shared" si="11"/>
        <v>层高</v>
      </c>
      <c r="R39" s="774" t="s">
        <v>17</v>
      </c>
      <c r="S39" s="775">
        <f t="shared" si="12"/>
        <v>100</v>
      </c>
      <c r="T39" s="774" t="s">
        <v>17</v>
      </c>
      <c r="U39" s="775">
        <f t="shared" si="13"/>
        <v>100</v>
      </c>
      <c r="V39" s="774" t="s">
        <v>17</v>
      </c>
      <c r="W39" s="775">
        <f t="shared" si="14"/>
        <v>100</v>
      </c>
      <c r="X39" s="1678"/>
      <c r="Y39" s="3177"/>
      <c r="Z39" s="1679" t="str">
        <f t="shared" si="15"/>
        <v>层高</v>
      </c>
      <c r="AA39" s="1676">
        <f t="shared" si="3"/>
        <v>1</v>
      </c>
      <c r="AB39" s="1676">
        <f t="shared" si="4"/>
        <v>1</v>
      </c>
      <c r="AC39" s="167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5"/>
      <c r="Q40" s="1675" t="str">
        <f t="shared" si="11"/>
        <v>单套建筑面积</v>
      </c>
      <c r="R40" s="774" t="s">
        <v>17</v>
      </c>
      <c r="S40" s="775">
        <f t="shared" si="12"/>
        <v>100</v>
      </c>
      <c r="T40" s="774" t="s">
        <v>17</v>
      </c>
      <c r="U40" s="775">
        <f t="shared" si="13"/>
        <v>100</v>
      </c>
      <c r="V40" s="774" t="s">
        <v>17</v>
      </c>
      <c r="W40" s="775">
        <f t="shared" si="14"/>
        <v>100</v>
      </c>
      <c r="X40" s="1678"/>
      <c r="Y40" s="3177"/>
      <c r="Z40" s="1679" t="str">
        <f t="shared" si="15"/>
        <v>单套建筑面积</v>
      </c>
      <c r="AA40" s="1676">
        <f t="shared" si="3"/>
        <v>1</v>
      </c>
      <c r="AB40" s="1676">
        <f t="shared" si="4"/>
        <v>1</v>
      </c>
      <c r="AC40" s="1676">
        <f t="shared" si="5"/>
        <v>1</v>
      </c>
    </row>
    <row r="41" spans="1:29" s="471" customFormat="1" ht="15">
      <c r="A41" s="468"/>
      <c r="B41" s="167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5"/>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676">
        <f t="shared" si="3"/>
        <v>1</v>
      </c>
      <c r="AB41" s="1676">
        <f t="shared" si="4"/>
        <v>1</v>
      </c>
      <c r="AC41" s="1676">
        <f t="shared" si="5"/>
        <v>1</v>
      </c>
    </row>
    <row r="42" spans="1:29" ht="15">
      <c r="A42" s="472"/>
      <c r="B42" s="422" t="s">
        <v>2667</v>
      </c>
      <c r="C42" s="2480" t="s">
        <v>3121</v>
      </c>
      <c r="D42" s="435">
        <v>100</v>
      </c>
      <c r="E42" s="2480" t="s">
        <v>3123</v>
      </c>
      <c r="F42" s="461">
        <f>SUMIF(122:122,E42,123:123)-SUMIF(122:122,C42,123:123)+100</f>
        <v>98</v>
      </c>
      <c r="G42" s="2480" t="s">
        <v>3123</v>
      </c>
      <c r="H42" s="435">
        <f>SUMIF(122:122,G42,123:123)-SUMIF(122:122,C42,123:123)+100</f>
        <v>98</v>
      </c>
      <c r="I42" s="2480" t="s">
        <v>3123</v>
      </c>
      <c r="J42" s="435">
        <f>SUMIF(122:122,I42,123:123)-SUMIF(122:122,C42,123:123)+100</f>
        <v>98</v>
      </c>
      <c r="K42" s="612">
        <v>2</v>
      </c>
      <c r="L42" s="1140"/>
      <c r="M42" s="1131"/>
      <c r="N42" s="1131"/>
      <c r="O42" s="1131"/>
      <c r="P42" s="3175"/>
      <c r="Q42" s="1675" t="str">
        <f t="shared" si="11"/>
        <v>内部装修</v>
      </c>
      <c r="R42" s="774" t="s">
        <v>17</v>
      </c>
      <c r="S42" s="775">
        <f t="shared" si="12"/>
        <v>98</v>
      </c>
      <c r="T42" s="774" t="s">
        <v>17</v>
      </c>
      <c r="U42" s="775">
        <f t="shared" si="13"/>
        <v>98</v>
      </c>
      <c r="V42" s="774" t="s">
        <v>17</v>
      </c>
      <c r="W42" s="775">
        <f t="shared" si="14"/>
        <v>98</v>
      </c>
      <c r="X42" s="1678"/>
      <c r="Y42" s="3177"/>
      <c r="Z42" s="1679" t="str">
        <f t="shared" si="15"/>
        <v>内部装修</v>
      </c>
      <c r="AA42" s="1676">
        <f t="shared" si="3"/>
        <v>1.0204081632653061</v>
      </c>
      <c r="AB42" s="1676">
        <f t="shared" si="4"/>
        <v>1.0204081632653061</v>
      </c>
      <c r="AC42" s="1676">
        <f t="shared" si="5"/>
        <v>1.0204081632653061</v>
      </c>
    </row>
    <row r="43" spans="1:29" ht="15">
      <c r="A43" s="472"/>
      <c r="B43" s="422" t="s">
        <v>2575</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175"/>
      <c r="Q43" s="1675" t="str">
        <f t="shared" si="11"/>
        <v>内部装修维护情况</v>
      </c>
      <c r="R43" s="774" t="s">
        <v>17</v>
      </c>
      <c r="S43" s="775">
        <f t="shared" si="12"/>
        <v>100</v>
      </c>
      <c r="T43" s="774" t="s">
        <v>17</v>
      </c>
      <c r="U43" s="775">
        <f t="shared" si="13"/>
        <v>100</v>
      </c>
      <c r="V43" s="774" t="s">
        <v>17</v>
      </c>
      <c r="W43" s="775">
        <f t="shared" si="14"/>
        <v>100</v>
      </c>
      <c r="X43" s="1678"/>
      <c r="Y43" s="3177"/>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5"/>
      <c r="Q44" s="1660">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5"/>
      <c r="Q45" s="1675">
        <f t="shared" si="11"/>
        <v>111</v>
      </c>
      <c r="R45" s="774" t="s">
        <v>17</v>
      </c>
      <c r="S45" s="775">
        <f t="shared" si="12"/>
        <v>100</v>
      </c>
      <c r="T45" s="774" t="s">
        <v>17</v>
      </c>
      <c r="U45" s="775">
        <f t="shared" si="13"/>
        <v>100</v>
      </c>
      <c r="V45" s="774" t="s">
        <v>17</v>
      </c>
      <c r="W45" s="775">
        <f t="shared" si="14"/>
        <v>100</v>
      </c>
      <c r="X45" s="1678"/>
      <c r="Y45" s="3177"/>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6"/>
      <c r="Q46" s="1675">
        <f t="shared" si="11"/>
        <v>111</v>
      </c>
      <c r="R46" s="774" t="s">
        <v>17</v>
      </c>
      <c r="S46" s="775">
        <f t="shared" si="12"/>
        <v>100</v>
      </c>
      <c r="T46" s="774" t="s">
        <v>17</v>
      </c>
      <c r="U46" s="775">
        <f t="shared" si="13"/>
        <v>100</v>
      </c>
      <c r="V46" s="774" t="s">
        <v>17</v>
      </c>
      <c r="W46" s="775">
        <f t="shared" si="14"/>
        <v>100</v>
      </c>
      <c r="X46" s="1678"/>
      <c r="Y46" s="3178"/>
      <c r="Z46" s="1679">
        <f t="shared" si="15"/>
        <v>111</v>
      </c>
      <c r="AA46" s="1676">
        <f t="shared" si="3"/>
        <v>1</v>
      </c>
      <c r="AB46" s="1676">
        <f t="shared" si="4"/>
        <v>1</v>
      </c>
      <c r="AC46" s="1676">
        <f t="shared" si="5"/>
        <v>1</v>
      </c>
    </row>
    <row r="47" spans="1:29" ht="15">
      <c r="A47" s="479" t="s">
        <v>2576</v>
      </c>
      <c r="B47" s="480"/>
      <c r="C47" s="1407" t="s">
        <v>1</v>
      </c>
      <c r="D47" s="1408"/>
      <c r="E47" s="1409">
        <v>40000</v>
      </c>
      <c r="F47" s="1410"/>
      <c r="G47" s="1411">
        <f>E47</f>
        <v>40000</v>
      </c>
      <c r="H47" s="1412"/>
      <c r="I47" s="1409">
        <v>35000</v>
      </c>
      <c r="J47" s="1412"/>
      <c r="K47" s="783"/>
      <c r="L47" s="1143"/>
      <c r="M47" s="1144"/>
      <c r="N47" s="1131"/>
      <c r="O47" s="1144"/>
      <c r="P47" s="3170" t="str">
        <f>A47</f>
        <v>成交单价（元/平方米）</v>
      </c>
      <c r="Q47" s="3170"/>
      <c r="R47" s="3201">
        <f>E47</f>
        <v>40000</v>
      </c>
      <c r="S47" s="3201"/>
      <c r="T47" s="3201">
        <f>G47</f>
        <v>40000</v>
      </c>
      <c r="U47" s="3201"/>
      <c r="V47" s="3201">
        <f>I47</f>
        <v>35000</v>
      </c>
      <c r="W47" s="3201"/>
      <c r="X47" s="759"/>
      <c r="Y47" s="781"/>
      <c r="Z47" s="759"/>
      <c r="AA47" s="759"/>
      <c r="AB47" s="759"/>
      <c r="AC47" s="759"/>
    </row>
    <row r="48" spans="1:29" ht="15.75" thickBot="1">
      <c r="A48" s="486" t="s">
        <v>2668</v>
      </c>
      <c r="B48" s="487"/>
      <c r="C48" s="1413">
        <f>R49</f>
        <v>40727</v>
      </c>
      <c r="D48" s="1414"/>
      <c r="E48" s="1415">
        <f>R48</f>
        <v>43895</v>
      </c>
      <c r="F48" s="1415"/>
      <c r="G48" s="1413">
        <f>T48</f>
        <v>43920</v>
      </c>
      <c r="H48" s="1414"/>
      <c r="I48" s="1415">
        <f>V48</f>
        <v>34365</v>
      </c>
      <c r="J48" s="1414"/>
      <c r="K48" s="784"/>
      <c r="L48" s="1143"/>
      <c r="M48" s="1144"/>
      <c r="N48" s="1131"/>
      <c r="O48" s="1144"/>
      <c r="P48" s="3170" t="str">
        <f>A48</f>
        <v>比较价值（元/平方米）</v>
      </c>
      <c r="Q48" s="3170"/>
      <c r="R48" s="3171">
        <f>IF(F1="售价",ROUND(PRODUCT(R47,AA7:AA46),0),ROUND(PRODUCT(R47,AA7:AA46),1))</f>
        <v>43895</v>
      </c>
      <c r="S48" s="3171"/>
      <c r="T48" s="3171">
        <f>IF(F1="售价",ROUND(PRODUCT(T47,AB7:AB46),0),ROUND(PRODUCT(T47,AB7:AB46),1))</f>
        <v>43920</v>
      </c>
      <c r="U48" s="3171"/>
      <c r="V48" s="3171">
        <f>IF(F1="售价",ROUND(PRODUCT(V47,AC7:AC46),0),ROUND(PRODUCT(V47,AC7:AC46),1))</f>
        <v>34365</v>
      </c>
      <c r="W48" s="3171"/>
      <c r="X48" s="759"/>
      <c r="Y48" s="759"/>
      <c r="Z48" s="759"/>
      <c r="AA48" s="759"/>
      <c r="AB48" s="759"/>
      <c r="AC48" s="759"/>
    </row>
    <row r="49" spans="1:29" ht="15.75" thickBot="1">
      <c r="A49" s="492" t="s">
        <v>2669</v>
      </c>
      <c r="B49" s="493"/>
      <c r="C49" s="1417">
        <f>R49</f>
        <v>40727</v>
      </c>
      <c r="D49" s="1417"/>
      <c r="E49" s="1417"/>
      <c r="F49" s="1417"/>
      <c r="G49" s="1417"/>
      <c r="H49" s="1417"/>
      <c r="I49" s="1417"/>
      <c r="J49" s="1417"/>
      <c r="K49" s="785"/>
      <c r="L49" s="1143"/>
      <c r="M49" s="1144"/>
      <c r="N49" s="1131"/>
      <c r="O49" s="1144"/>
      <c r="P49" s="3167" t="str">
        <f>A49</f>
        <v>估价对象XX用房的比较价值（楼面单价，元/平方米）</v>
      </c>
      <c r="Q49" s="3168"/>
      <c r="R49" s="3169">
        <f>IF(F1="售价",ROUND(AVERAGE(R48:V48),0),ROUND(AVERAGE(R48:V48),1))</f>
        <v>40727</v>
      </c>
      <c r="S49" s="3169"/>
      <c r="T49" s="3169"/>
      <c r="U49" s="3169"/>
      <c r="V49" s="3169"/>
      <c r="W49" s="3169"/>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9.7374999999999989E-2</v>
      </c>
      <c r="F52" s="500" t="str">
        <f>IF(OR(E52&gt;=0.3,E52&lt;=-0.3),"超过30%","")</f>
        <v/>
      </c>
      <c r="G52" s="499">
        <f>IF(G47&lt;G48,G48/G47-1,G47/G48-1)</f>
        <v>9.8000000000000087E-2</v>
      </c>
      <c r="H52" s="500" t="str">
        <f>IF(OR(G52&gt;=0.3,G52&lt;=-0.3),"超过30%","")</f>
        <v/>
      </c>
      <c r="I52" s="499">
        <f>IF(I47&lt;I48,I48/I47-1,I47/I48-1)</f>
        <v>1.8478102720791423E-2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5.6954094999439597E-4</v>
      </c>
      <c r="F53" s="500" t="str">
        <f>IF(OR(E53&gt;=0.2,E53&lt;=-0.2),"超过20%","")</f>
        <v/>
      </c>
      <c r="G53" s="499">
        <f>IF(G48&lt;I48,I48/G48-1,G48/I48-1)</f>
        <v>0.27804452204277608</v>
      </c>
      <c r="H53" s="500" t="str">
        <f>IF(OR(G53&gt;=0.2,G53&lt;=-0.2),"超过20%","")</f>
        <v>超过20%</v>
      </c>
      <c r="I53" s="499">
        <f>IF(I48&lt;E48,E48/I48-1,I48/E48-1)</f>
        <v>0.27731703768368976</v>
      </c>
      <c r="J53" s="500" t="str">
        <f>IF(OR(I53&gt;=0.2,I53&lt;=-0.2),"超过20%","")</f>
        <v>超过20%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2547</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2584</v>
      </c>
      <c r="B60" s="516"/>
      <c r="C60" s="517">
        <v>0</v>
      </c>
      <c r="D60" s="518"/>
      <c r="E60" s="518"/>
      <c r="F60" s="518"/>
      <c r="G60" s="518"/>
      <c r="H60" s="518"/>
      <c r="I60" s="518"/>
      <c r="J60" s="518"/>
      <c r="K60" s="518"/>
      <c r="L60" s="518"/>
      <c r="M60" s="519"/>
      <c r="N60" s="518"/>
      <c r="O60" s="519"/>
      <c r="P60" s="2495"/>
      <c r="Q60" s="504"/>
    </row>
    <row r="61" spans="1:29" s="117" customFormat="1" ht="15">
      <c r="A61" s="521" t="s">
        <v>2549</v>
      </c>
      <c r="B61" s="510"/>
      <c r="C61" s="522" t="s">
        <v>2651</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2557</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2679</v>
      </c>
      <c r="C86" s="2946" t="s">
        <v>3107</v>
      </c>
      <c r="D86" s="2946" t="s">
        <v>3108</v>
      </c>
      <c r="E86" s="2946" t="s">
        <v>3110</v>
      </c>
      <c r="F86" s="2946" t="s">
        <v>3111</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3112</v>
      </c>
      <c r="D90" s="2946" t="s">
        <v>3114</v>
      </c>
      <c r="E90" s="2946" t="s">
        <v>3115</v>
      </c>
      <c r="F90" s="2946" t="s">
        <v>3116</v>
      </c>
      <c r="G90" s="2946" t="s">
        <v>3117</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3144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2562</v>
      </c>
      <c r="B100" s="528" t="s">
        <v>2680</v>
      </c>
      <c r="C100" s="2948" t="s">
        <v>3131</v>
      </c>
      <c r="D100" s="2948" t="s">
        <v>3133</v>
      </c>
      <c r="E100" s="2948" t="s">
        <v>3135</v>
      </c>
      <c r="F100" s="2948" t="s">
        <v>3136</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2612</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2613</v>
      </c>
      <c r="C105" s="2946" t="s">
        <v>3118</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2615</v>
      </c>
      <c r="C107" s="2946" t="s">
        <v>3120</v>
      </c>
      <c r="D107" s="2946" t="s">
        <v>3122</v>
      </c>
      <c r="E107" s="2946" t="s">
        <v>3124</v>
      </c>
      <c r="F107" s="2947" t="s">
        <v>3125</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497"/>
      <c r="Q111" s="504"/>
    </row>
    <row r="112" spans="1:17" s="471" customFormat="1" ht="15" thickTop="1">
      <c r="A112" s="593"/>
      <c r="B112" s="538" t="s">
        <v>2617</v>
      </c>
      <c r="C112" s="2946" t="s">
        <v>3126</v>
      </c>
      <c r="D112" s="2946" t="s">
        <v>3128</v>
      </c>
      <c r="E112" s="2946" t="s">
        <v>3130</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2681</v>
      </c>
      <c r="C114" s="2946" t="s">
        <v>3138</v>
      </c>
      <c r="D114" s="2946" t="s">
        <v>3140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2682</v>
      </c>
      <c r="C116" s="2946" t="s">
        <v>3141</v>
      </c>
      <c r="D116" s="2946" t="s">
        <v>3143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2683</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2619</v>
      </c>
      <c r="C122" s="2946" t="s">
        <v>3120</v>
      </c>
      <c r="D122" s="2946" t="s">
        <v>3122</v>
      </c>
      <c r="E122" s="2946" t="s">
        <v>3124</v>
      </c>
      <c r="F122" s="2947" t="s">
        <v>3125</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2685</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IF(C2="——",ROUND(C50*D3/10000,0),ROUND(C50*D3/10000,0)-D2)</f>
        <v>#DIV/0!</v>
      </c>
      <c r="C2" s="2453"/>
      <c r="D2" s="1365"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3905.76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244" t="s">
        <v>2650</v>
      </c>
      <c r="Q4" s="3245"/>
      <c r="R4" s="3248" t="s">
        <v>2646</v>
      </c>
      <c r="S4" s="3249"/>
      <c r="T4" s="3248" t="s">
        <v>2647</v>
      </c>
      <c r="U4" s="3249"/>
      <c r="V4" s="3250" t="s">
        <v>2648</v>
      </c>
      <c r="W4" s="3250"/>
      <c r="X4" s="2537"/>
      <c r="Y4" s="3248" t="s">
        <v>2650</v>
      </c>
      <c r="Z4" s="3249"/>
      <c r="AA4" s="3252" t="s">
        <v>2646</v>
      </c>
      <c r="AB4" s="3252" t="s">
        <v>2647</v>
      </c>
      <c r="AC4" s="3241" t="s">
        <v>2648</v>
      </c>
    </row>
    <row r="5" spans="1:29" ht="15">
      <c r="A5" s="404"/>
      <c r="B5" s="405"/>
      <c r="C5" s="3204" t="s">
        <v>2541</v>
      </c>
      <c r="D5" s="3205"/>
      <c r="E5" s="3211" t="s">
        <v>2542</v>
      </c>
      <c r="F5" s="3212"/>
      <c r="G5" s="3204" t="s">
        <v>2543</v>
      </c>
      <c r="H5" s="3205"/>
      <c r="I5" s="3204" t="s">
        <v>2544</v>
      </c>
      <c r="J5" s="3205"/>
      <c r="K5" s="610"/>
      <c r="L5" s="1130"/>
      <c r="M5" s="1131"/>
      <c r="N5" s="1131"/>
      <c r="O5" s="1131"/>
      <c r="P5" s="3246"/>
      <c r="Q5" s="3192"/>
      <c r="R5" s="3197"/>
      <c r="S5" s="3198"/>
      <c r="T5" s="3197"/>
      <c r="U5" s="3198"/>
      <c r="V5" s="3201"/>
      <c r="W5" s="3201"/>
      <c r="X5" s="1678"/>
      <c r="Y5" s="3197"/>
      <c r="Z5" s="3198"/>
      <c r="AA5" s="3183"/>
      <c r="AB5" s="3183"/>
      <c r="AC5" s="3242"/>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247"/>
      <c r="Q6" s="3194"/>
      <c r="R6" s="3197"/>
      <c r="S6" s="3198"/>
      <c r="T6" s="3199"/>
      <c r="U6" s="3200"/>
      <c r="V6" s="3201"/>
      <c r="W6" s="3201"/>
      <c r="X6" s="1678"/>
      <c r="Y6" s="3199"/>
      <c r="Z6" s="3200"/>
      <c r="AA6" s="3184"/>
      <c r="AB6" s="3184"/>
      <c r="AC6" s="3243"/>
    </row>
    <row r="7" spans="1:29" s="117" customFormat="1" ht="15.75" thickBot="1">
      <c r="A7" s="408" t="s">
        <v>2547</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253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2551</v>
      </c>
      <c r="Q8" s="3207"/>
      <c r="R8" s="770" t="s">
        <v>17</v>
      </c>
      <c r="S8" s="771">
        <f t="shared" si="0"/>
        <v>0</v>
      </c>
      <c r="T8" s="770" t="s">
        <v>17</v>
      </c>
      <c r="U8" s="771">
        <f t="shared" si="1"/>
        <v>0</v>
      </c>
      <c r="V8" s="770" t="s">
        <v>17</v>
      </c>
      <c r="W8" s="771">
        <f t="shared" si="2"/>
        <v>0</v>
      </c>
      <c r="X8" s="772"/>
      <c r="Y8" s="3206" t="s">
        <v>2551</v>
      </c>
      <c r="Z8" s="3207"/>
      <c r="AA8" s="773" t="e">
        <f t="shared" ref="AA8:AA47" si="3">D8/F8</f>
        <v>#DIV/0!</v>
      </c>
      <c r="AB8" s="773" t="e">
        <f t="shared" ref="AB8:AB47" si="4">D8/H8</f>
        <v>#DIV/0!</v>
      </c>
      <c r="AC8" s="253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253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253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1"/>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1"/>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1"/>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2538">
        <f t="shared" si="5"/>
        <v>1</v>
      </c>
    </row>
    <row r="15" spans="1:29" ht="71.25">
      <c r="A15" s="440" t="s">
        <v>2558</v>
      </c>
      <c r="B15" s="629" t="s">
        <v>2686</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9" t="s">
        <v>2559</v>
      </c>
      <c r="Q15" s="1675" t="str">
        <f t="shared" si="6"/>
        <v>办公集聚程度</v>
      </c>
      <c r="R15" s="774" t="s">
        <v>17</v>
      </c>
      <c r="S15" s="775">
        <f t="shared" si="0"/>
        <v>100</v>
      </c>
      <c r="T15" s="774" t="s">
        <v>17</v>
      </c>
      <c r="U15" s="775">
        <f t="shared" si="1"/>
        <v>100</v>
      </c>
      <c r="V15" s="774" t="s">
        <v>17</v>
      </c>
      <c r="W15" s="775">
        <f t="shared" si="2"/>
        <v>100</v>
      </c>
      <c r="X15" s="1678"/>
      <c r="Y15" s="3172" t="s">
        <v>2559</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180"/>
      <c r="Q16" s="1675"/>
      <c r="R16" s="774"/>
      <c r="S16" s="775"/>
      <c r="T16" s="774"/>
      <c r="U16" s="775"/>
      <c r="V16" s="774"/>
      <c r="W16" s="775"/>
      <c r="X16" s="1678"/>
      <c r="Y16" s="3173"/>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0"/>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180"/>
      <c r="Q18" s="1675"/>
      <c r="R18" s="774"/>
      <c r="S18" s="775"/>
      <c r="T18" s="774"/>
      <c r="U18" s="775"/>
      <c r="V18" s="774"/>
      <c r="W18" s="775"/>
      <c r="X18" s="1678"/>
      <c r="Y18" s="3173"/>
      <c r="Z18" s="1679"/>
      <c r="AA18" s="1676">
        <v>1</v>
      </c>
      <c r="AB18" s="1676">
        <v>1</v>
      </c>
      <c r="AC18" s="2541">
        <v>1</v>
      </c>
    </row>
    <row r="19" spans="1:29" ht="42.75">
      <c r="A19" s="428"/>
      <c r="B19" s="631" t="s">
        <v>2687</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0"/>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180"/>
      <c r="Q20" s="1675"/>
      <c r="R20" s="774"/>
      <c r="S20" s="775"/>
      <c r="T20" s="774"/>
      <c r="U20" s="775"/>
      <c r="V20" s="774"/>
      <c r="W20" s="775"/>
      <c r="X20" s="1678"/>
      <c r="Y20" s="3173"/>
      <c r="Z20" s="1679"/>
      <c r="AA20" s="1676">
        <v>1</v>
      </c>
      <c r="AB20" s="1676">
        <v>1</v>
      </c>
      <c r="AC20" s="2541">
        <v>1</v>
      </c>
    </row>
    <row r="21" spans="1:29" ht="28.5">
      <c r="A21" s="428"/>
      <c r="B21" s="633" t="s">
        <v>2688</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0"/>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180"/>
      <c r="Q22" s="1675"/>
      <c r="R22" s="774"/>
      <c r="S22" s="775"/>
      <c r="T22" s="774"/>
      <c r="U22" s="775"/>
      <c r="V22" s="774"/>
      <c r="W22" s="775"/>
      <c r="X22" s="1678"/>
      <c r="Y22" s="3173"/>
      <c r="Z22" s="1679"/>
      <c r="AA22" s="1676">
        <v>1</v>
      </c>
      <c r="AB22" s="1676">
        <v>1</v>
      </c>
      <c r="AC22" s="2541">
        <v>1</v>
      </c>
    </row>
    <row r="23" spans="1:29" ht="42.75">
      <c r="A23" s="428"/>
      <c r="B23" s="631" t="s">
        <v>2689</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0"/>
      <c r="Q23" s="1675" t="str">
        <f>B23</f>
        <v>环境质量</v>
      </c>
      <c r="R23" s="774" t="s">
        <v>17</v>
      </c>
      <c r="S23" s="775">
        <f>F23</f>
        <v>100</v>
      </c>
      <c r="T23" s="774" t="s">
        <v>17</v>
      </c>
      <c r="U23" s="775">
        <f>H23</f>
        <v>100</v>
      </c>
      <c r="V23" s="774" t="s">
        <v>17</v>
      </c>
      <c r="W23" s="775">
        <f>J23</f>
        <v>100</v>
      </c>
      <c r="X23" s="1678"/>
      <c r="Y23" s="3173"/>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180"/>
      <c r="Q24" s="1675"/>
      <c r="R24" s="774"/>
      <c r="S24" s="775"/>
      <c r="T24" s="774"/>
      <c r="U24" s="775"/>
      <c r="V24" s="774"/>
      <c r="W24" s="775"/>
      <c r="X24" s="1678"/>
      <c r="Y24" s="3173"/>
      <c r="Z24" s="1679"/>
      <c r="AA24" s="1676">
        <v>1</v>
      </c>
      <c r="AB24" s="1676">
        <v>1</v>
      </c>
      <c r="AC24" s="2541">
        <v>1</v>
      </c>
    </row>
    <row r="25" spans="1:29" ht="27">
      <c r="A25" s="404"/>
      <c r="B25" s="631" t="s">
        <v>2690</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180"/>
      <c r="Q25" s="1675" t="str">
        <f>B25</f>
        <v>毗邻道路的类型与等级</v>
      </c>
      <c r="R25" s="774" t="s">
        <v>17</v>
      </c>
      <c r="S25" s="775">
        <f>F25</f>
        <v>100</v>
      </c>
      <c r="T25" s="774" t="s">
        <v>17</v>
      </c>
      <c r="U25" s="775">
        <f>H25</f>
        <v>100</v>
      </c>
      <c r="V25" s="774" t="s">
        <v>17</v>
      </c>
      <c r="W25" s="775">
        <f>J25</f>
        <v>100</v>
      </c>
      <c r="X25" s="1678"/>
      <c r="Y25" s="3173"/>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180"/>
      <c r="Q26" s="1675"/>
      <c r="R26" s="774"/>
      <c r="S26" s="775"/>
      <c r="T26" s="774"/>
      <c r="U26" s="775"/>
      <c r="V26" s="774"/>
      <c r="W26" s="775"/>
      <c r="X26" s="1678"/>
      <c r="Y26" s="3173"/>
      <c r="Z26" s="1679"/>
      <c r="AA26" s="1676">
        <v>1</v>
      </c>
      <c r="AB26" s="1676">
        <v>1</v>
      </c>
      <c r="AC26" s="254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0"/>
      <c r="Q27" s="1675" t="str">
        <f t="shared" ref="Q27:Q47" si="11">B27</f>
        <v>楼层</v>
      </c>
      <c r="R27" s="774" t="s">
        <v>17</v>
      </c>
      <c r="S27" s="775">
        <f>F27</f>
        <v>100</v>
      </c>
      <c r="T27" s="774" t="s">
        <v>17</v>
      </c>
      <c r="U27" s="775">
        <f>H27</f>
        <v>100</v>
      </c>
      <c r="V27" s="774" t="s">
        <v>17</v>
      </c>
      <c r="W27" s="775">
        <f>J27</f>
        <v>100</v>
      </c>
      <c r="X27" s="1678"/>
      <c r="Y27" s="3173"/>
      <c r="Z27" s="1679" t="str">
        <f>Q27</f>
        <v>楼层</v>
      </c>
      <c r="AA27" s="1676">
        <f t="shared" si="3"/>
        <v>1</v>
      </c>
      <c r="AB27" s="1676">
        <f t="shared" si="4"/>
        <v>1</v>
      </c>
      <c r="AC27" s="2541">
        <f t="shared" si="5"/>
        <v>1</v>
      </c>
    </row>
    <row r="28" spans="1:29" s="117" customFormat="1" ht="15">
      <c r="A28" s="431"/>
      <c r="B28" s="631" t="s">
        <v>2691</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180"/>
      <c r="Q28" s="1660" t="str">
        <f t="shared" si="11"/>
        <v>朝向</v>
      </c>
      <c r="R28" s="770" t="s">
        <v>17</v>
      </c>
      <c r="S28" s="771">
        <f>F28</f>
        <v>100</v>
      </c>
      <c r="T28" s="770" t="s">
        <v>17</v>
      </c>
      <c r="U28" s="771">
        <f>H28</f>
        <v>100</v>
      </c>
      <c r="V28" s="770" t="s">
        <v>17</v>
      </c>
      <c r="W28" s="771">
        <f>J28</f>
        <v>100</v>
      </c>
      <c r="X28" s="772"/>
      <c r="Y28" s="3173"/>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180"/>
      <c r="Q29" s="1675">
        <f t="shared" si="11"/>
        <v>111</v>
      </c>
      <c r="R29" s="774" t="s">
        <v>17</v>
      </c>
      <c r="S29" s="775">
        <f t="shared" ref="S29:S47" si="12">F29</f>
        <v>100</v>
      </c>
      <c r="T29" s="774" t="s">
        <v>17</v>
      </c>
      <c r="U29" s="775">
        <f t="shared" ref="U29:U47" si="13">H29</f>
        <v>100</v>
      </c>
      <c r="V29" s="774" t="s">
        <v>17</v>
      </c>
      <c r="W29" s="775">
        <f t="shared" ref="W29:W47" si="14">J29</f>
        <v>100</v>
      </c>
      <c r="X29" s="1678"/>
      <c r="Y29" s="3173"/>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180"/>
      <c r="Q30" s="1675">
        <f t="shared" si="11"/>
        <v>111</v>
      </c>
      <c r="R30" s="774" t="s">
        <v>17</v>
      </c>
      <c r="S30" s="775">
        <f t="shared" si="12"/>
        <v>100</v>
      </c>
      <c r="T30" s="774" t="s">
        <v>17</v>
      </c>
      <c r="U30" s="775">
        <f t="shared" si="13"/>
        <v>100</v>
      </c>
      <c r="V30" s="774" t="s">
        <v>17</v>
      </c>
      <c r="W30" s="775">
        <f t="shared" si="14"/>
        <v>100</v>
      </c>
      <c r="X30" s="1678"/>
      <c r="Y30" s="3173"/>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180"/>
      <c r="Q31" s="1675">
        <f t="shared" si="11"/>
        <v>111</v>
      </c>
      <c r="R31" s="774" t="s">
        <v>17</v>
      </c>
      <c r="S31" s="775">
        <f t="shared" si="12"/>
        <v>100</v>
      </c>
      <c r="T31" s="774" t="s">
        <v>17</v>
      </c>
      <c r="U31" s="775">
        <f t="shared" si="13"/>
        <v>100</v>
      </c>
      <c r="V31" s="774" t="s">
        <v>17</v>
      </c>
      <c r="W31" s="775">
        <f t="shared" si="14"/>
        <v>100</v>
      </c>
      <c r="X31" s="1678"/>
      <c r="Y31" s="3173"/>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180"/>
      <c r="Q32" s="1675">
        <f t="shared" si="11"/>
        <v>111</v>
      </c>
      <c r="R32" s="774" t="s">
        <v>17</v>
      </c>
      <c r="S32" s="775">
        <f t="shared" si="12"/>
        <v>100</v>
      </c>
      <c r="T32" s="774" t="s">
        <v>17</v>
      </c>
      <c r="U32" s="775">
        <f t="shared" si="13"/>
        <v>100</v>
      </c>
      <c r="V32" s="774" t="s">
        <v>17</v>
      </c>
      <c r="W32" s="775">
        <f t="shared" si="14"/>
        <v>100</v>
      </c>
      <c r="X32" s="1678"/>
      <c r="Y32" s="3173"/>
      <c r="Z32" s="1679">
        <f t="shared" si="15"/>
        <v>111</v>
      </c>
      <c r="AA32" s="1676">
        <f t="shared" si="3"/>
        <v>1</v>
      </c>
      <c r="AB32" s="1676">
        <f t="shared" si="4"/>
        <v>1</v>
      </c>
      <c r="AC32" s="2541">
        <f t="shared" si="5"/>
        <v>1</v>
      </c>
    </row>
    <row r="33" spans="1:29" ht="15">
      <c r="A33" s="440" t="s">
        <v>2562</v>
      </c>
      <c r="B33" s="71" t="s">
        <v>2692</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174" t="s">
        <v>2564</v>
      </c>
      <c r="Q33" s="1675" t="str">
        <f t="shared" si="11"/>
        <v>建筑类型</v>
      </c>
      <c r="R33" s="774" t="s">
        <v>17</v>
      </c>
      <c r="S33" s="775">
        <f t="shared" si="12"/>
        <v>100</v>
      </c>
      <c r="T33" s="774" t="s">
        <v>17</v>
      </c>
      <c r="U33" s="775">
        <f t="shared" si="13"/>
        <v>100</v>
      </c>
      <c r="V33" s="774" t="s">
        <v>17</v>
      </c>
      <c r="W33" s="775">
        <f t="shared" si="14"/>
        <v>100</v>
      </c>
      <c r="X33" s="1678"/>
      <c r="Y33" s="3177" t="s">
        <v>2564</v>
      </c>
      <c r="Z33" s="1679" t="str">
        <f t="shared" si="15"/>
        <v>建筑类型</v>
      </c>
      <c r="AA33" s="1676">
        <f t="shared" si="3"/>
        <v>1</v>
      </c>
      <c r="AB33" s="1676">
        <f t="shared" si="4"/>
        <v>1</v>
      </c>
      <c r="AC33" s="254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5"/>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676" t="e">
        <f t="shared" si="3"/>
        <v>#N/A</v>
      </c>
      <c r="AB34" s="1676" t="e">
        <f t="shared" si="4"/>
        <v>#N/A</v>
      </c>
      <c r="AC34" s="254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5"/>
      <c r="Q35" s="1675" t="str">
        <f t="shared" si="11"/>
        <v>建筑结构</v>
      </c>
      <c r="R35" s="774" t="s">
        <v>17</v>
      </c>
      <c r="S35" s="775">
        <f t="shared" si="12"/>
        <v>100</v>
      </c>
      <c r="T35" s="774" t="s">
        <v>17</v>
      </c>
      <c r="U35" s="775">
        <f t="shared" si="13"/>
        <v>100</v>
      </c>
      <c r="V35" s="774" t="s">
        <v>17</v>
      </c>
      <c r="W35" s="775">
        <f t="shared" si="14"/>
        <v>100</v>
      </c>
      <c r="X35" s="1678"/>
      <c r="Y35" s="3177"/>
      <c r="Z35" s="1679" t="str">
        <f t="shared" si="15"/>
        <v>建筑结构</v>
      </c>
      <c r="AA35" s="1676">
        <f t="shared" si="3"/>
        <v>1</v>
      </c>
      <c r="AB35" s="1676">
        <f t="shared" si="4"/>
        <v>1</v>
      </c>
      <c r="AC35" s="254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5"/>
      <c r="Q36" s="1675" t="str">
        <f t="shared" si="11"/>
        <v>公共部分装修</v>
      </c>
      <c r="R36" s="774" t="s">
        <v>17</v>
      </c>
      <c r="S36" s="775">
        <f t="shared" si="12"/>
        <v>100</v>
      </c>
      <c r="T36" s="774" t="s">
        <v>17</v>
      </c>
      <c r="U36" s="775">
        <f t="shared" si="13"/>
        <v>100</v>
      </c>
      <c r="V36" s="774" t="s">
        <v>17</v>
      </c>
      <c r="W36" s="775">
        <f t="shared" si="14"/>
        <v>100</v>
      </c>
      <c r="X36" s="1678"/>
      <c r="Y36" s="3177"/>
      <c r="Z36" s="1679" t="str">
        <f t="shared" si="15"/>
        <v>公共部分装修</v>
      </c>
      <c r="AA36" s="1676">
        <f t="shared" si="3"/>
        <v>1</v>
      </c>
      <c r="AB36" s="1676">
        <f t="shared" si="4"/>
        <v>1</v>
      </c>
      <c r="AC36" s="254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5"/>
      <c r="Q37" s="1675" t="str">
        <f t="shared" si="11"/>
        <v>成新度</v>
      </c>
      <c r="R37" s="774" t="s">
        <v>17</v>
      </c>
      <c r="S37" s="775" t="e">
        <f t="shared" si="12"/>
        <v>#N/A</v>
      </c>
      <c r="T37" s="774" t="s">
        <v>17</v>
      </c>
      <c r="U37" s="775" t="e">
        <f t="shared" si="13"/>
        <v>#N/A</v>
      </c>
      <c r="V37" s="774" t="s">
        <v>17</v>
      </c>
      <c r="W37" s="775" t="e">
        <f t="shared" si="14"/>
        <v>#N/A</v>
      </c>
      <c r="X37" s="1678"/>
      <c r="Y37" s="3177"/>
      <c r="Z37" s="1679" t="str">
        <f t="shared" si="15"/>
        <v>成新度</v>
      </c>
      <c r="AA37" s="1676" t="e">
        <f t="shared" si="3"/>
        <v>#N/A</v>
      </c>
      <c r="AB37" s="1676" t="e">
        <f t="shared" si="4"/>
        <v>#N/A</v>
      </c>
      <c r="AC37" s="254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5"/>
      <c r="Q38" s="1660"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53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5" t="s">
        <v>2564</v>
      </c>
      <c r="Q39" s="1675" t="str">
        <f t="shared" si="11"/>
        <v>物业管理</v>
      </c>
      <c r="R39" s="774" t="s">
        <v>17</v>
      </c>
      <c r="S39" s="775">
        <f t="shared" si="12"/>
        <v>100</v>
      </c>
      <c r="T39" s="774" t="s">
        <v>17</v>
      </c>
      <c r="U39" s="775">
        <f t="shared" si="13"/>
        <v>100</v>
      </c>
      <c r="V39" s="774" t="s">
        <v>17</v>
      </c>
      <c r="W39" s="775">
        <f t="shared" si="14"/>
        <v>100</v>
      </c>
      <c r="X39" s="1678"/>
      <c r="Y39" s="3177" t="s">
        <v>2564</v>
      </c>
      <c r="Z39" s="1679" t="str">
        <f t="shared" si="15"/>
        <v>物业管理</v>
      </c>
      <c r="AA39" s="1676">
        <f t="shared" si="3"/>
        <v>1</v>
      </c>
      <c r="AB39" s="1676">
        <f t="shared" si="4"/>
        <v>1</v>
      </c>
      <c r="AC39" s="254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5"/>
      <c r="Q40" s="1675" t="str">
        <f t="shared" si="11"/>
        <v>市政基础设施</v>
      </c>
      <c r="R40" s="774" t="s">
        <v>17</v>
      </c>
      <c r="S40" s="775">
        <f t="shared" si="12"/>
        <v>100</v>
      </c>
      <c r="T40" s="774" t="s">
        <v>17</v>
      </c>
      <c r="U40" s="775">
        <f t="shared" si="13"/>
        <v>100</v>
      </c>
      <c r="V40" s="774" t="s">
        <v>17</v>
      </c>
      <c r="W40" s="775">
        <f t="shared" si="14"/>
        <v>100</v>
      </c>
      <c r="X40" s="1678"/>
      <c r="Y40" s="3177"/>
      <c r="Z40" s="1679" t="str">
        <f t="shared" si="15"/>
        <v>市政基础设施</v>
      </c>
      <c r="AA40" s="1676">
        <f t="shared" si="3"/>
        <v>1</v>
      </c>
      <c r="AB40" s="1676">
        <f t="shared" si="4"/>
        <v>1</v>
      </c>
      <c r="AC40" s="254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5"/>
      <c r="Q41" s="1675" t="str">
        <f t="shared" si="11"/>
        <v>层高</v>
      </c>
      <c r="R41" s="774" t="s">
        <v>17</v>
      </c>
      <c r="S41" s="775">
        <f t="shared" si="12"/>
        <v>100</v>
      </c>
      <c r="T41" s="774" t="s">
        <v>17</v>
      </c>
      <c r="U41" s="775">
        <f t="shared" si="13"/>
        <v>100</v>
      </c>
      <c r="V41" s="774" t="s">
        <v>17</v>
      </c>
      <c r="W41" s="775">
        <f t="shared" si="14"/>
        <v>100</v>
      </c>
      <c r="X41" s="1678"/>
      <c r="Y41" s="3177"/>
      <c r="Z41" s="1679" t="str">
        <f t="shared" si="15"/>
        <v>层高</v>
      </c>
      <c r="AA41" s="1676">
        <f t="shared" si="3"/>
        <v>1</v>
      </c>
      <c r="AB41" s="1676">
        <f t="shared" si="4"/>
        <v>1</v>
      </c>
      <c r="AC41" s="2541">
        <f t="shared" si="5"/>
        <v>1</v>
      </c>
    </row>
    <row r="42" spans="1:29" s="471" customFormat="1" ht="15">
      <c r="A42" s="468"/>
      <c r="B42" s="167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5"/>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676">
        <f t="shared" si="3"/>
        <v>1</v>
      </c>
      <c r="AB42" s="1676">
        <f t="shared" si="4"/>
        <v>1</v>
      </c>
      <c r="AC42" s="254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5"/>
      <c r="Q43" s="1675" t="str">
        <f t="shared" si="11"/>
        <v>内部装修</v>
      </c>
      <c r="R43" s="774" t="s">
        <v>17</v>
      </c>
      <c r="S43" s="775">
        <f t="shared" si="12"/>
        <v>100</v>
      </c>
      <c r="T43" s="774" t="s">
        <v>17</v>
      </c>
      <c r="U43" s="775">
        <f t="shared" si="13"/>
        <v>100</v>
      </c>
      <c r="V43" s="774" t="s">
        <v>17</v>
      </c>
      <c r="W43" s="775">
        <f t="shared" si="14"/>
        <v>100</v>
      </c>
      <c r="X43" s="1678"/>
      <c r="Y43" s="3177"/>
      <c r="Z43" s="1679" t="str">
        <f t="shared" si="15"/>
        <v>内部装修</v>
      </c>
      <c r="AA43" s="1676">
        <f t="shared" si="3"/>
        <v>1</v>
      </c>
      <c r="AB43" s="1676">
        <f t="shared" si="4"/>
        <v>1</v>
      </c>
      <c r="AC43" s="2541">
        <f t="shared" si="5"/>
        <v>1</v>
      </c>
    </row>
    <row r="44" spans="1:29" ht="15">
      <c r="A44" s="472"/>
      <c r="B44" s="422" t="s">
        <v>2575</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175"/>
      <c r="Q44" s="1675" t="str">
        <f t="shared" si="11"/>
        <v>内部装修维护情况</v>
      </c>
      <c r="R44" s="774" t="s">
        <v>17</v>
      </c>
      <c r="S44" s="775">
        <f t="shared" si="12"/>
        <v>100</v>
      </c>
      <c r="T44" s="774" t="s">
        <v>17</v>
      </c>
      <c r="U44" s="775">
        <f t="shared" si="13"/>
        <v>100</v>
      </c>
      <c r="V44" s="774" t="s">
        <v>17</v>
      </c>
      <c r="W44" s="775">
        <f t="shared" si="14"/>
        <v>100</v>
      </c>
      <c r="X44" s="1678"/>
      <c r="Y44" s="3177"/>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5"/>
      <c r="Q45" s="1660">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5"/>
      <c r="Q46" s="1675">
        <f t="shared" si="11"/>
        <v>111</v>
      </c>
      <c r="R46" s="774" t="s">
        <v>17</v>
      </c>
      <c r="S46" s="775">
        <f t="shared" si="12"/>
        <v>100</v>
      </c>
      <c r="T46" s="774" t="s">
        <v>17</v>
      </c>
      <c r="U46" s="775">
        <f t="shared" si="13"/>
        <v>100</v>
      </c>
      <c r="V46" s="774" t="s">
        <v>17</v>
      </c>
      <c r="W46" s="775">
        <f t="shared" si="14"/>
        <v>100</v>
      </c>
      <c r="X46" s="1678"/>
      <c r="Y46" s="3177"/>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6"/>
      <c r="Q47" s="1675">
        <f t="shared" si="11"/>
        <v>111</v>
      </c>
      <c r="R47" s="774" t="s">
        <v>17</v>
      </c>
      <c r="S47" s="775">
        <f t="shared" si="12"/>
        <v>100</v>
      </c>
      <c r="T47" s="774" t="s">
        <v>17</v>
      </c>
      <c r="U47" s="775">
        <f t="shared" si="13"/>
        <v>100</v>
      </c>
      <c r="V47" s="774" t="s">
        <v>17</v>
      </c>
      <c r="W47" s="775">
        <f t="shared" si="14"/>
        <v>100</v>
      </c>
      <c r="X47" s="1678"/>
      <c r="Y47" s="3178"/>
      <c r="Z47" s="1679">
        <f t="shared" si="15"/>
        <v>111</v>
      </c>
      <c r="AA47" s="1676">
        <f t="shared" si="3"/>
        <v>1</v>
      </c>
      <c r="AB47" s="1676">
        <f t="shared" si="4"/>
        <v>1</v>
      </c>
      <c r="AC47" s="2541">
        <f t="shared" si="5"/>
        <v>1</v>
      </c>
    </row>
    <row r="48" spans="1:29" ht="15">
      <c r="A48" s="479" t="s">
        <v>2576</v>
      </c>
      <c r="B48" s="480"/>
      <c r="C48" s="1407" t="s">
        <v>1</v>
      </c>
      <c r="D48" s="1408"/>
      <c r="E48" s="1409"/>
      <c r="F48" s="1410"/>
      <c r="G48" s="1411"/>
      <c r="H48" s="1412"/>
      <c r="I48" s="1409"/>
      <c r="J48" s="485"/>
      <c r="K48" s="783"/>
      <c r="L48" s="1143"/>
      <c r="M48" s="1131"/>
      <c r="N48" s="1131"/>
      <c r="O48" s="1131"/>
      <c r="P48" s="3181" t="str">
        <f>A48</f>
        <v>成交单价（元/平方米）</v>
      </c>
      <c r="Q48" s="3170"/>
      <c r="R48" s="3171">
        <f>E48</f>
        <v>0</v>
      </c>
      <c r="S48" s="3171"/>
      <c r="T48" s="3171">
        <f>G48</f>
        <v>0</v>
      </c>
      <c r="U48" s="3171"/>
      <c r="V48" s="3171">
        <f>I48</f>
        <v>0</v>
      </c>
      <c r="W48" s="317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548"/>
      <c r="Q58" s="504"/>
    </row>
    <row r="59" spans="1:29" s="508" customFormat="1" ht="15">
      <c r="A59" s="505" t="s">
        <v>2547</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2584</v>
      </c>
      <c r="B61" s="516"/>
      <c r="C61" s="517"/>
      <c r="D61" s="518"/>
      <c r="E61" s="518"/>
      <c r="F61" s="518"/>
      <c r="G61" s="518"/>
      <c r="H61" s="518"/>
      <c r="I61" s="518"/>
      <c r="J61" s="518"/>
      <c r="K61" s="518"/>
      <c r="L61" s="518"/>
      <c r="M61" s="519"/>
      <c r="N61" s="518"/>
      <c r="O61" s="519"/>
      <c r="P61" s="2549"/>
      <c r="Q61" s="504"/>
    </row>
    <row r="62" spans="1:29" s="117" customFormat="1" ht="15">
      <c r="A62" s="521" t="s">
        <v>2549</v>
      </c>
      <c r="B62" s="510"/>
      <c r="C62" s="522" t="s">
        <v>2651</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2587</v>
      </c>
      <c r="B64" s="528" t="s">
        <v>2553</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2698</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2562</v>
      </c>
      <c r="B101" s="528" t="s">
        <v>2611</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2613</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2615</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2616</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2617</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2700</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2619</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2701</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IF(C2="——",ROUND(C43*D3/10000,0),ROUND(C43*D3/10000,0)-D2)</f>
        <v>#DIV/0!</v>
      </c>
      <c r="C2" s="2453"/>
      <c r="D2" s="1124"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3905.76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183" t="s">
        <v>2647</v>
      </c>
      <c r="AC4" s="3182" t="s">
        <v>2648</v>
      </c>
    </row>
    <row r="5" spans="1:29" ht="15">
      <c r="A5" s="404"/>
      <c r="B5" s="405"/>
      <c r="C5" s="3204" t="s">
        <v>2541</v>
      </c>
      <c r="D5" s="3205"/>
      <c r="E5" s="3211" t="s">
        <v>2542</v>
      </c>
      <c r="F5" s="3212"/>
      <c r="G5" s="3204" t="s">
        <v>2543</v>
      </c>
      <c r="H5" s="3205"/>
      <c r="I5" s="3204" t="s">
        <v>2544</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2547</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0"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57">
      <c r="A15" s="440" t="s">
        <v>2558</v>
      </c>
      <c r="B15" s="69" t="s">
        <v>2702</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2" t="s">
        <v>2559</v>
      </c>
      <c r="Q15" s="1675" t="str">
        <f t="shared" si="6"/>
        <v>产业集聚程度</v>
      </c>
      <c r="R15" s="774" t="s">
        <v>17</v>
      </c>
      <c r="S15" s="775">
        <f t="shared" si="0"/>
        <v>100</v>
      </c>
      <c r="T15" s="774" t="s">
        <v>17</v>
      </c>
      <c r="U15" s="775">
        <f t="shared" si="1"/>
        <v>100</v>
      </c>
      <c r="V15" s="774" t="s">
        <v>17</v>
      </c>
      <c r="W15" s="775">
        <f t="shared" si="2"/>
        <v>100</v>
      </c>
      <c r="X15" s="1678"/>
      <c r="Y15" s="3172" t="s">
        <v>2559</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73"/>
      <c r="Q16" s="1675"/>
      <c r="R16" s="774"/>
      <c r="S16" s="775"/>
      <c r="T16" s="774"/>
      <c r="U16" s="775"/>
      <c r="V16" s="774"/>
      <c r="W16" s="775"/>
      <c r="X16" s="1678"/>
      <c r="Y16" s="3173"/>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3"/>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173"/>
      <c r="Q18" s="1675"/>
      <c r="R18" s="774"/>
      <c r="S18" s="775"/>
      <c r="T18" s="774"/>
      <c r="U18" s="775"/>
      <c r="V18" s="774"/>
      <c r="W18" s="775"/>
      <c r="X18" s="1678"/>
      <c r="Y18" s="3173"/>
      <c r="Z18" s="1679"/>
      <c r="AA18" s="1676">
        <v>1</v>
      </c>
      <c r="AB18" s="1676">
        <v>1</v>
      </c>
      <c r="AC18" s="1676">
        <v>1</v>
      </c>
    </row>
    <row r="19" spans="1:29" ht="42.75">
      <c r="A19" s="428"/>
      <c r="B19" s="451" t="s">
        <v>2687</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3"/>
      <c r="Q19" s="1675" t="str">
        <f>B19</f>
        <v>公共配套设施</v>
      </c>
      <c r="R19" s="774" t="s">
        <v>17</v>
      </c>
      <c r="S19" s="775">
        <f>F19</f>
        <v>100</v>
      </c>
      <c r="T19" s="774" t="s">
        <v>17</v>
      </c>
      <c r="U19" s="775">
        <f>H19</f>
        <v>100</v>
      </c>
      <c r="V19" s="774" t="s">
        <v>17</v>
      </c>
      <c r="W19" s="775">
        <f>J19</f>
        <v>100</v>
      </c>
      <c r="X19" s="1678"/>
      <c r="Y19" s="3173"/>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173"/>
      <c r="Q20" s="1675"/>
      <c r="R20" s="774"/>
      <c r="S20" s="775"/>
      <c r="T20" s="774"/>
      <c r="U20" s="775"/>
      <c r="V20" s="774"/>
      <c r="W20" s="775"/>
      <c r="X20" s="1678"/>
      <c r="Y20" s="3173"/>
      <c r="Z20" s="1679"/>
      <c r="AA20" s="1676">
        <v>1</v>
      </c>
      <c r="AB20" s="1676">
        <v>1</v>
      </c>
      <c r="AC20" s="1676">
        <v>1</v>
      </c>
    </row>
    <row r="21" spans="1:29" ht="28.5">
      <c r="A21" s="428"/>
      <c r="B21" s="1384" t="s">
        <v>2688</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3"/>
      <c r="Q21" s="1675" t="str">
        <f>B21</f>
        <v>基础设施水平</v>
      </c>
      <c r="R21" s="774" t="s">
        <v>17</v>
      </c>
      <c r="S21" s="775">
        <f>F21</f>
        <v>100</v>
      </c>
      <c r="T21" s="774" t="s">
        <v>17</v>
      </c>
      <c r="U21" s="775">
        <f>H21</f>
        <v>100</v>
      </c>
      <c r="V21" s="774" t="s">
        <v>17</v>
      </c>
      <c r="W21" s="775">
        <f>J21</f>
        <v>100</v>
      </c>
      <c r="X21" s="1678"/>
      <c r="Y21" s="3173"/>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173"/>
      <c r="Q22" s="1675"/>
      <c r="R22" s="774"/>
      <c r="S22" s="775"/>
      <c r="T22" s="774"/>
      <c r="U22" s="775"/>
      <c r="V22" s="774"/>
      <c r="W22" s="775"/>
      <c r="X22" s="1678"/>
      <c r="Y22" s="3173"/>
      <c r="Z22" s="1679"/>
      <c r="AA22" s="1676">
        <v>1</v>
      </c>
      <c r="AB22" s="1676">
        <v>1</v>
      </c>
      <c r="AC22" s="1676">
        <v>1</v>
      </c>
    </row>
    <row r="23" spans="1:29" ht="71.25">
      <c r="A23" s="428"/>
      <c r="B23" s="451" t="s">
        <v>2689</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3"/>
      <c r="Q23" s="1675" t="str">
        <f>B23</f>
        <v>环境质量</v>
      </c>
      <c r="R23" s="774" t="s">
        <v>17</v>
      </c>
      <c r="S23" s="775">
        <f>F23</f>
        <v>100</v>
      </c>
      <c r="T23" s="774" t="s">
        <v>17</v>
      </c>
      <c r="U23" s="775">
        <f>H23</f>
        <v>100</v>
      </c>
      <c r="V23" s="774" t="s">
        <v>17</v>
      </c>
      <c r="W23" s="775">
        <f>J23</f>
        <v>100</v>
      </c>
      <c r="X23" s="1678"/>
      <c r="Y23" s="3173"/>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173"/>
      <c r="Q24" s="1675"/>
      <c r="R24" s="774"/>
      <c r="S24" s="775"/>
      <c r="T24" s="774"/>
      <c r="U24" s="775"/>
      <c r="V24" s="774"/>
      <c r="W24" s="775"/>
      <c r="X24" s="1678"/>
      <c r="Y24" s="3173"/>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3"/>
      <c r="Q25" s="1675">
        <f>B25</f>
        <v>111</v>
      </c>
      <c r="R25" s="774" t="s">
        <v>17</v>
      </c>
      <c r="S25" s="775">
        <f>F25</f>
        <v>100</v>
      </c>
      <c r="T25" s="774" t="s">
        <v>17</v>
      </c>
      <c r="U25" s="775">
        <f>H25</f>
        <v>100</v>
      </c>
      <c r="V25" s="774" t="s">
        <v>17</v>
      </c>
      <c r="W25" s="775">
        <f>J25</f>
        <v>100</v>
      </c>
      <c r="X25" s="1678"/>
      <c r="Y25" s="3173"/>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3"/>
      <c r="Q26" s="1675">
        <f t="shared" ref="Q26:Q40" si="11">B26</f>
        <v>111</v>
      </c>
      <c r="R26" s="774" t="s">
        <v>17</v>
      </c>
      <c r="S26" s="775">
        <f>F26</f>
        <v>100</v>
      </c>
      <c r="T26" s="774" t="s">
        <v>17</v>
      </c>
      <c r="U26" s="775">
        <f>H26</f>
        <v>100</v>
      </c>
      <c r="V26" s="774" t="s">
        <v>17</v>
      </c>
      <c r="W26" s="775">
        <f>J26</f>
        <v>100</v>
      </c>
      <c r="X26" s="1678"/>
      <c r="Y26" s="3173"/>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3"/>
      <c r="Q27" s="1660">
        <f t="shared" si="11"/>
        <v>111</v>
      </c>
      <c r="R27" s="770" t="s">
        <v>17</v>
      </c>
      <c r="S27" s="771">
        <f>F27</f>
        <v>100</v>
      </c>
      <c r="T27" s="770" t="s">
        <v>17</v>
      </c>
      <c r="U27" s="771">
        <f>H27</f>
        <v>100</v>
      </c>
      <c r="V27" s="770" t="s">
        <v>17</v>
      </c>
      <c r="W27" s="771">
        <f>J27</f>
        <v>100</v>
      </c>
      <c r="X27" s="772"/>
      <c r="Y27" s="3173"/>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3"/>
      <c r="Q28" s="1675">
        <f t="shared" si="11"/>
        <v>111</v>
      </c>
      <c r="R28" s="774" t="s">
        <v>17</v>
      </c>
      <c r="S28" s="775">
        <f t="shared" ref="S28:S40" si="12">F28</f>
        <v>100</v>
      </c>
      <c r="T28" s="774" t="s">
        <v>17</v>
      </c>
      <c r="U28" s="775">
        <f t="shared" ref="U28:U40" si="13">H28</f>
        <v>100</v>
      </c>
      <c r="V28" s="774" t="s">
        <v>17</v>
      </c>
      <c r="W28" s="775">
        <f t="shared" ref="W28:W40" si="14">J28</f>
        <v>100</v>
      </c>
      <c r="X28" s="1678"/>
      <c r="Y28" s="3173"/>
      <c r="Z28" s="1679">
        <f t="shared" ref="Z28:Z40" si="15">Q28</f>
        <v>111</v>
      </c>
      <c r="AA28" s="1676">
        <f t="shared" si="3"/>
        <v>1</v>
      </c>
      <c r="AB28" s="1676">
        <f t="shared" si="4"/>
        <v>1</v>
      </c>
      <c r="AC28" s="1676">
        <f t="shared" si="5"/>
        <v>1</v>
      </c>
    </row>
    <row r="29" spans="1:29" ht="28.5">
      <c r="A29" s="466" t="s">
        <v>2562</v>
      </c>
      <c r="B29" s="71" t="s">
        <v>2692</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3" t="s">
        <v>2564</v>
      </c>
      <c r="Q29" s="1675" t="str">
        <f t="shared" si="11"/>
        <v>建筑类型</v>
      </c>
      <c r="R29" s="774" t="s">
        <v>17</v>
      </c>
      <c r="S29" s="775">
        <f t="shared" si="12"/>
        <v>100</v>
      </c>
      <c r="T29" s="774" t="s">
        <v>17</v>
      </c>
      <c r="U29" s="775">
        <f t="shared" si="13"/>
        <v>100</v>
      </c>
      <c r="V29" s="774" t="s">
        <v>17</v>
      </c>
      <c r="W29" s="775">
        <f t="shared" si="14"/>
        <v>100</v>
      </c>
      <c r="X29" s="1678"/>
      <c r="Y29" s="3177" t="s">
        <v>2564</v>
      </c>
      <c r="Z29" s="1679" t="str">
        <f t="shared" si="15"/>
        <v>建筑类型</v>
      </c>
      <c r="AA29" s="1676">
        <f t="shared" si="3"/>
        <v>1</v>
      </c>
      <c r="AB29" s="1676">
        <f t="shared" si="4"/>
        <v>1</v>
      </c>
      <c r="AC29" s="167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676" t="e">
        <f t="shared" si="3"/>
        <v>#N/A</v>
      </c>
      <c r="AB30" s="1676" t="e">
        <f t="shared" si="4"/>
        <v>#N/A</v>
      </c>
      <c r="AC30" s="167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7"/>
      <c r="Q31" s="1675" t="str">
        <f t="shared" si="11"/>
        <v>建筑结构</v>
      </c>
      <c r="R31" s="774" t="s">
        <v>17</v>
      </c>
      <c r="S31" s="775">
        <f t="shared" si="12"/>
        <v>100</v>
      </c>
      <c r="T31" s="774" t="s">
        <v>17</v>
      </c>
      <c r="U31" s="775">
        <f t="shared" si="13"/>
        <v>100</v>
      </c>
      <c r="V31" s="774" t="s">
        <v>17</v>
      </c>
      <c r="W31" s="775">
        <f t="shared" si="14"/>
        <v>100</v>
      </c>
      <c r="X31" s="1678"/>
      <c r="Y31" s="3177"/>
      <c r="Z31" s="1679" t="str">
        <f t="shared" si="15"/>
        <v>建筑结构</v>
      </c>
      <c r="AA31" s="1676">
        <f t="shared" si="3"/>
        <v>1</v>
      </c>
      <c r="AB31" s="1676">
        <f t="shared" si="4"/>
        <v>1</v>
      </c>
      <c r="AC31" s="167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7"/>
      <c r="Q32" s="1675" t="str">
        <f t="shared" si="11"/>
        <v>公共部分装修</v>
      </c>
      <c r="R32" s="774" t="s">
        <v>17</v>
      </c>
      <c r="S32" s="775">
        <f t="shared" si="12"/>
        <v>100</v>
      </c>
      <c r="T32" s="774" t="s">
        <v>17</v>
      </c>
      <c r="U32" s="775">
        <f t="shared" si="13"/>
        <v>100</v>
      </c>
      <c r="V32" s="774" t="s">
        <v>17</v>
      </c>
      <c r="W32" s="775">
        <f t="shared" si="14"/>
        <v>100</v>
      </c>
      <c r="X32" s="1678"/>
      <c r="Y32" s="3177"/>
      <c r="Z32" s="1679" t="str">
        <f t="shared" si="15"/>
        <v>公共部分装修</v>
      </c>
      <c r="AA32" s="1676">
        <f t="shared" si="3"/>
        <v>1</v>
      </c>
      <c r="AB32" s="1676">
        <f t="shared" si="4"/>
        <v>1</v>
      </c>
      <c r="AC32" s="167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7"/>
      <c r="Q33" s="1675" t="str">
        <f t="shared" si="11"/>
        <v>成新度</v>
      </c>
      <c r="R33" s="774" t="s">
        <v>17</v>
      </c>
      <c r="S33" s="775" t="e">
        <f t="shared" si="12"/>
        <v>#N/A</v>
      </c>
      <c r="T33" s="774" t="s">
        <v>17</v>
      </c>
      <c r="U33" s="775" t="e">
        <f t="shared" si="13"/>
        <v>#N/A</v>
      </c>
      <c r="V33" s="774" t="s">
        <v>17</v>
      </c>
      <c r="W33" s="775" t="e">
        <f t="shared" si="14"/>
        <v>#N/A</v>
      </c>
      <c r="X33" s="1678"/>
      <c r="Y33" s="3177"/>
      <c r="Z33" s="1679" t="str">
        <f t="shared" si="15"/>
        <v>成新度</v>
      </c>
      <c r="AA33" s="1676" t="e">
        <f t="shared" si="3"/>
        <v>#N/A</v>
      </c>
      <c r="AB33" s="1676" t="e">
        <f t="shared" si="4"/>
        <v>#N/A</v>
      </c>
      <c r="AC33" s="167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7"/>
      <c r="Q34" s="1660"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7" t="s">
        <v>2564</v>
      </c>
      <c r="Q35" s="1675" t="str">
        <f t="shared" si="11"/>
        <v>市政基础设施</v>
      </c>
      <c r="R35" s="774" t="s">
        <v>17</v>
      </c>
      <c r="S35" s="775">
        <f t="shared" si="12"/>
        <v>100</v>
      </c>
      <c r="T35" s="774" t="s">
        <v>17</v>
      </c>
      <c r="U35" s="775">
        <f t="shared" si="13"/>
        <v>100</v>
      </c>
      <c r="V35" s="774" t="s">
        <v>17</v>
      </c>
      <c r="W35" s="775">
        <f t="shared" si="14"/>
        <v>100</v>
      </c>
      <c r="X35" s="1678"/>
      <c r="Y35" s="3177" t="s">
        <v>2564</v>
      </c>
      <c r="Z35" s="1679" t="str">
        <f t="shared" si="15"/>
        <v>市政基础设施</v>
      </c>
      <c r="AA35" s="1676">
        <f t="shared" si="3"/>
        <v>1</v>
      </c>
      <c r="AB35" s="1676">
        <f t="shared" si="4"/>
        <v>1</v>
      </c>
      <c r="AC35" s="167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7"/>
      <c r="Q36" s="1675" t="str">
        <f t="shared" si="11"/>
        <v>内部装修</v>
      </c>
      <c r="R36" s="774" t="s">
        <v>17</v>
      </c>
      <c r="S36" s="775">
        <f t="shared" si="12"/>
        <v>100</v>
      </c>
      <c r="T36" s="774" t="s">
        <v>17</v>
      </c>
      <c r="U36" s="775">
        <f t="shared" si="13"/>
        <v>100</v>
      </c>
      <c r="V36" s="774" t="s">
        <v>17</v>
      </c>
      <c r="W36" s="775">
        <f t="shared" si="14"/>
        <v>100</v>
      </c>
      <c r="X36" s="1678"/>
      <c r="Y36" s="3177"/>
      <c r="Z36" s="1679" t="str">
        <f t="shared" si="15"/>
        <v>内部装修</v>
      </c>
      <c r="AA36" s="1676">
        <f t="shared" si="3"/>
        <v>1</v>
      </c>
      <c r="AB36" s="1676">
        <f t="shared" si="4"/>
        <v>1</v>
      </c>
      <c r="AC36" s="167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7"/>
      <c r="Q37" s="1675" t="str">
        <f t="shared" si="11"/>
        <v>内部装修状况</v>
      </c>
      <c r="R37" s="774" t="s">
        <v>17</v>
      </c>
      <c r="S37" s="775">
        <f t="shared" si="12"/>
        <v>100</v>
      </c>
      <c r="T37" s="774" t="s">
        <v>17</v>
      </c>
      <c r="U37" s="775">
        <f t="shared" si="13"/>
        <v>100</v>
      </c>
      <c r="V37" s="774" t="s">
        <v>17</v>
      </c>
      <c r="W37" s="775">
        <f t="shared" si="14"/>
        <v>100</v>
      </c>
      <c r="X37" s="1678"/>
      <c r="Y37" s="3177"/>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7"/>
      <c r="Q39" s="1675">
        <f t="shared" si="11"/>
        <v>111</v>
      </c>
      <c r="R39" s="774" t="s">
        <v>17</v>
      </c>
      <c r="S39" s="775">
        <f t="shared" si="12"/>
        <v>100</v>
      </c>
      <c r="T39" s="774" t="s">
        <v>17</v>
      </c>
      <c r="U39" s="775">
        <f t="shared" si="13"/>
        <v>100</v>
      </c>
      <c r="V39" s="774" t="s">
        <v>17</v>
      </c>
      <c r="W39" s="775">
        <f t="shared" si="14"/>
        <v>100</v>
      </c>
      <c r="X39" s="1678"/>
      <c r="Y39" s="3177"/>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8"/>
      <c r="Q40" s="1675">
        <f t="shared" si="11"/>
        <v>111</v>
      </c>
      <c r="R40" s="774" t="s">
        <v>17</v>
      </c>
      <c r="S40" s="775">
        <f t="shared" si="12"/>
        <v>100</v>
      </c>
      <c r="T40" s="774" t="s">
        <v>17</v>
      </c>
      <c r="U40" s="775">
        <f t="shared" si="13"/>
        <v>100</v>
      </c>
      <c r="V40" s="774" t="s">
        <v>17</v>
      </c>
      <c r="W40" s="775">
        <f t="shared" si="14"/>
        <v>100</v>
      </c>
      <c r="X40" s="1678"/>
      <c r="Y40" s="3178"/>
      <c r="Z40" s="1679">
        <f t="shared" si="15"/>
        <v>111</v>
      </c>
      <c r="AA40" s="1676">
        <f t="shared" si="3"/>
        <v>1</v>
      </c>
      <c r="AB40" s="1676">
        <f t="shared" si="4"/>
        <v>1</v>
      </c>
      <c r="AC40" s="1676">
        <f t="shared" si="5"/>
        <v>1</v>
      </c>
    </row>
    <row r="41" spans="1:29" ht="15">
      <c r="A41" s="479" t="s">
        <v>2576</v>
      </c>
      <c r="B41" s="480"/>
      <c r="C41" s="1407" t="s">
        <v>1</v>
      </c>
      <c r="D41" s="1408"/>
      <c r="E41" s="1409"/>
      <c r="F41" s="1410"/>
      <c r="G41" s="1411"/>
      <c r="H41" s="1412"/>
      <c r="I41" s="1409"/>
      <c r="J41" s="1412"/>
      <c r="K41" s="783"/>
      <c r="L41" s="1143"/>
      <c r="M41" s="1144"/>
      <c r="N41" s="1131"/>
      <c r="O41" s="1144"/>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67" t="str">
        <f>A43</f>
        <v>估价对象XX用房的比较价值（楼面单价，元/平方米）</v>
      </c>
      <c r="Q43" s="3168"/>
      <c r="R43" s="3169" t="e">
        <f>IF(F1="售价",ROUND(AVERAGE(R42:V42),0),ROUND(AVERAGE(R42:V42),1))</f>
        <v>#DIV/0!</v>
      </c>
      <c r="S43" s="3169"/>
      <c r="T43" s="3169"/>
      <c r="U43" s="3169"/>
      <c r="V43" s="3169"/>
      <c r="W43" s="316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估价对象为北京市房地产,属开发建设的，该项目尚在开发建设中。根据《国有土地使用证》[]，估价对象（分摊）出让国有建设用地使用权面积为2386.36平方米，规划建筑面积为3905.76平方米。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06"/>
      <c r="F1" s="2451"/>
      <c r="G1" s="1507" t="s">
        <v>2642</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2326</v>
      </c>
      <c r="B2" s="1418" t="e">
        <f ca="1">IF(C2="——",IF(B37="元/平方米",ROUND(C39*D3/10000,0),ROUND(F3*C39/10000,0)),IF(B37="元/平方米",ROUND(C39*D3/10000,0),ROUND(F3*C39/10000,0))-D2)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183" t="s">
        <v>2647</v>
      </c>
      <c r="AC4" s="3182" t="s">
        <v>2648</v>
      </c>
    </row>
    <row r="5" spans="1:29" ht="15">
      <c r="A5" s="404"/>
      <c r="B5" s="405"/>
      <c r="C5" s="3204" t="s">
        <v>2541</v>
      </c>
      <c r="D5" s="3205"/>
      <c r="E5" s="3211" t="s">
        <v>2542</v>
      </c>
      <c r="F5" s="3212"/>
      <c r="G5" s="3204" t="s">
        <v>2543</v>
      </c>
      <c r="H5" s="3205"/>
      <c r="I5" s="3204" t="s">
        <v>2544</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2547</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2548</v>
      </c>
      <c r="Q7" s="3208"/>
      <c r="R7" s="770" t="s">
        <v>17</v>
      </c>
      <c r="S7" s="771">
        <f t="shared" ref="S7:S14" si="0">F7</f>
        <v>0</v>
      </c>
      <c r="T7" s="770" t="s">
        <v>17</v>
      </c>
      <c r="U7" s="771">
        <f t="shared" ref="U7:U14" si="1">H7</f>
        <v>0</v>
      </c>
      <c r="V7" s="770" t="s">
        <v>17</v>
      </c>
      <c r="W7" s="771">
        <f t="shared" ref="W7:W14" si="2">J7</f>
        <v>0</v>
      </c>
      <c r="X7" s="772"/>
      <c r="Y7" s="3206" t="s">
        <v>2548</v>
      </c>
      <c r="Z7" s="320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0" t="s">
        <v>2554</v>
      </c>
      <c r="Q9" s="1660" t="str">
        <f t="shared" ref="Q9:Q14" si="6">B9</f>
        <v>用途</v>
      </c>
      <c r="R9" s="770" t="s">
        <v>17</v>
      </c>
      <c r="S9" s="771">
        <f t="shared" si="0"/>
        <v>100</v>
      </c>
      <c r="T9" s="770" t="s">
        <v>17</v>
      </c>
      <c r="U9" s="771">
        <f t="shared" si="1"/>
        <v>100</v>
      </c>
      <c r="V9" s="770" t="s">
        <v>17</v>
      </c>
      <c r="W9" s="771">
        <f t="shared" si="2"/>
        <v>100</v>
      </c>
      <c r="X9" s="772"/>
      <c r="Y9" s="299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0"/>
      <c r="Q11" s="1660">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85.5">
      <c r="A14" s="401" t="s">
        <v>2558</v>
      </c>
      <c r="B14" s="629" t="s">
        <v>2708</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2" t="s">
        <v>2559</v>
      </c>
      <c r="Q14" s="1675" t="str">
        <f t="shared" si="6"/>
        <v>交通便捷度</v>
      </c>
      <c r="R14" s="774" t="s">
        <v>17</v>
      </c>
      <c r="S14" s="775">
        <f t="shared" si="0"/>
        <v>100</v>
      </c>
      <c r="T14" s="774" t="s">
        <v>17</v>
      </c>
      <c r="U14" s="775">
        <f t="shared" si="1"/>
        <v>100</v>
      </c>
      <c r="V14" s="774" t="s">
        <v>17</v>
      </c>
      <c r="W14" s="775">
        <f t="shared" si="2"/>
        <v>100</v>
      </c>
      <c r="X14" s="1678"/>
      <c r="Y14" s="3172" t="s">
        <v>2559</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73"/>
      <c r="Q15" s="1675"/>
      <c r="R15" s="774"/>
      <c r="S15" s="775"/>
      <c r="T15" s="774"/>
      <c r="U15" s="775"/>
      <c r="V15" s="774"/>
      <c r="W15" s="775"/>
      <c r="X15" s="1678"/>
      <c r="Y15" s="3173"/>
      <c r="Z15" s="1679"/>
      <c r="AA15" s="1676">
        <v>1</v>
      </c>
      <c r="AB15" s="1676">
        <v>1</v>
      </c>
      <c r="AC15" s="1676">
        <v>1</v>
      </c>
    </row>
    <row r="16" spans="1:29" ht="42.75">
      <c r="A16" s="404"/>
      <c r="B16" s="631" t="s">
        <v>2687</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3"/>
      <c r="Q16" s="1675" t="str">
        <f>B16</f>
        <v>公共配套设施</v>
      </c>
      <c r="R16" s="774" t="s">
        <v>17</v>
      </c>
      <c r="S16" s="775">
        <f>F16</f>
        <v>100</v>
      </c>
      <c r="T16" s="774" t="s">
        <v>17</v>
      </c>
      <c r="U16" s="775">
        <f>H16</f>
        <v>100</v>
      </c>
      <c r="V16" s="774" t="s">
        <v>17</v>
      </c>
      <c r="W16" s="775">
        <f>J16</f>
        <v>100</v>
      </c>
      <c r="X16" s="1678"/>
      <c r="Y16" s="3173"/>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173"/>
      <c r="Q17" s="1675"/>
      <c r="R17" s="774"/>
      <c r="S17" s="775"/>
      <c r="T17" s="774"/>
      <c r="U17" s="775"/>
      <c r="V17" s="774"/>
      <c r="W17" s="775"/>
      <c r="X17" s="1678"/>
      <c r="Y17" s="3173"/>
      <c r="Z17" s="1679"/>
      <c r="AA17" s="1676">
        <v>1</v>
      </c>
      <c r="AB17" s="1676">
        <v>1</v>
      </c>
      <c r="AC17" s="1676">
        <v>1</v>
      </c>
    </row>
    <row r="18" spans="1:29" ht="28.5">
      <c r="A18" s="404"/>
      <c r="B18" s="633" t="s">
        <v>2688</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3"/>
      <c r="Q18" s="1675" t="str">
        <f>B18</f>
        <v>基础设施水平</v>
      </c>
      <c r="R18" s="774" t="s">
        <v>17</v>
      </c>
      <c r="S18" s="775">
        <f>F18</f>
        <v>100</v>
      </c>
      <c r="T18" s="774" t="s">
        <v>17</v>
      </c>
      <c r="U18" s="775">
        <f>H18</f>
        <v>100</v>
      </c>
      <c r="V18" s="774" t="s">
        <v>17</v>
      </c>
      <c r="W18" s="775">
        <f>J18</f>
        <v>100</v>
      </c>
      <c r="X18" s="1678"/>
      <c r="Y18" s="3173"/>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173"/>
      <c r="Q19" s="1675"/>
      <c r="R19" s="774"/>
      <c r="S19" s="775"/>
      <c r="T19" s="774"/>
      <c r="U19" s="775"/>
      <c r="V19" s="774"/>
      <c r="W19" s="775"/>
      <c r="X19" s="1678"/>
      <c r="Y19" s="3173"/>
      <c r="Z19" s="1679"/>
      <c r="AA19" s="1676">
        <v>1</v>
      </c>
      <c r="AB19" s="1676">
        <v>1</v>
      </c>
      <c r="AC19" s="1676">
        <v>1</v>
      </c>
    </row>
    <row r="20" spans="1:29" ht="57">
      <c r="A20" s="404"/>
      <c r="B20" s="631" t="s">
        <v>2709</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3"/>
      <c r="Q20" s="1675" t="str">
        <f>B20</f>
        <v>自然及人文环境</v>
      </c>
      <c r="R20" s="774" t="s">
        <v>17</v>
      </c>
      <c r="S20" s="775">
        <f>F20</f>
        <v>100</v>
      </c>
      <c r="T20" s="774" t="s">
        <v>17</v>
      </c>
      <c r="U20" s="775">
        <f>H20</f>
        <v>100</v>
      </c>
      <c r="V20" s="774" t="s">
        <v>17</v>
      </c>
      <c r="W20" s="775">
        <f>J20</f>
        <v>100</v>
      </c>
      <c r="X20" s="1678"/>
      <c r="Y20" s="3173"/>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73"/>
      <c r="Q21" s="1675"/>
      <c r="R21" s="774"/>
      <c r="S21" s="775"/>
      <c r="T21" s="774"/>
      <c r="U21" s="775"/>
      <c r="V21" s="774"/>
      <c r="W21" s="775"/>
      <c r="X21" s="1678"/>
      <c r="Y21" s="3173"/>
      <c r="Z21" s="1679"/>
      <c r="AA21" s="1676">
        <v>1</v>
      </c>
      <c r="AB21" s="1676">
        <v>1</v>
      </c>
      <c r="AC21" s="167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3"/>
      <c r="Q22" s="1675" t="str">
        <f>B22</f>
        <v>楼层</v>
      </c>
      <c r="R22" s="774" t="s">
        <v>17</v>
      </c>
      <c r="S22" s="775">
        <f>F22</f>
        <v>100</v>
      </c>
      <c r="T22" s="774" t="s">
        <v>17</v>
      </c>
      <c r="U22" s="775">
        <f>H22</f>
        <v>100</v>
      </c>
      <c r="V22" s="774" t="s">
        <v>17</v>
      </c>
      <c r="W22" s="775">
        <f>J22</f>
        <v>100</v>
      </c>
      <c r="X22" s="1678"/>
      <c r="Y22" s="3173"/>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3"/>
      <c r="Q23" s="1675">
        <f>B23</f>
        <v>111</v>
      </c>
      <c r="R23" s="774" t="s">
        <v>17</v>
      </c>
      <c r="S23" s="775">
        <f>F23</f>
        <v>100</v>
      </c>
      <c r="T23" s="774" t="s">
        <v>17</v>
      </c>
      <c r="U23" s="775">
        <f>H23</f>
        <v>100</v>
      </c>
      <c r="V23" s="774" t="s">
        <v>17</v>
      </c>
      <c r="W23" s="775">
        <f>J23</f>
        <v>100</v>
      </c>
      <c r="X23" s="1678"/>
      <c r="Y23" s="3173"/>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3"/>
      <c r="Q24" s="1675">
        <f t="shared" ref="Q24:Q36" si="11">B24</f>
        <v>111</v>
      </c>
      <c r="R24" s="774" t="s">
        <v>17</v>
      </c>
      <c r="S24" s="775">
        <f>F24</f>
        <v>100</v>
      </c>
      <c r="T24" s="774" t="s">
        <v>17</v>
      </c>
      <c r="U24" s="775">
        <f>H24</f>
        <v>100</v>
      </c>
      <c r="V24" s="774" t="s">
        <v>17</v>
      </c>
      <c r="W24" s="775">
        <f>J24</f>
        <v>100</v>
      </c>
      <c r="X24" s="1678"/>
      <c r="Y24" s="3173"/>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3"/>
      <c r="Q25" s="1660">
        <f t="shared" si="11"/>
        <v>111</v>
      </c>
      <c r="R25" s="770" t="s">
        <v>17</v>
      </c>
      <c r="S25" s="771">
        <f>F25</f>
        <v>100</v>
      </c>
      <c r="T25" s="770" t="s">
        <v>17</v>
      </c>
      <c r="U25" s="771">
        <f>H25</f>
        <v>100</v>
      </c>
      <c r="V25" s="770" t="s">
        <v>17</v>
      </c>
      <c r="W25" s="771">
        <f>J25</f>
        <v>100</v>
      </c>
      <c r="X25" s="772"/>
      <c r="Y25" s="3173"/>
      <c r="Z25" s="55">
        <f>Q25</f>
        <v>111</v>
      </c>
      <c r="AA25" s="1676">
        <f>D25/F25</f>
        <v>1</v>
      </c>
      <c r="AB25" s="1676">
        <f>D25/H25</f>
        <v>1</v>
      </c>
      <c r="AC25" s="1676">
        <f>D25/J25</f>
        <v>1</v>
      </c>
    </row>
    <row r="26" spans="1:29" ht="28.5">
      <c r="A26" s="652" t="s">
        <v>2562</v>
      </c>
      <c r="B26" s="70" t="s">
        <v>2711</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2564</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77" t="s">
        <v>2564</v>
      </c>
      <c r="Z26" s="1679" t="str">
        <f t="shared" ref="Z26:Z36" si="15">Q26</f>
        <v>配套类型</v>
      </c>
      <c r="AA26" s="1676">
        <f t="shared" si="3"/>
        <v>1</v>
      </c>
      <c r="AB26" s="1676">
        <f t="shared" si="4"/>
        <v>1</v>
      </c>
      <c r="AC26" s="167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676">
        <f t="shared" si="3"/>
        <v>1</v>
      </c>
      <c r="AB27" s="1676">
        <f t="shared" si="4"/>
        <v>1</v>
      </c>
      <c r="AC27" s="167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7"/>
      <c r="Q28" s="1675" t="str">
        <f t="shared" si="11"/>
        <v>公共部分装修</v>
      </c>
      <c r="R28" s="774" t="s">
        <v>17</v>
      </c>
      <c r="S28" s="775">
        <f t="shared" si="12"/>
        <v>100</v>
      </c>
      <c r="T28" s="774" t="s">
        <v>17</v>
      </c>
      <c r="U28" s="775">
        <f t="shared" si="13"/>
        <v>100</v>
      </c>
      <c r="V28" s="774" t="s">
        <v>17</v>
      </c>
      <c r="W28" s="775">
        <f t="shared" si="14"/>
        <v>100</v>
      </c>
      <c r="X28" s="1678"/>
      <c r="Y28" s="3177"/>
      <c r="Z28" s="1679" t="str">
        <f t="shared" si="15"/>
        <v>公共部分装修</v>
      </c>
      <c r="AA28" s="1676">
        <f t="shared" si="3"/>
        <v>1</v>
      </c>
      <c r="AB28" s="1676">
        <f t="shared" si="4"/>
        <v>1</v>
      </c>
      <c r="AC28" s="167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7"/>
      <c r="Q29" s="1675" t="str">
        <f t="shared" si="11"/>
        <v>成新率</v>
      </c>
      <c r="R29" s="774" t="s">
        <v>17</v>
      </c>
      <c r="S29" s="775" t="e">
        <f t="shared" si="12"/>
        <v>#N/A</v>
      </c>
      <c r="T29" s="774" t="s">
        <v>17</v>
      </c>
      <c r="U29" s="775" t="e">
        <f t="shared" si="13"/>
        <v>#N/A</v>
      </c>
      <c r="V29" s="774" t="s">
        <v>17</v>
      </c>
      <c r="W29" s="775" t="e">
        <f t="shared" si="14"/>
        <v>#N/A</v>
      </c>
      <c r="X29" s="1678"/>
      <c r="Y29" s="3177"/>
      <c r="Z29" s="1679" t="str">
        <f t="shared" si="15"/>
        <v>成新率</v>
      </c>
      <c r="AA29" s="1676" t="e">
        <f t="shared" si="3"/>
        <v>#N/A</v>
      </c>
      <c r="AB29" s="1676" t="e">
        <f t="shared" si="4"/>
        <v>#N/A</v>
      </c>
      <c r="AC29" s="167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7"/>
      <c r="Q30" s="1675" t="str">
        <f t="shared" si="11"/>
        <v>物业等级</v>
      </c>
      <c r="R30" s="774" t="s">
        <v>17</v>
      </c>
      <c r="S30" s="775">
        <f t="shared" si="12"/>
        <v>100</v>
      </c>
      <c r="T30" s="774" t="s">
        <v>17</v>
      </c>
      <c r="U30" s="775">
        <f t="shared" si="13"/>
        <v>100</v>
      </c>
      <c r="V30" s="774" t="s">
        <v>17</v>
      </c>
      <c r="W30" s="775">
        <f t="shared" si="14"/>
        <v>100</v>
      </c>
      <c r="X30" s="1678"/>
      <c r="Y30" s="3177"/>
      <c r="Z30" s="1679" t="str">
        <f t="shared" si="15"/>
        <v>物业等级</v>
      </c>
      <c r="AA30" s="1676">
        <f t="shared" si="3"/>
        <v>1</v>
      </c>
      <c r="AB30" s="1676">
        <f t="shared" si="4"/>
        <v>1</v>
      </c>
      <c r="AC30" s="167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7"/>
      <c r="Q31" s="1660"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7" t="s">
        <v>2564</v>
      </c>
      <c r="Q32" s="1675" t="str">
        <f t="shared" si="11"/>
        <v>车位类型</v>
      </c>
      <c r="R32" s="774" t="s">
        <v>17</v>
      </c>
      <c r="S32" s="775">
        <f t="shared" si="12"/>
        <v>100</v>
      </c>
      <c r="T32" s="774" t="s">
        <v>17</v>
      </c>
      <c r="U32" s="775">
        <f t="shared" si="13"/>
        <v>100</v>
      </c>
      <c r="V32" s="774" t="s">
        <v>17</v>
      </c>
      <c r="W32" s="775">
        <f t="shared" si="14"/>
        <v>100</v>
      </c>
      <c r="X32" s="1678"/>
      <c r="Y32" s="3177" t="s">
        <v>2564</v>
      </c>
      <c r="Z32" s="1679" t="str">
        <f t="shared" si="15"/>
        <v>车位类型</v>
      </c>
      <c r="AA32" s="1676">
        <f t="shared" si="3"/>
        <v>1</v>
      </c>
      <c r="AB32" s="1676">
        <f t="shared" si="4"/>
        <v>1</v>
      </c>
      <c r="AC32" s="167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7"/>
      <c r="Q33" s="1675" t="str">
        <f t="shared" si="11"/>
        <v>是否直接入户</v>
      </c>
      <c r="R33" s="774" t="s">
        <v>17</v>
      </c>
      <c r="S33" s="775">
        <f t="shared" si="12"/>
        <v>100</v>
      </c>
      <c r="T33" s="774" t="s">
        <v>17</v>
      </c>
      <c r="U33" s="775">
        <f t="shared" si="13"/>
        <v>100</v>
      </c>
      <c r="V33" s="774" t="s">
        <v>17</v>
      </c>
      <c r="W33" s="775">
        <f t="shared" si="14"/>
        <v>100</v>
      </c>
      <c r="X33" s="1678"/>
      <c r="Y33" s="3177"/>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7"/>
      <c r="Q34" s="1675">
        <f t="shared" si="11"/>
        <v>111</v>
      </c>
      <c r="R34" s="774" t="s">
        <v>17</v>
      </c>
      <c r="S34" s="775">
        <f t="shared" si="12"/>
        <v>100</v>
      </c>
      <c r="T34" s="774" t="s">
        <v>17</v>
      </c>
      <c r="U34" s="775">
        <f t="shared" si="13"/>
        <v>100</v>
      </c>
      <c r="V34" s="774" t="s">
        <v>17</v>
      </c>
      <c r="W34" s="775">
        <f t="shared" si="14"/>
        <v>100</v>
      </c>
      <c r="X34" s="1678"/>
      <c r="Y34" s="3177"/>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7"/>
      <c r="Q36" s="1675">
        <f t="shared" si="11"/>
        <v>111</v>
      </c>
      <c r="R36" s="774" t="s">
        <v>17</v>
      </c>
      <c r="S36" s="775">
        <f t="shared" si="12"/>
        <v>100</v>
      </c>
      <c r="T36" s="774" t="s">
        <v>17</v>
      </c>
      <c r="U36" s="775">
        <f t="shared" si="13"/>
        <v>100</v>
      </c>
      <c r="V36" s="774" t="s">
        <v>17</v>
      </c>
      <c r="W36" s="775">
        <f t="shared" si="14"/>
        <v>100</v>
      </c>
      <c r="X36" s="1678"/>
      <c r="Y36" s="3177"/>
      <c r="Z36" s="1679">
        <f t="shared" si="15"/>
        <v>111</v>
      </c>
      <c r="AA36" s="1676">
        <f t="shared" si="3"/>
        <v>1</v>
      </c>
      <c r="AB36" s="1676">
        <f t="shared" si="4"/>
        <v>1</v>
      </c>
      <c r="AC36" s="1676">
        <f t="shared" si="5"/>
        <v>1</v>
      </c>
    </row>
    <row r="37" spans="1:29" ht="15">
      <c r="A37" s="479" t="s">
        <v>2719</v>
      </c>
      <c r="B37" s="2562" t="s">
        <v>2720</v>
      </c>
      <c r="C37" s="1407" t="s">
        <v>1</v>
      </c>
      <c r="D37" s="1408"/>
      <c r="E37" s="1409"/>
      <c r="F37" s="1410"/>
      <c r="G37" s="1411"/>
      <c r="H37" s="1412"/>
      <c r="I37" s="1409"/>
      <c r="J37" s="1412"/>
      <c r="K37" s="619"/>
      <c r="L37" s="1143"/>
      <c r="M37" s="1144"/>
      <c r="N37" s="1131"/>
      <c r="O37" s="1144"/>
      <c r="P37" s="3170" t="str">
        <f>A37</f>
        <v>成交单价</v>
      </c>
      <c r="Q37" s="3170"/>
      <c r="R37" s="3171">
        <f>E37</f>
        <v>0</v>
      </c>
      <c r="S37" s="3171"/>
      <c r="T37" s="3171">
        <f>G37</f>
        <v>0</v>
      </c>
      <c r="U37" s="3171"/>
      <c r="V37" s="3171">
        <f>I37</f>
        <v>0</v>
      </c>
      <c r="W37" s="317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IF(C2="——",ROUND(C37*D3/10000,0),ROUND(C37*D3/10000,0)-D2)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183" t="s">
        <v>2647</v>
      </c>
      <c r="AC4" s="3182" t="s">
        <v>2648</v>
      </c>
    </row>
    <row r="5" spans="1:29" ht="15">
      <c r="A5" s="404"/>
      <c r="B5" s="405"/>
      <c r="C5" s="3204" t="s">
        <v>2541</v>
      </c>
      <c r="D5" s="3205"/>
      <c r="E5" s="3211" t="s">
        <v>2542</v>
      </c>
      <c r="F5" s="3212"/>
      <c r="G5" s="3204" t="s">
        <v>2543</v>
      </c>
      <c r="H5" s="3205"/>
      <c r="I5" s="3204" t="s">
        <v>2544</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2547</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06" t="s">
        <v>2548</v>
      </c>
      <c r="Q7" s="3208"/>
      <c r="R7" s="770" t="s">
        <v>17</v>
      </c>
      <c r="S7" s="771">
        <f t="shared" ref="S7:S14" si="0">F7</f>
        <v>0</v>
      </c>
      <c r="T7" s="770" t="s">
        <v>17</v>
      </c>
      <c r="U7" s="771">
        <f t="shared" ref="U7:U14" si="1">H7</f>
        <v>0</v>
      </c>
      <c r="V7" s="770" t="s">
        <v>17</v>
      </c>
      <c r="W7" s="771">
        <f t="shared" ref="W7:W14" si="2">J7</f>
        <v>0</v>
      </c>
      <c r="X7" s="772"/>
      <c r="Y7" s="3206" t="s">
        <v>2548</v>
      </c>
      <c r="Z7" s="320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0" t="s">
        <v>2554</v>
      </c>
      <c r="Q9" s="1660" t="str">
        <f t="shared" ref="Q9:Q14" si="6">B9</f>
        <v>用途</v>
      </c>
      <c r="R9" s="770" t="s">
        <v>17</v>
      </c>
      <c r="S9" s="771">
        <f t="shared" si="0"/>
        <v>100</v>
      </c>
      <c r="T9" s="770" t="s">
        <v>17</v>
      </c>
      <c r="U9" s="771">
        <f t="shared" si="1"/>
        <v>100</v>
      </c>
      <c r="V9" s="770" t="s">
        <v>17</v>
      </c>
      <c r="W9" s="771">
        <f t="shared" si="2"/>
        <v>100</v>
      </c>
      <c r="X9" s="772"/>
      <c r="Y9" s="299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0"/>
      <c r="Q10" s="1660" t="str">
        <f t="shared" si="6"/>
        <v>土地使用年限（年）</v>
      </c>
      <c r="R10" s="770" t="s">
        <v>17</v>
      </c>
      <c r="S10" s="771">
        <f t="shared" si="0"/>
        <v>100</v>
      </c>
      <c r="T10" s="770" t="s">
        <v>17</v>
      </c>
      <c r="U10" s="771">
        <f t="shared" si="1"/>
        <v>100</v>
      </c>
      <c r="V10" s="770" t="s">
        <v>17</v>
      </c>
      <c r="W10" s="771">
        <f t="shared" si="2"/>
        <v>100</v>
      </c>
      <c r="X10" s="772"/>
      <c r="Y10" s="2993"/>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0"/>
      <c r="Q11" s="1660">
        <f t="shared" si="6"/>
        <v>111</v>
      </c>
      <c r="R11" s="770" t="s">
        <v>17</v>
      </c>
      <c r="S11" s="771">
        <f t="shared" si="0"/>
        <v>100</v>
      </c>
      <c r="T11" s="770" t="s">
        <v>17</v>
      </c>
      <c r="U11" s="771">
        <f t="shared" si="1"/>
        <v>100</v>
      </c>
      <c r="V11" s="770" t="s">
        <v>17</v>
      </c>
      <c r="W11" s="771">
        <f t="shared" si="2"/>
        <v>100</v>
      </c>
      <c r="X11" s="772"/>
      <c r="Y11" s="2993"/>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85.5">
      <c r="A14" s="440" t="s">
        <v>2558</v>
      </c>
      <c r="B14" s="69" t="s">
        <v>2708</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2" t="s">
        <v>2559</v>
      </c>
      <c r="Q14" s="1675" t="str">
        <f t="shared" si="6"/>
        <v>交通便捷度</v>
      </c>
      <c r="R14" s="774" t="s">
        <v>17</v>
      </c>
      <c r="S14" s="775">
        <f t="shared" si="0"/>
        <v>100</v>
      </c>
      <c r="T14" s="774" t="s">
        <v>17</v>
      </c>
      <c r="U14" s="775">
        <f t="shared" si="1"/>
        <v>100</v>
      </c>
      <c r="V14" s="774" t="s">
        <v>17</v>
      </c>
      <c r="W14" s="775">
        <f t="shared" si="2"/>
        <v>100</v>
      </c>
      <c r="X14" s="1678"/>
      <c r="Y14" s="3172" t="s">
        <v>2559</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73"/>
      <c r="Q15" s="1675"/>
      <c r="R15" s="774"/>
      <c r="S15" s="775"/>
      <c r="T15" s="774"/>
      <c r="U15" s="775"/>
      <c r="V15" s="774"/>
      <c r="W15" s="775"/>
      <c r="X15" s="1678"/>
      <c r="Y15" s="3173"/>
      <c r="Z15" s="1679"/>
      <c r="AA15" s="1676">
        <v>1</v>
      </c>
      <c r="AB15" s="1676">
        <v>1</v>
      </c>
      <c r="AC15" s="1676">
        <v>1</v>
      </c>
    </row>
    <row r="16" spans="1:29" ht="42.75">
      <c r="A16" s="428"/>
      <c r="B16" s="451" t="s">
        <v>2687</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3"/>
      <c r="Q16" s="1675" t="str">
        <f>B16</f>
        <v>公共配套设施</v>
      </c>
      <c r="R16" s="774" t="s">
        <v>17</v>
      </c>
      <c r="S16" s="775">
        <f>F16</f>
        <v>100</v>
      </c>
      <c r="T16" s="774" t="s">
        <v>17</v>
      </c>
      <c r="U16" s="775">
        <f>H16</f>
        <v>100</v>
      </c>
      <c r="V16" s="774" t="s">
        <v>17</v>
      </c>
      <c r="W16" s="775">
        <f>J16</f>
        <v>100</v>
      </c>
      <c r="X16" s="1678"/>
      <c r="Y16" s="3173"/>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173"/>
      <c r="Q17" s="1675"/>
      <c r="R17" s="774"/>
      <c r="S17" s="775"/>
      <c r="T17" s="774"/>
      <c r="U17" s="775"/>
      <c r="V17" s="774"/>
      <c r="W17" s="775"/>
      <c r="X17" s="1678"/>
      <c r="Y17" s="3173"/>
      <c r="Z17" s="1679"/>
      <c r="AA17" s="1676">
        <v>1</v>
      </c>
      <c r="AB17" s="1676">
        <v>1</v>
      </c>
      <c r="AC17" s="1676">
        <v>1</v>
      </c>
    </row>
    <row r="18" spans="1:29" ht="28.5">
      <c r="A18" s="428"/>
      <c r="B18" s="1384" t="s">
        <v>2688</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3"/>
      <c r="Q18" s="1675" t="str">
        <f>B18</f>
        <v>基础设施水平</v>
      </c>
      <c r="R18" s="774" t="s">
        <v>17</v>
      </c>
      <c r="S18" s="775">
        <f>F18</f>
        <v>100</v>
      </c>
      <c r="T18" s="774" t="s">
        <v>17</v>
      </c>
      <c r="U18" s="775">
        <f>H18</f>
        <v>100</v>
      </c>
      <c r="V18" s="774" t="s">
        <v>17</v>
      </c>
      <c r="W18" s="775">
        <f>J18</f>
        <v>100</v>
      </c>
      <c r="X18" s="1678"/>
      <c r="Y18" s="3173"/>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173"/>
      <c r="Q19" s="1675"/>
      <c r="R19" s="774"/>
      <c r="S19" s="775"/>
      <c r="T19" s="774"/>
      <c r="U19" s="775"/>
      <c r="V19" s="774"/>
      <c r="W19" s="775"/>
      <c r="X19" s="1678"/>
      <c r="Y19" s="3173"/>
      <c r="Z19" s="1679"/>
      <c r="AA19" s="1676">
        <v>1</v>
      </c>
      <c r="AB19" s="1676">
        <v>1</v>
      </c>
      <c r="AC19" s="1676">
        <v>1</v>
      </c>
    </row>
    <row r="20" spans="1:29" ht="57">
      <c r="A20" s="428"/>
      <c r="B20" s="451" t="s">
        <v>2709</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3"/>
      <c r="Q20" s="1675" t="str">
        <f>B20</f>
        <v>自然及人文环境</v>
      </c>
      <c r="R20" s="774" t="s">
        <v>17</v>
      </c>
      <c r="S20" s="775">
        <f>F20</f>
        <v>100</v>
      </c>
      <c r="T20" s="774" t="s">
        <v>17</v>
      </c>
      <c r="U20" s="775">
        <f>H20</f>
        <v>100</v>
      </c>
      <c r="V20" s="774" t="s">
        <v>17</v>
      </c>
      <c r="W20" s="775">
        <f>J20</f>
        <v>100</v>
      </c>
      <c r="X20" s="1678"/>
      <c r="Y20" s="3173"/>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73"/>
      <c r="Q21" s="1675"/>
      <c r="R21" s="774"/>
      <c r="S21" s="775"/>
      <c r="T21" s="774"/>
      <c r="U21" s="775"/>
      <c r="V21" s="774"/>
      <c r="W21" s="775"/>
      <c r="X21" s="1678"/>
      <c r="Y21" s="3173"/>
      <c r="Z21" s="1679"/>
      <c r="AA21" s="1676">
        <v>1</v>
      </c>
      <c r="AB21" s="1676">
        <v>1</v>
      </c>
      <c r="AC21" s="167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3"/>
      <c r="Q22" s="1675" t="str">
        <f>B22</f>
        <v>楼层</v>
      </c>
      <c r="R22" s="774" t="s">
        <v>17</v>
      </c>
      <c r="S22" s="775">
        <f>F22</f>
        <v>100</v>
      </c>
      <c r="T22" s="774" t="s">
        <v>17</v>
      </c>
      <c r="U22" s="775">
        <f>H22</f>
        <v>100</v>
      </c>
      <c r="V22" s="774" t="s">
        <v>17</v>
      </c>
      <c r="W22" s="775">
        <f>J22</f>
        <v>100</v>
      </c>
      <c r="X22" s="1678"/>
      <c r="Y22" s="3173"/>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3"/>
      <c r="Q23" s="1675">
        <f>B23</f>
        <v>111</v>
      </c>
      <c r="R23" s="774" t="s">
        <v>17</v>
      </c>
      <c r="S23" s="775">
        <f>F23</f>
        <v>100</v>
      </c>
      <c r="T23" s="774" t="s">
        <v>17</v>
      </c>
      <c r="U23" s="775">
        <f>H23</f>
        <v>100</v>
      </c>
      <c r="V23" s="774" t="s">
        <v>17</v>
      </c>
      <c r="W23" s="775">
        <f>J23</f>
        <v>100</v>
      </c>
      <c r="X23" s="1678"/>
      <c r="Y23" s="3173"/>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3"/>
      <c r="Q24" s="1675">
        <f t="shared" ref="Q24:Q34" si="11">B24</f>
        <v>111</v>
      </c>
      <c r="R24" s="774" t="s">
        <v>17</v>
      </c>
      <c r="S24" s="775">
        <f>F24</f>
        <v>100</v>
      </c>
      <c r="T24" s="774" t="s">
        <v>17</v>
      </c>
      <c r="U24" s="775">
        <f>H24</f>
        <v>100</v>
      </c>
      <c r="V24" s="774" t="s">
        <v>17</v>
      </c>
      <c r="W24" s="775">
        <f>J24</f>
        <v>100</v>
      </c>
      <c r="X24" s="1678"/>
      <c r="Y24" s="3173"/>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173"/>
      <c r="Q25" s="1660">
        <f t="shared" si="11"/>
        <v>111</v>
      </c>
      <c r="R25" s="770" t="s">
        <v>17</v>
      </c>
      <c r="S25" s="771">
        <f>F25</f>
        <v>100</v>
      </c>
      <c r="T25" s="770" t="s">
        <v>17</v>
      </c>
      <c r="U25" s="771">
        <f>H25</f>
        <v>100</v>
      </c>
      <c r="V25" s="770" t="s">
        <v>17</v>
      </c>
      <c r="W25" s="771">
        <f>J25</f>
        <v>100</v>
      </c>
      <c r="X25" s="772"/>
      <c r="Y25" s="3173"/>
      <c r="Z25" s="55">
        <f>Q25</f>
        <v>111</v>
      </c>
      <c r="AA25" s="1676">
        <f>D25/F25</f>
        <v>1</v>
      </c>
      <c r="AB25" s="1676">
        <f>D25/H25</f>
        <v>1</v>
      </c>
      <c r="AC25" s="1676">
        <f>D25/J25</f>
        <v>1</v>
      </c>
    </row>
    <row r="26" spans="1:29" ht="28.5">
      <c r="A26" s="466" t="s">
        <v>2562</v>
      </c>
      <c r="B26" s="71" t="s">
        <v>2713</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3" t="s">
        <v>2564</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77" t="s">
        <v>2564</v>
      </c>
      <c r="Z26" s="1679" t="str">
        <f t="shared" ref="Z26:Z34" si="15">Q26</f>
        <v>公共部分装修</v>
      </c>
      <c r="AA26" s="1676">
        <f t="shared" si="3"/>
        <v>1</v>
      </c>
      <c r="AB26" s="1676">
        <f t="shared" si="4"/>
        <v>1</v>
      </c>
      <c r="AC26" s="167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676" t="e">
        <f t="shared" si="3"/>
        <v>#N/A</v>
      </c>
      <c r="AB27" s="1676" t="e">
        <f t="shared" si="4"/>
        <v>#N/A</v>
      </c>
      <c r="AC27" s="167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7"/>
      <c r="Q28" s="1675" t="str">
        <f t="shared" si="11"/>
        <v>物业等级</v>
      </c>
      <c r="R28" s="774" t="s">
        <v>17</v>
      </c>
      <c r="S28" s="775">
        <f t="shared" si="12"/>
        <v>100</v>
      </c>
      <c r="T28" s="774" t="s">
        <v>17</v>
      </c>
      <c r="U28" s="775">
        <f t="shared" si="13"/>
        <v>100</v>
      </c>
      <c r="V28" s="774" t="s">
        <v>17</v>
      </c>
      <c r="W28" s="775">
        <f t="shared" si="14"/>
        <v>100</v>
      </c>
      <c r="X28" s="1678"/>
      <c r="Y28" s="3177"/>
      <c r="Z28" s="1679" t="str">
        <f t="shared" si="15"/>
        <v>物业等级</v>
      </c>
      <c r="AA28" s="1676">
        <f t="shared" si="3"/>
        <v>1</v>
      </c>
      <c r="AB28" s="1676">
        <f t="shared" si="4"/>
        <v>1</v>
      </c>
      <c r="AC28" s="167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7"/>
      <c r="Q29" s="1675" t="str">
        <f t="shared" si="11"/>
        <v>有无电梯</v>
      </c>
      <c r="R29" s="774" t="s">
        <v>17</v>
      </c>
      <c r="S29" s="775">
        <f t="shared" si="12"/>
        <v>100</v>
      </c>
      <c r="T29" s="774" t="s">
        <v>17</v>
      </c>
      <c r="U29" s="775">
        <f t="shared" si="13"/>
        <v>100</v>
      </c>
      <c r="V29" s="774" t="s">
        <v>17</v>
      </c>
      <c r="W29" s="775">
        <f t="shared" si="14"/>
        <v>100</v>
      </c>
      <c r="X29" s="1678"/>
      <c r="Y29" s="3177"/>
      <c r="Z29" s="1679" t="str">
        <f t="shared" si="15"/>
        <v>有无电梯</v>
      </c>
      <c r="AA29" s="1676">
        <f t="shared" si="3"/>
        <v>1</v>
      </c>
      <c r="AB29" s="1676">
        <f t="shared" si="4"/>
        <v>1</v>
      </c>
      <c r="AC29" s="167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7"/>
      <c r="Q30" s="1675" t="str">
        <f t="shared" si="11"/>
        <v>建筑面积</v>
      </c>
      <c r="R30" s="774" t="s">
        <v>17</v>
      </c>
      <c r="S30" s="775" t="e">
        <f t="shared" si="12"/>
        <v>#N/A</v>
      </c>
      <c r="T30" s="774" t="s">
        <v>17</v>
      </c>
      <c r="U30" s="775" t="e">
        <f t="shared" si="13"/>
        <v>#N/A</v>
      </c>
      <c r="V30" s="774" t="s">
        <v>17</v>
      </c>
      <c r="W30" s="775" t="e">
        <f t="shared" si="14"/>
        <v>#N/A</v>
      </c>
      <c r="X30" s="1678"/>
      <c r="Y30" s="3177"/>
      <c r="Z30" s="1679" t="str">
        <f t="shared" si="15"/>
        <v>建筑面积</v>
      </c>
      <c r="AA30" s="1676" t="e">
        <f t="shared" si="3"/>
        <v>#N/A</v>
      </c>
      <c r="AB30" s="1676" t="e">
        <f t="shared" si="4"/>
        <v>#N/A</v>
      </c>
      <c r="AC30" s="167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7"/>
      <c r="Q31" s="1660"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7" t="s">
        <v>2564</v>
      </c>
      <c r="Q32" s="1675">
        <f t="shared" si="11"/>
        <v>111</v>
      </c>
      <c r="R32" s="774" t="s">
        <v>17</v>
      </c>
      <c r="S32" s="775">
        <f t="shared" si="12"/>
        <v>100</v>
      </c>
      <c r="T32" s="774" t="s">
        <v>17</v>
      </c>
      <c r="U32" s="775">
        <f t="shared" si="13"/>
        <v>100</v>
      </c>
      <c r="V32" s="774" t="s">
        <v>17</v>
      </c>
      <c r="W32" s="775">
        <f t="shared" si="14"/>
        <v>100</v>
      </c>
      <c r="X32" s="1678"/>
      <c r="Y32" s="3177" t="s">
        <v>2564</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7"/>
      <c r="Q33" s="1675">
        <f t="shared" si="11"/>
        <v>111</v>
      </c>
      <c r="R33" s="774" t="s">
        <v>17</v>
      </c>
      <c r="S33" s="775">
        <f t="shared" si="12"/>
        <v>100</v>
      </c>
      <c r="T33" s="774" t="s">
        <v>17</v>
      </c>
      <c r="U33" s="775">
        <f t="shared" si="13"/>
        <v>100</v>
      </c>
      <c r="V33" s="774" t="s">
        <v>17</v>
      </c>
      <c r="W33" s="775">
        <f t="shared" si="14"/>
        <v>100</v>
      </c>
      <c r="X33" s="1678"/>
      <c r="Y33" s="3177"/>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177"/>
      <c r="Q34" s="1675">
        <f t="shared" si="11"/>
        <v>111</v>
      </c>
      <c r="R34" s="774" t="s">
        <v>17</v>
      </c>
      <c r="S34" s="775">
        <f t="shared" si="12"/>
        <v>100</v>
      </c>
      <c r="T34" s="774" t="s">
        <v>17</v>
      </c>
      <c r="U34" s="775">
        <f t="shared" si="13"/>
        <v>100</v>
      </c>
      <c r="V34" s="774" t="s">
        <v>17</v>
      </c>
      <c r="W34" s="775">
        <f t="shared" si="14"/>
        <v>100</v>
      </c>
      <c r="X34" s="1678"/>
      <c r="Y34" s="3177"/>
      <c r="Z34" s="1679">
        <f t="shared" si="15"/>
        <v>111</v>
      </c>
      <c r="AA34" s="1676">
        <f t="shared" si="3"/>
        <v>1</v>
      </c>
      <c r="AB34" s="1676">
        <f t="shared" si="4"/>
        <v>1</v>
      </c>
      <c r="AC34" s="1676">
        <f t="shared" si="5"/>
        <v>1</v>
      </c>
    </row>
    <row r="35" spans="1:29" ht="15">
      <c r="A35" s="479" t="s">
        <v>2576</v>
      </c>
      <c r="B35" s="480"/>
      <c r="C35" s="1407" t="s">
        <v>1</v>
      </c>
      <c r="D35" s="1408"/>
      <c r="E35" s="1409"/>
      <c r="F35" s="1410"/>
      <c r="G35" s="1411"/>
      <c r="H35" s="1412"/>
      <c r="I35" s="1409"/>
      <c r="J35" s="1412"/>
      <c r="K35" s="783"/>
      <c r="L35" s="1143"/>
      <c r="M35" s="1144"/>
      <c r="N35" s="1131"/>
      <c r="O35" s="1144"/>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183" t="s">
        <v>2647</v>
      </c>
      <c r="AC4" s="3182" t="s">
        <v>2648</v>
      </c>
    </row>
    <row r="5" spans="1:30" ht="15">
      <c r="A5" s="404"/>
      <c r="B5" s="405"/>
      <c r="C5" s="3204" t="s">
        <v>2541</v>
      </c>
      <c r="D5" s="3205"/>
      <c r="E5" s="3211" t="s">
        <v>2542</v>
      </c>
      <c r="F5" s="3212"/>
      <c r="G5" s="3204" t="s">
        <v>2543</v>
      </c>
      <c r="H5" s="3205"/>
      <c r="I5" s="3204" t="s">
        <v>2544</v>
      </c>
      <c r="J5" s="3205"/>
      <c r="K5" s="610"/>
      <c r="L5" s="1130"/>
      <c r="M5" s="1131"/>
      <c r="N5" s="1131"/>
      <c r="O5" s="1131"/>
      <c r="P5" s="3191"/>
      <c r="Q5" s="3192"/>
      <c r="R5" s="3197"/>
      <c r="S5" s="3198"/>
      <c r="T5" s="3197"/>
      <c r="U5" s="3198"/>
      <c r="V5" s="3201"/>
      <c r="W5" s="3201"/>
      <c r="X5" s="1678"/>
      <c r="Y5" s="3197"/>
      <c r="Z5" s="3198"/>
      <c r="AA5" s="3183"/>
      <c r="AB5" s="3183"/>
      <c r="AC5" s="3183"/>
    </row>
    <row r="6" spans="1:30" ht="15.75" thickBot="1">
      <c r="A6" s="406"/>
      <c r="B6" s="407"/>
      <c r="C6" s="3202" t="s">
        <v>2545</v>
      </c>
      <c r="D6" s="3203"/>
      <c r="E6" s="3209" t="s">
        <v>2545</v>
      </c>
      <c r="F6" s="3210"/>
      <c r="G6" s="3202" t="s">
        <v>2545</v>
      </c>
      <c r="H6" s="3203"/>
      <c r="I6" s="3202" t="s">
        <v>2545</v>
      </c>
      <c r="J6" s="3203"/>
      <c r="K6" s="610" t="s">
        <v>2546</v>
      </c>
      <c r="L6" s="1130"/>
      <c r="M6" s="1131"/>
      <c r="N6" s="1131"/>
      <c r="O6" s="1131"/>
      <c r="P6" s="3193"/>
      <c r="Q6" s="3194"/>
      <c r="R6" s="3197"/>
      <c r="S6" s="3198"/>
      <c r="T6" s="3199"/>
      <c r="U6" s="3200"/>
      <c r="V6" s="3201"/>
      <c r="W6" s="3201"/>
      <c r="X6" s="1678"/>
      <c r="Y6" s="3199"/>
      <c r="Z6" s="3200"/>
      <c r="AA6" s="3184"/>
      <c r="AB6" s="3184"/>
      <c r="AC6" s="3184"/>
    </row>
    <row r="7" spans="1:30" s="117" customFormat="1" ht="15.75" thickBot="1">
      <c r="A7" s="408" t="s">
        <v>2547</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5" si="3">D8/F8</f>
        <v>#DIV/0!</v>
      </c>
      <c r="AB8" s="773" t="e">
        <f t="shared" ref="AB8:AB45" si="4">D8/H8</f>
        <v>#DIV/0!</v>
      </c>
      <c r="AC8" s="773" t="e">
        <f t="shared" ref="AC8:AC45" si="5">D8/J8</f>
        <v>#DIV/0!</v>
      </c>
    </row>
    <row r="9" spans="1:30" s="117" customFormat="1">
      <c r="A9" s="415" t="s">
        <v>2552</v>
      </c>
      <c r="B9" s="71" t="s">
        <v>2553</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70"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129</v>
      </c>
      <c r="G10" s="463"/>
      <c r="H10" s="136">
        <f>ROUND(100/'数据-取费表'!G16,0)</f>
        <v>129</v>
      </c>
      <c r="I10" s="463"/>
      <c r="J10" s="136">
        <f>ROUND(100/'数据-取费表'!G16,0)</f>
        <v>129</v>
      </c>
      <c r="K10" s="672"/>
      <c r="L10" s="1135"/>
      <c r="M10" s="1136"/>
      <c r="N10" s="1136"/>
      <c r="O10" s="1137"/>
      <c r="P10" s="3170"/>
      <c r="Q10" s="1660" t="str">
        <f t="shared" si="6"/>
        <v>土地使用年限（年）</v>
      </c>
      <c r="R10" s="770" t="s">
        <v>17</v>
      </c>
      <c r="S10" s="771">
        <f t="shared" si="0"/>
        <v>129</v>
      </c>
      <c r="T10" s="770" t="s">
        <v>17</v>
      </c>
      <c r="U10" s="771">
        <f t="shared" si="1"/>
        <v>129</v>
      </c>
      <c r="V10" s="770" t="s">
        <v>17</v>
      </c>
      <c r="W10" s="771">
        <f t="shared" si="2"/>
        <v>129</v>
      </c>
      <c r="X10" s="772"/>
      <c r="Y10" s="2993"/>
      <c r="Z10" s="55" t="str">
        <f t="shared" si="7"/>
        <v>土地使用年限（年）</v>
      </c>
      <c r="AA10" s="773">
        <f t="shared" si="3"/>
        <v>0.77519379844961245</v>
      </c>
      <c r="AB10" s="773">
        <f t="shared" si="4"/>
        <v>0.77519379844961245</v>
      </c>
      <c r="AC10" s="773">
        <f t="shared" si="5"/>
        <v>0.77519379844961245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30" s="117" customFormat="1" ht="15">
      <c r="A12" s="431"/>
      <c r="B12" s="2467"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0"/>
      <c r="Q12" s="1660" t="str">
        <f t="shared" si="6"/>
        <v>配建</v>
      </c>
      <c r="R12" s="770" t="s">
        <v>17</v>
      </c>
      <c r="S12" s="771">
        <f t="shared" si="0"/>
        <v>100</v>
      </c>
      <c r="T12" s="770" t="s">
        <v>17</v>
      </c>
      <c r="U12" s="771">
        <f t="shared" si="1"/>
        <v>100</v>
      </c>
      <c r="V12" s="770" t="s">
        <v>17</v>
      </c>
      <c r="W12" s="771">
        <f t="shared" si="2"/>
        <v>100</v>
      </c>
      <c r="X12" s="772"/>
      <c r="Y12" s="2993"/>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D14/F14</f>
        <v>1</v>
      </c>
      <c r="AB14" s="773">
        <f>D14/H14</f>
        <v>1</v>
      </c>
      <c r="AC14" s="773">
        <f>D14/J14</f>
        <v>1</v>
      </c>
    </row>
    <row r="15" spans="1:30" ht="99.75">
      <c r="A15" s="440" t="s">
        <v>2558</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2" t="s">
        <v>2559</v>
      </c>
      <c r="Q15" s="1675" t="str">
        <f t="shared" si="6"/>
        <v>居住社区成熟度</v>
      </c>
      <c r="R15" s="774" t="s">
        <v>17</v>
      </c>
      <c r="S15" s="775">
        <f t="shared" si="0"/>
        <v>100</v>
      </c>
      <c r="T15" s="774" t="s">
        <v>17</v>
      </c>
      <c r="U15" s="775">
        <f t="shared" si="1"/>
        <v>100</v>
      </c>
      <c r="V15" s="774" t="s">
        <v>17</v>
      </c>
      <c r="W15" s="775">
        <f t="shared" si="2"/>
        <v>100</v>
      </c>
      <c r="X15" s="1678"/>
      <c r="Y15" s="3172" t="s">
        <v>2559</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173"/>
      <c r="Q16" s="1675"/>
      <c r="R16" s="774"/>
      <c r="S16" s="775"/>
      <c r="T16" s="774"/>
      <c r="U16" s="775"/>
      <c r="V16" s="774"/>
      <c r="W16" s="775"/>
      <c r="X16" s="1678"/>
      <c r="Y16" s="3173"/>
      <c r="Z16" s="1679"/>
      <c r="AA16" s="1676">
        <v>1</v>
      </c>
      <c r="AB16" s="1676">
        <v>1</v>
      </c>
      <c r="AC16" s="1676">
        <v>1</v>
      </c>
    </row>
    <row r="17" spans="1:29" ht="71.25">
      <c r="A17" s="428"/>
      <c r="B17" s="451" t="s">
        <v>2652</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3"/>
      <c r="Q17" s="1675" t="str">
        <f>B17</f>
        <v>商业繁华度</v>
      </c>
      <c r="R17" s="774" t="s">
        <v>17</v>
      </c>
      <c r="S17" s="775">
        <f>F17</f>
        <v>100</v>
      </c>
      <c r="T17" s="774" t="s">
        <v>17</v>
      </c>
      <c r="U17" s="775">
        <f>H17</f>
        <v>100</v>
      </c>
      <c r="V17" s="774" t="s">
        <v>17</v>
      </c>
      <c r="W17" s="775">
        <f>J17</f>
        <v>100</v>
      </c>
      <c r="X17" s="1678"/>
      <c r="Y17" s="3173"/>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173"/>
      <c r="Q18" s="1675"/>
      <c r="R18" s="774"/>
      <c r="S18" s="775"/>
      <c r="T18" s="774"/>
      <c r="U18" s="775"/>
      <c r="V18" s="774"/>
      <c r="W18" s="775"/>
      <c r="X18" s="1678"/>
      <c r="Y18" s="3173"/>
      <c r="Z18" s="1679"/>
      <c r="AA18" s="1676">
        <v>1</v>
      </c>
      <c r="AB18" s="1676">
        <v>1</v>
      </c>
      <c r="AC18" s="1676">
        <v>1</v>
      </c>
    </row>
    <row r="19" spans="1:29" ht="71.25">
      <c r="A19" s="428"/>
      <c r="B19" s="451" t="s">
        <v>2686</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3"/>
      <c r="Q19" s="1675" t="str">
        <f>B19</f>
        <v>办公集聚程度</v>
      </c>
      <c r="R19" s="774" t="s">
        <v>17</v>
      </c>
      <c r="S19" s="775">
        <f>F19</f>
        <v>100</v>
      </c>
      <c r="T19" s="774" t="s">
        <v>17</v>
      </c>
      <c r="U19" s="775">
        <f>H19</f>
        <v>100</v>
      </c>
      <c r="V19" s="774" t="s">
        <v>17</v>
      </c>
      <c r="W19" s="775">
        <f>J19</f>
        <v>100</v>
      </c>
      <c r="X19" s="1678"/>
      <c r="Y19" s="3173"/>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173"/>
      <c r="Q20" s="1675"/>
      <c r="R20" s="774"/>
      <c r="S20" s="775"/>
      <c r="T20" s="774"/>
      <c r="U20" s="775"/>
      <c r="V20" s="774"/>
      <c r="W20" s="775"/>
      <c r="X20" s="1678"/>
      <c r="Y20" s="3173"/>
      <c r="Z20" s="1679"/>
      <c r="AA20" s="1676">
        <v>1</v>
      </c>
      <c r="AB20" s="1676">
        <v>1</v>
      </c>
      <c r="AC20" s="1676">
        <v>1</v>
      </c>
    </row>
    <row r="21" spans="1:29" ht="85.5">
      <c r="A21" s="428"/>
      <c r="B21" s="451" t="s">
        <v>2708</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3"/>
      <c r="Q21" s="1675" t="str">
        <f>B21</f>
        <v>交通便捷度</v>
      </c>
      <c r="R21" s="774" t="s">
        <v>17</v>
      </c>
      <c r="S21" s="775">
        <f>F21</f>
        <v>100</v>
      </c>
      <c r="T21" s="774" t="s">
        <v>17</v>
      </c>
      <c r="U21" s="775">
        <f>H21</f>
        <v>100</v>
      </c>
      <c r="V21" s="774" t="s">
        <v>17</v>
      </c>
      <c r="W21" s="775">
        <f>J21</f>
        <v>100</v>
      </c>
      <c r="X21" s="1678"/>
      <c r="Y21" s="3173"/>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173"/>
      <c r="Q22" s="1675"/>
      <c r="R22" s="774"/>
      <c r="S22" s="775"/>
      <c r="T22" s="774"/>
      <c r="U22" s="775"/>
      <c r="V22" s="774"/>
      <c r="W22" s="775"/>
      <c r="X22" s="1678"/>
      <c r="Y22" s="3173"/>
      <c r="Z22" s="1679"/>
      <c r="AA22" s="1676">
        <v>1</v>
      </c>
      <c r="AB22" s="1676">
        <v>1</v>
      </c>
      <c r="AC22" s="1676">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3"/>
      <c r="Q23" s="1675" t="str">
        <f t="shared" ref="Q23:Q37" si="8">B23</f>
        <v>区域土地利用方向</v>
      </c>
      <c r="R23" s="774" t="s">
        <v>17</v>
      </c>
      <c r="S23" s="775">
        <f>F23</f>
        <v>100</v>
      </c>
      <c r="T23" s="774" t="s">
        <v>17</v>
      </c>
      <c r="U23" s="775">
        <f>H23</f>
        <v>100</v>
      </c>
      <c r="V23" s="774" t="s">
        <v>17</v>
      </c>
      <c r="W23" s="775">
        <f>J23</f>
        <v>100</v>
      </c>
      <c r="X23" s="1678"/>
      <c r="Y23" s="3173"/>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173"/>
      <c r="Q24" s="1675"/>
      <c r="R24" s="774"/>
      <c r="S24" s="775"/>
      <c r="T24" s="774"/>
      <c r="U24" s="775"/>
      <c r="V24" s="774"/>
      <c r="W24" s="775"/>
      <c r="X24" s="1678"/>
      <c r="Y24" s="3173"/>
      <c r="Z24" s="1679"/>
      <c r="AA24" s="1676"/>
      <c r="AB24" s="1676"/>
      <c r="AC24" s="1676"/>
    </row>
    <row r="25" spans="1:29" ht="57">
      <c r="A25" s="404"/>
      <c r="B25" s="1384" t="s">
        <v>2748</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3"/>
      <c r="Q25" s="1675" t="str">
        <f t="shared" si="8"/>
        <v>自然及人文环境状况</v>
      </c>
      <c r="R25" s="774" t="s">
        <v>17</v>
      </c>
      <c r="S25" s="775">
        <f>F25</f>
        <v>100</v>
      </c>
      <c r="T25" s="774" t="s">
        <v>17</v>
      </c>
      <c r="U25" s="775">
        <f>H25</f>
        <v>100</v>
      </c>
      <c r="V25" s="774" t="s">
        <v>17</v>
      </c>
      <c r="W25" s="775">
        <f>J25</f>
        <v>100</v>
      </c>
      <c r="X25" s="1678"/>
      <c r="Y25" s="3173"/>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173"/>
      <c r="Q26" s="1675"/>
      <c r="R26" s="774"/>
      <c r="S26" s="775"/>
      <c r="T26" s="774"/>
      <c r="U26" s="775"/>
      <c r="V26" s="774"/>
      <c r="W26" s="775"/>
      <c r="X26" s="1678"/>
      <c r="Y26" s="3173"/>
      <c r="Z26" s="1679"/>
      <c r="AA26" s="1676">
        <v>1</v>
      </c>
      <c r="AB26" s="1676">
        <v>1</v>
      </c>
      <c r="AC26" s="1676">
        <v>1</v>
      </c>
    </row>
    <row r="27" spans="1:29" s="117" customFormat="1" ht="42.75">
      <c r="A27" s="649"/>
      <c r="B27" s="1384" t="s">
        <v>2653</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3"/>
      <c r="Q27" s="1660" t="str">
        <f t="shared" si="8"/>
        <v>公共配套设施</v>
      </c>
      <c r="R27" s="770" t="s">
        <v>17</v>
      </c>
      <c r="S27" s="771">
        <f>F27</f>
        <v>100</v>
      </c>
      <c r="T27" s="770" t="s">
        <v>17</v>
      </c>
      <c r="U27" s="771">
        <f>H27</f>
        <v>100</v>
      </c>
      <c r="V27" s="770" t="s">
        <v>17</v>
      </c>
      <c r="W27" s="771">
        <f>J27</f>
        <v>100</v>
      </c>
      <c r="X27" s="772"/>
      <c r="Y27" s="3173"/>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173"/>
      <c r="Q28" s="1660"/>
      <c r="R28" s="770"/>
      <c r="S28" s="771"/>
      <c r="T28" s="770"/>
      <c r="U28" s="771"/>
      <c r="V28" s="770"/>
      <c r="W28" s="771"/>
      <c r="X28" s="772"/>
      <c r="Y28" s="3173"/>
      <c r="Z28" s="55"/>
      <c r="AA28" s="1676">
        <v>1</v>
      </c>
      <c r="AB28" s="1676">
        <v>1</v>
      </c>
      <c r="AC28" s="1676">
        <v>1</v>
      </c>
    </row>
    <row r="29" spans="1:29" s="117" customFormat="1" ht="28.5">
      <c r="A29" s="649"/>
      <c r="B29" s="1384" t="s">
        <v>2654</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3"/>
      <c r="Q29" s="1660" t="str">
        <f t="shared" ref="Q29" si="9">B29</f>
        <v>基础设施水平</v>
      </c>
      <c r="R29" s="770" t="s">
        <v>17</v>
      </c>
      <c r="S29" s="771">
        <f>F29</f>
        <v>100</v>
      </c>
      <c r="T29" s="770" t="s">
        <v>17</v>
      </c>
      <c r="U29" s="771">
        <f>H29</f>
        <v>100</v>
      </c>
      <c r="V29" s="770" t="s">
        <v>17</v>
      </c>
      <c r="W29" s="771">
        <f>J29</f>
        <v>100</v>
      </c>
      <c r="X29" s="772"/>
      <c r="Y29" s="3173"/>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173"/>
      <c r="Q30" s="1660"/>
      <c r="R30" s="770"/>
      <c r="S30" s="771"/>
      <c r="T30" s="770"/>
      <c r="U30" s="771"/>
      <c r="V30" s="770"/>
      <c r="W30" s="771"/>
      <c r="X30" s="772"/>
      <c r="Y30" s="3173"/>
      <c r="Z30" s="55"/>
      <c r="AA30" s="1676">
        <v>1</v>
      </c>
      <c r="AB30" s="1676">
        <v>1</v>
      </c>
      <c r="AC30" s="167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3"/>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73"/>
      <c r="Z31" s="1679" t="str">
        <f t="shared" ref="Z31:Z45" si="13">Q31</f>
        <v>临街状况</v>
      </c>
      <c r="AA31" s="1676">
        <f t="shared" si="3"/>
        <v>1</v>
      </c>
      <c r="AB31" s="1676">
        <f t="shared" si="4"/>
        <v>1</v>
      </c>
      <c r="AC31" s="1676">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3"/>
      <c r="Q32" s="1675" t="str">
        <f t="shared" si="8"/>
        <v>毗邻道路的类型与等级</v>
      </c>
      <c r="R32" s="774" t="s">
        <v>17</v>
      </c>
      <c r="S32" s="775">
        <f t="shared" si="10"/>
        <v>100</v>
      </c>
      <c r="T32" s="774" t="s">
        <v>17</v>
      </c>
      <c r="U32" s="775">
        <f t="shared" si="11"/>
        <v>100</v>
      </c>
      <c r="V32" s="774" t="s">
        <v>17</v>
      </c>
      <c r="W32" s="775">
        <f t="shared" si="12"/>
        <v>100</v>
      </c>
      <c r="X32" s="1678"/>
      <c r="Y32" s="3173"/>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173"/>
      <c r="Q33" s="1675"/>
      <c r="R33" s="774"/>
      <c r="S33" s="775"/>
      <c r="T33" s="774"/>
      <c r="U33" s="775"/>
      <c r="V33" s="774"/>
      <c r="W33" s="775"/>
      <c r="X33" s="1678"/>
      <c r="Y33" s="3173"/>
      <c r="Z33" s="1679"/>
      <c r="AA33" s="1676">
        <v>1</v>
      </c>
      <c r="AB33" s="1676">
        <v>1</v>
      </c>
      <c r="AC33" s="167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3"/>
      <c r="Q34" s="1675" t="str">
        <f t="shared" si="8"/>
        <v>土地级别</v>
      </c>
      <c r="R34" s="774" t="s">
        <v>17</v>
      </c>
      <c r="S34" s="775">
        <f t="shared" si="10"/>
        <v>100</v>
      </c>
      <c r="T34" s="774" t="s">
        <v>17</v>
      </c>
      <c r="U34" s="775">
        <f t="shared" si="11"/>
        <v>100</v>
      </c>
      <c r="V34" s="774" t="s">
        <v>17</v>
      </c>
      <c r="W34" s="775">
        <f t="shared" si="12"/>
        <v>100</v>
      </c>
      <c r="X34" s="1678"/>
      <c r="Y34" s="3173"/>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3"/>
      <c r="Q35" s="1675">
        <f t="shared" si="8"/>
        <v>111</v>
      </c>
      <c r="R35" s="774" t="s">
        <v>17</v>
      </c>
      <c r="S35" s="775">
        <f t="shared" si="10"/>
        <v>100</v>
      </c>
      <c r="T35" s="774" t="s">
        <v>17</v>
      </c>
      <c r="U35" s="775">
        <f t="shared" si="11"/>
        <v>100</v>
      </c>
      <c r="V35" s="774" t="s">
        <v>17</v>
      </c>
      <c r="W35" s="775">
        <f t="shared" si="12"/>
        <v>100</v>
      </c>
      <c r="X35" s="1678"/>
      <c r="Y35" s="3173"/>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2564</v>
      </c>
      <c r="Q36" s="1675">
        <f t="shared" si="8"/>
        <v>111</v>
      </c>
      <c r="R36" s="774" t="s">
        <v>17</v>
      </c>
      <c r="S36" s="775">
        <f t="shared" si="10"/>
        <v>100</v>
      </c>
      <c r="T36" s="774" t="s">
        <v>17</v>
      </c>
      <c r="U36" s="775">
        <f t="shared" si="11"/>
        <v>100</v>
      </c>
      <c r="V36" s="774" t="s">
        <v>17</v>
      </c>
      <c r="W36" s="775">
        <f t="shared" si="12"/>
        <v>100</v>
      </c>
      <c r="X36" s="1678"/>
      <c r="Y36" s="3177" t="s">
        <v>2564</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7"/>
      <c r="Q37" s="1675">
        <f t="shared" si="8"/>
        <v>111</v>
      </c>
      <c r="R37" s="777" t="s">
        <v>17</v>
      </c>
      <c r="S37" s="778">
        <f t="shared" si="10"/>
        <v>100</v>
      </c>
      <c r="T37" s="777" t="s">
        <v>17</v>
      </c>
      <c r="U37" s="778">
        <f t="shared" si="11"/>
        <v>100</v>
      </c>
      <c r="V37" s="777" t="s">
        <v>17</v>
      </c>
      <c r="W37" s="778">
        <f t="shared" si="12"/>
        <v>100</v>
      </c>
      <c r="X37" s="779"/>
      <c r="Y37" s="3177"/>
      <c r="Z37" s="780">
        <f t="shared" si="13"/>
        <v>111</v>
      </c>
      <c r="AA37" s="1676">
        <f t="shared" si="3"/>
        <v>1</v>
      </c>
      <c r="AB37" s="1676">
        <f t="shared" si="4"/>
        <v>1</v>
      </c>
      <c r="AC37" s="1676">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7"/>
      <c r="Q38" s="1675" t="str">
        <f>B38</f>
        <v>宗地面积</v>
      </c>
      <c r="R38" s="774" t="s">
        <v>17</v>
      </c>
      <c r="S38" s="775" t="e">
        <f t="shared" si="10"/>
        <v>#N/A</v>
      </c>
      <c r="T38" s="774" t="s">
        <v>17</v>
      </c>
      <c r="U38" s="775" t="e">
        <f t="shared" si="11"/>
        <v>#N/A</v>
      </c>
      <c r="V38" s="774" t="s">
        <v>17</v>
      </c>
      <c r="W38" s="775" t="e">
        <f t="shared" si="12"/>
        <v>#N/A</v>
      </c>
      <c r="X38" s="1678"/>
      <c r="Y38" s="3177"/>
      <c r="Z38" s="1679" t="str">
        <f t="shared" si="13"/>
        <v>宗地面积</v>
      </c>
      <c r="AA38" s="1676" t="e">
        <f t="shared" si="3"/>
        <v>#N/A</v>
      </c>
      <c r="AB38" s="1676" t="e">
        <f t="shared" si="4"/>
        <v>#N/A</v>
      </c>
      <c r="AC38" s="1676" t="e">
        <f t="shared" si="5"/>
        <v>#N/A</v>
      </c>
    </row>
    <row r="39" spans="1:29" ht="15">
      <c r="A39" s="472"/>
      <c r="B39" s="422" t="s">
        <v>2751</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177"/>
      <c r="Q39" s="1675" t="str">
        <f t="shared" ref="Q39:Q45" si="14">B39</f>
        <v>宗地形状</v>
      </c>
      <c r="R39" s="774" t="s">
        <v>17</v>
      </c>
      <c r="S39" s="775">
        <f t="shared" si="10"/>
        <v>100</v>
      </c>
      <c r="T39" s="774" t="s">
        <v>17</v>
      </c>
      <c r="U39" s="775">
        <f t="shared" si="11"/>
        <v>100</v>
      </c>
      <c r="V39" s="774" t="s">
        <v>17</v>
      </c>
      <c r="W39" s="775">
        <f t="shared" si="12"/>
        <v>100</v>
      </c>
      <c r="X39" s="1678"/>
      <c r="Y39" s="3177"/>
      <c r="Z39" s="1679" t="str">
        <f t="shared" si="13"/>
        <v>宗地形状</v>
      </c>
      <c r="AA39" s="1676">
        <f t="shared" si="3"/>
        <v>1</v>
      </c>
      <c r="AB39" s="1676">
        <f t="shared" si="4"/>
        <v>1</v>
      </c>
      <c r="AC39" s="1676">
        <f t="shared" si="5"/>
        <v>1</v>
      </c>
    </row>
    <row r="40" spans="1:29" ht="15">
      <c r="A40" s="472"/>
      <c r="B40" s="422" t="s">
        <v>2752</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177"/>
      <c r="Q40" s="1675" t="str">
        <f t="shared" si="14"/>
        <v>临街宽度及深度</v>
      </c>
      <c r="R40" s="774" t="s">
        <v>17</v>
      </c>
      <c r="S40" s="775">
        <f t="shared" si="10"/>
        <v>100</v>
      </c>
      <c r="T40" s="774" t="s">
        <v>17</v>
      </c>
      <c r="U40" s="775">
        <f t="shared" si="11"/>
        <v>100</v>
      </c>
      <c r="V40" s="774" t="s">
        <v>17</v>
      </c>
      <c r="W40" s="775">
        <f t="shared" si="12"/>
        <v>100</v>
      </c>
      <c r="X40" s="1678"/>
      <c r="Y40" s="3177"/>
      <c r="Z40" s="1679" t="str">
        <f t="shared" si="13"/>
        <v>临街宽度及深度</v>
      </c>
      <c r="AA40" s="1676">
        <f t="shared" si="3"/>
        <v>1</v>
      </c>
      <c r="AB40" s="1676">
        <f t="shared" si="4"/>
        <v>1</v>
      </c>
      <c r="AC40" s="1676">
        <f t="shared" si="5"/>
        <v>1</v>
      </c>
    </row>
    <row r="41" spans="1:29" s="117" customFormat="1" ht="15">
      <c r="A41" s="473"/>
      <c r="B41" s="422" t="s">
        <v>2753</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177"/>
      <c r="Q41" s="1675"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2754</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177" t="s">
        <v>2564</v>
      </c>
      <c r="Q42" s="1675" t="str">
        <f t="shared" si="14"/>
        <v>工程地质条件</v>
      </c>
      <c r="R42" s="774" t="s">
        <v>17</v>
      </c>
      <c r="S42" s="775">
        <f t="shared" si="10"/>
        <v>100</v>
      </c>
      <c r="T42" s="774" t="s">
        <v>17</v>
      </c>
      <c r="U42" s="775">
        <f t="shared" si="11"/>
        <v>100</v>
      </c>
      <c r="V42" s="774" t="s">
        <v>17</v>
      </c>
      <c r="W42" s="775">
        <f t="shared" si="12"/>
        <v>100</v>
      </c>
      <c r="X42" s="1678"/>
      <c r="Y42" s="3177" t="s">
        <v>2564</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7"/>
      <c r="Q43" s="1675">
        <f t="shared" si="14"/>
        <v>111</v>
      </c>
      <c r="R43" s="774" t="s">
        <v>17</v>
      </c>
      <c r="S43" s="775">
        <f t="shared" si="10"/>
        <v>100</v>
      </c>
      <c r="T43" s="774" t="s">
        <v>17</v>
      </c>
      <c r="U43" s="775">
        <f t="shared" si="11"/>
        <v>100</v>
      </c>
      <c r="V43" s="774" t="s">
        <v>17</v>
      </c>
      <c r="W43" s="775">
        <f t="shared" si="12"/>
        <v>100</v>
      </c>
      <c r="X43" s="1678"/>
      <c r="Y43" s="3177"/>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7"/>
      <c r="Q44" s="1675">
        <f t="shared" si="14"/>
        <v>111</v>
      </c>
      <c r="R44" s="774" t="s">
        <v>17</v>
      </c>
      <c r="S44" s="775">
        <f t="shared" si="10"/>
        <v>100</v>
      </c>
      <c r="T44" s="774" t="s">
        <v>17</v>
      </c>
      <c r="U44" s="775">
        <f t="shared" si="11"/>
        <v>100</v>
      </c>
      <c r="V44" s="774" t="s">
        <v>17</v>
      </c>
      <c r="W44" s="775">
        <f t="shared" si="12"/>
        <v>100</v>
      </c>
      <c r="X44" s="1678"/>
      <c r="Y44" s="3177"/>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7"/>
      <c r="Q45" s="1675">
        <f t="shared" si="14"/>
        <v>111</v>
      </c>
      <c r="R45" s="777" t="s">
        <v>17</v>
      </c>
      <c r="S45" s="778">
        <f t="shared" si="10"/>
        <v>100</v>
      </c>
      <c r="T45" s="777" t="s">
        <v>17</v>
      </c>
      <c r="U45" s="778">
        <f t="shared" si="11"/>
        <v>100</v>
      </c>
      <c r="V45" s="777" t="s">
        <v>17</v>
      </c>
      <c r="W45" s="778">
        <f t="shared" si="12"/>
        <v>100</v>
      </c>
      <c r="X45" s="779"/>
      <c r="Y45" s="3177"/>
      <c r="Z45" s="780">
        <f t="shared" si="13"/>
        <v>111</v>
      </c>
      <c r="AA45" s="1676">
        <f t="shared" si="3"/>
        <v>1</v>
      </c>
      <c r="AB45" s="1676">
        <f t="shared" si="4"/>
        <v>1</v>
      </c>
      <c r="AC45" s="1676">
        <f t="shared" si="5"/>
        <v>1</v>
      </c>
    </row>
    <row r="46" spans="1:29" ht="15">
      <c r="A46" s="479" t="s">
        <v>2719</v>
      </c>
      <c r="B46" s="2571" t="s">
        <v>2755</v>
      </c>
      <c r="C46" s="682" t="s">
        <v>1</v>
      </c>
      <c r="D46" s="481"/>
      <c r="E46" s="482"/>
      <c r="F46" s="483"/>
      <c r="G46" s="484"/>
      <c r="H46" s="485"/>
      <c r="I46" s="482"/>
      <c r="J46" s="485"/>
      <c r="K46" s="783"/>
      <c r="L46" s="1143"/>
      <c r="M46" s="1144"/>
      <c r="N46" s="1131"/>
      <c r="O46" s="1144"/>
      <c r="P46" s="3170" t="str">
        <f>A46</f>
        <v>成交单价</v>
      </c>
      <c r="Q46" s="3170"/>
      <c r="R46" s="3201">
        <f>E46</f>
        <v>0</v>
      </c>
      <c r="S46" s="3201"/>
      <c r="T46" s="3201">
        <f>G46</f>
        <v>0</v>
      </c>
      <c r="U46" s="3201"/>
      <c r="V46" s="3201">
        <f>I46</f>
        <v>0</v>
      </c>
      <c r="W46" s="320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0" t="str">
        <f>A47</f>
        <v>比较价值（元/平方米）</v>
      </c>
      <c r="Q47" s="3170"/>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67" t="str">
        <f>A48</f>
        <v>估价对象XX用房的比较价值（楼面单价，元/平方米）</v>
      </c>
      <c r="Q48" s="3168"/>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572" t="s">
        <v>2759</v>
      </c>
      <c r="D55" s="2573" t="s">
        <v>2760</v>
      </c>
      <c r="E55" s="686" t="s">
        <v>2761</v>
      </c>
      <c r="F55" s="1107" t="s">
        <v>2762</v>
      </c>
      <c r="G55" s="3185" t="s">
        <v>2763</v>
      </c>
      <c r="H55" s="3256"/>
      <c r="I55" s="144" t="s">
        <v>2764</v>
      </c>
      <c r="J55" s="2574">
        <f>项目基本情况!F35</f>
        <v>0</v>
      </c>
      <c r="K55" s="2575" t="s">
        <v>2765</v>
      </c>
      <c r="L55" s="1106"/>
      <c r="M55" s="1144"/>
      <c r="N55" s="1144"/>
      <c r="O55" s="1144"/>
    </row>
    <row r="56" spans="1:15" s="692" customFormat="1">
      <c r="A56" s="688" t="s">
        <v>2766</v>
      </c>
      <c r="B56" s="689" t="e">
        <f>C48</f>
        <v>#DIV/0!</v>
      </c>
      <c r="C56" s="690">
        <v>1</v>
      </c>
      <c r="D56" s="1163">
        <v>1</v>
      </c>
      <c r="E56" s="690">
        <f>'数据-汇总表'!E8+'数据-汇总表'!E9</f>
        <v>3905.76</v>
      </c>
      <c r="F56" s="1103" t="e">
        <f t="shared" ref="F56:F65" si="15">ROUND(B56*E56/10000,0)</f>
        <v>#DIV/0!</v>
      </c>
      <c r="G56" s="3181"/>
      <c r="H56" s="3170"/>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57" t="s">
        <v>2768</v>
      </c>
      <c r="H57" s="1104" t="str">
        <f>项目基本情况!B37</f>
        <v>五级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57"/>
      <c r="H58" s="1104" t="str">
        <f>项目基本情况!B37</f>
        <v>五级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57"/>
      <c r="H59" s="1104" t="str">
        <f>项目基本情况!B37</f>
        <v>五级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57"/>
      <c r="H60" s="1104" t="str">
        <f>项目基本情况!B37</f>
        <v>五级</v>
      </c>
      <c r="I60" s="1108">
        <f>SUMIF(修正!A45:A56,H60,修正!E45:E56)</f>
        <v>0.25</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576"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576" t="s">
        <v>2768</v>
      </c>
      <c r="H64" s="1104" t="str">
        <f>项目基本情况!B37</f>
        <v>五级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577"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3905.76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578" t="s">
        <v>2781</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2782</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95" t="s">
        <v>2646</v>
      </c>
      <c r="S4" s="3196"/>
      <c r="T4" s="3195" t="s">
        <v>2647</v>
      </c>
      <c r="U4" s="3196"/>
      <c r="V4" s="3201" t="s">
        <v>2648</v>
      </c>
      <c r="W4" s="3201"/>
      <c r="X4" s="1678"/>
      <c r="Y4" s="3195" t="s">
        <v>2650</v>
      </c>
      <c r="Z4" s="3196"/>
      <c r="AA4" s="3182" t="s">
        <v>2646</v>
      </c>
      <c r="AB4" s="3183" t="s">
        <v>2647</v>
      </c>
      <c r="AC4" s="3182" t="s">
        <v>2648</v>
      </c>
    </row>
    <row r="5" spans="1:29" ht="15">
      <c r="A5" s="404"/>
      <c r="B5" s="405"/>
      <c r="C5" s="3204" t="s">
        <v>2541</v>
      </c>
      <c r="D5" s="3205"/>
      <c r="E5" s="3211" t="s">
        <v>2542</v>
      </c>
      <c r="F5" s="3212"/>
      <c r="G5" s="3204" t="s">
        <v>2543</v>
      </c>
      <c r="H5" s="3205"/>
      <c r="I5" s="3204" t="s">
        <v>2544</v>
      </c>
      <c r="J5" s="3205"/>
      <c r="K5" s="610"/>
      <c r="L5" s="1130"/>
      <c r="M5" s="1131"/>
      <c r="N5" s="1131"/>
      <c r="O5" s="1131"/>
      <c r="P5" s="3191"/>
      <c r="Q5" s="3192"/>
      <c r="R5" s="3197"/>
      <c r="S5" s="3198"/>
      <c r="T5" s="3197"/>
      <c r="U5" s="3198"/>
      <c r="V5" s="3201"/>
      <c r="W5" s="3201"/>
      <c r="X5" s="1678"/>
      <c r="Y5" s="3197"/>
      <c r="Z5" s="3198"/>
      <c r="AA5" s="3183"/>
      <c r="AB5" s="3183"/>
      <c r="AC5" s="3183"/>
    </row>
    <row r="6" spans="1:29" ht="15.75" thickBot="1">
      <c r="A6" s="406"/>
      <c r="B6" s="407"/>
      <c r="C6" s="3258" t="s">
        <v>2796</v>
      </c>
      <c r="D6" s="3259"/>
      <c r="E6" s="3260" t="s">
        <v>2796</v>
      </c>
      <c r="F6" s="3261"/>
      <c r="G6" s="3258" t="s">
        <v>2796</v>
      </c>
      <c r="H6" s="3259"/>
      <c r="I6" s="3258" t="s">
        <v>2796</v>
      </c>
      <c r="J6" s="3259"/>
      <c r="K6" s="610" t="s">
        <v>2546</v>
      </c>
      <c r="L6" s="1130"/>
      <c r="M6" s="1131"/>
      <c r="N6" s="1131"/>
      <c r="O6" s="1131"/>
      <c r="P6" s="3193"/>
      <c r="Q6" s="3194"/>
      <c r="R6" s="3197"/>
      <c r="S6" s="3198"/>
      <c r="T6" s="3199"/>
      <c r="U6" s="3200"/>
      <c r="V6" s="3201"/>
      <c r="W6" s="3201"/>
      <c r="X6" s="1678"/>
      <c r="Y6" s="3199"/>
      <c r="Z6" s="3200"/>
      <c r="AA6" s="3184"/>
      <c r="AB6" s="3184"/>
      <c r="AC6" s="3184"/>
    </row>
    <row r="7" spans="1:29" s="117" customFormat="1" ht="15.75" thickBot="1">
      <c r="A7" s="408" t="s">
        <v>2547</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0" si="3">D8/F8</f>
        <v>#DIV/0!</v>
      </c>
      <c r="AB8" s="773" t="e">
        <f t="shared" ref="AB8:AB40" si="4">D8/H8</f>
        <v>#DIV/0!</v>
      </c>
      <c r="AC8" s="773" t="e">
        <f t="shared" ref="AC8:AC40" si="5">D8/J8</f>
        <v>#DIV/0!</v>
      </c>
    </row>
    <row r="9" spans="1:29" s="117" customFormat="1">
      <c r="A9" s="415" t="s">
        <v>2552</v>
      </c>
      <c r="B9" s="71" t="s">
        <v>2553</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70" t="s">
        <v>2554</v>
      </c>
      <c r="Q9" s="1660" t="str">
        <f t="shared" ref="Q9:Q15" si="6">B9</f>
        <v>用途</v>
      </c>
      <c r="R9" s="770" t="s">
        <v>17</v>
      </c>
      <c r="S9" s="771">
        <f t="shared" si="0"/>
        <v>100</v>
      </c>
      <c r="T9" s="770" t="s">
        <v>17</v>
      </c>
      <c r="U9" s="771">
        <f t="shared" si="1"/>
        <v>100</v>
      </c>
      <c r="V9" s="770" t="s">
        <v>17</v>
      </c>
      <c r="W9" s="771">
        <f t="shared" si="2"/>
        <v>100</v>
      </c>
      <c r="X9" s="772"/>
      <c r="Y9" s="299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129</v>
      </c>
      <c r="G10" s="432"/>
      <c r="H10" s="136">
        <f>ROUND(100/'数据-取费表'!G16,0)</f>
        <v>129</v>
      </c>
      <c r="I10" s="432"/>
      <c r="J10" s="136">
        <f>ROUND(100/'数据-取费表'!G16,0)</f>
        <v>129</v>
      </c>
      <c r="K10" s="672"/>
      <c r="L10" s="1135"/>
      <c r="M10" s="1136"/>
      <c r="N10" s="1136"/>
      <c r="O10" s="1137"/>
      <c r="P10" s="3170"/>
      <c r="Q10" s="1660" t="str">
        <f t="shared" si="6"/>
        <v>土地使用年限（年）</v>
      </c>
      <c r="R10" s="770" t="s">
        <v>17</v>
      </c>
      <c r="S10" s="771">
        <f t="shared" si="0"/>
        <v>129</v>
      </c>
      <c r="T10" s="770" t="s">
        <v>17</v>
      </c>
      <c r="U10" s="771">
        <f t="shared" si="1"/>
        <v>129</v>
      </c>
      <c r="V10" s="770" t="s">
        <v>17</v>
      </c>
      <c r="W10" s="771">
        <f t="shared" si="2"/>
        <v>129</v>
      </c>
      <c r="X10" s="772"/>
      <c r="Y10" s="2993"/>
      <c r="Z10" s="55" t="str">
        <f t="shared" si="7"/>
        <v>土地使用年限（年）</v>
      </c>
      <c r="AA10" s="773">
        <f t="shared" si="3"/>
        <v>0.77519379844961245</v>
      </c>
      <c r="AB10" s="773">
        <f t="shared" si="4"/>
        <v>0.77519379844961245</v>
      </c>
      <c r="AC10" s="773">
        <f t="shared" si="5"/>
        <v>0.77519379844961245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0"/>
      <c r="Q11" s="1660" t="str">
        <f t="shared" si="6"/>
        <v>容积率</v>
      </c>
      <c r="R11" s="770" t="s">
        <v>17</v>
      </c>
      <c r="S11" s="771" t="e">
        <f t="shared" si="0"/>
        <v>#N/A</v>
      </c>
      <c r="T11" s="770" t="s">
        <v>17</v>
      </c>
      <c r="U11" s="771" t="e">
        <f t="shared" si="1"/>
        <v>#N/A</v>
      </c>
      <c r="V11" s="770" t="s">
        <v>17</v>
      </c>
      <c r="W11" s="771" t="e">
        <f t="shared" si="2"/>
        <v>#N/A</v>
      </c>
      <c r="X11" s="772"/>
      <c r="Y11" s="2993"/>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0"/>
      <c r="Q12" s="1660">
        <f t="shared" si="6"/>
        <v>111</v>
      </c>
      <c r="R12" s="770" t="s">
        <v>17</v>
      </c>
      <c r="S12" s="771">
        <f t="shared" si="0"/>
        <v>100</v>
      </c>
      <c r="T12" s="770" t="s">
        <v>17</v>
      </c>
      <c r="U12" s="771">
        <f t="shared" si="1"/>
        <v>100</v>
      </c>
      <c r="V12" s="770" t="s">
        <v>17</v>
      </c>
      <c r="W12" s="771">
        <f t="shared" si="2"/>
        <v>100</v>
      </c>
      <c r="X12" s="772"/>
      <c r="Y12" s="2993"/>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0"/>
      <c r="Q13" s="1660">
        <f t="shared" si="6"/>
        <v>111</v>
      </c>
      <c r="R13" s="770" t="s">
        <v>17</v>
      </c>
      <c r="S13" s="771">
        <f t="shared" si="0"/>
        <v>100</v>
      </c>
      <c r="T13" s="770" t="s">
        <v>17</v>
      </c>
      <c r="U13" s="771">
        <f t="shared" si="1"/>
        <v>100</v>
      </c>
      <c r="V13" s="770" t="s">
        <v>17</v>
      </c>
      <c r="W13" s="771">
        <f t="shared" si="2"/>
        <v>100</v>
      </c>
      <c r="X13" s="772"/>
      <c r="Y13" s="2993"/>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0"/>
      <c r="Q14" s="1660">
        <f t="shared" si="6"/>
        <v>111</v>
      </c>
      <c r="R14" s="770" t="s">
        <v>17</v>
      </c>
      <c r="S14" s="771">
        <f t="shared" si="0"/>
        <v>100</v>
      </c>
      <c r="T14" s="770" t="s">
        <v>17</v>
      </c>
      <c r="U14" s="771">
        <f t="shared" si="1"/>
        <v>100</v>
      </c>
      <c r="V14" s="770" t="s">
        <v>17</v>
      </c>
      <c r="W14" s="771">
        <f t="shared" si="2"/>
        <v>100</v>
      </c>
      <c r="X14" s="772"/>
      <c r="Y14" s="2993"/>
      <c r="Z14" s="55">
        <f t="shared" si="7"/>
        <v>111</v>
      </c>
      <c r="AA14" s="773">
        <f t="shared" si="3"/>
        <v>1</v>
      </c>
      <c r="AB14" s="773">
        <f t="shared" si="4"/>
        <v>1</v>
      </c>
      <c r="AC14" s="773">
        <f t="shared" si="5"/>
        <v>1</v>
      </c>
    </row>
    <row r="15" spans="1:29" ht="57">
      <c r="A15" s="440" t="s">
        <v>2558</v>
      </c>
      <c r="B15" s="629" t="s">
        <v>2797</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2" t="s">
        <v>2559</v>
      </c>
      <c r="Q15" s="1675" t="str">
        <f t="shared" si="6"/>
        <v>产业集聚程度</v>
      </c>
      <c r="R15" s="774" t="s">
        <v>17</v>
      </c>
      <c r="S15" s="775">
        <f t="shared" si="0"/>
        <v>100</v>
      </c>
      <c r="T15" s="774" t="s">
        <v>17</v>
      </c>
      <c r="U15" s="775">
        <f t="shared" si="1"/>
        <v>100</v>
      </c>
      <c r="V15" s="774" t="s">
        <v>17</v>
      </c>
      <c r="W15" s="775">
        <f t="shared" si="2"/>
        <v>100</v>
      </c>
      <c r="X15" s="1678"/>
      <c r="Y15" s="3172" t="s">
        <v>2559</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173"/>
      <c r="Q16" s="1675"/>
      <c r="R16" s="774"/>
      <c r="S16" s="775"/>
      <c r="T16" s="774"/>
      <c r="U16" s="775"/>
      <c r="V16" s="774"/>
      <c r="W16" s="775"/>
      <c r="X16" s="1678"/>
      <c r="Y16" s="3173"/>
      <c r="Z16" s="1679"/>
      <c r="AA16" s="1676">
        <v>1</v>
      </c>
      <c r="AB16" s="1676">
        <v>1</v>
      </c>
      <c r="AC16" s="1676">
        <v>1</v>
      </c>
    </row>
    <row r="17" spans="1:29" ht="85.5">
      <c r="A17" s="428"/>
      <c r="B17" s="631" t="s">
        <v>2708</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3"/>
      <c r="Q17" s="1675" t="str">
        <f>B17</f>
        <v>交通便捷度</v>
      </c>
      <c r="R17" s="774" t="s">
        <v>17</v>
      </c>
      <c r="S17" s="775">
        <f>F17</f>
        <v>100</v>
      </c>
      <c r="T17" s="774" t="s">
        <v>17</v>
      </c>
      <c r="U17" s="775">
        <f>H17</f>
        <v>100</v>
      </c>
      <c r="V17" s="774" t="s">
        <v>17</v>
      </c>
      <c r="W17" s="775">
        <f>J17</f>
        <v>100</v>
      </c>
      <c r="X17" s="1678"/>
      <c r="Y17" s="3173"/>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173"/>
      <c r="Q18" s="1675"/>
      <c r="R18" s="774"/>
      <c r="S18" s="775"/>
      <c r="T18" s="774"/>
      <c r="U18" s="775"/>
      <c r="V18" s="774"/>
      <c r="W18" s="775"/>
      <c r="X18" s="1678"/>
      <c r="Y18" s="3173"/>
      <c r="Z18" s="1679"/>
      <c r="AA18" s="1676">
        <v>1</v>
      </c>
      <c r="AB18" s="1676">
        <v>1</v>
      </c>
      <c r="AC18" s="1676">
        <v>1</v>
      </c>
    </row>
    <row r="19" spans="1:29" ht="15">
      <c r="A19" s="428"/>
      <c r="B19" s="631" t="s">
        <v>2747</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3"/>
      <c r="Q19" s="1675" t="str">
        <f t="shared" ref="Q19:Q33" si="8">B19</f>
        <v>区域土地利用方向</v>
      </c>
      <c r="R19" s="774" t="s">
        <v>17</v>
      </c>
      <c r="S19" s="775">
        <f>F19</f>
        <v>100</v>
      </c>
      <c r="T19" s="774" t="s">
        <v>17</v>
      </c>
      <c r="U19" s="775">
        <f>H19</f>
        <v>100</v>
      </c>
      <c r="V19" s="774" t="s">
        <v>17</v>
      </c>
      <c r="W19" s="775">
        <f>J19</f>
        <v>100</v>
      </c>
      <c r="X19" s="1678"/>
      <c r="Y19" s="3173"/>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173"/>
      <c r="Q20" s="1675"/>
      <c r="R20" s="774"/>
      <c r="S20" s="775"/>
      <c r="T20" s="774"/>
      <c r="U20" s="775"/>
      <c r="V20" s="774"/>
      <c r="W20" s="775"/>
      <c r="X20" s="1678"/>
      <c r="Y20" s="3173"/>
      <c r="Z20" s="1679"/>
      <c r="AA20" s="1676"/>
      <c r="AB20" s="1676"/>
      <c r="AC20" s="1676"/>
    </row>
    <row r="21" spans="1:29" ht="71.25">
      <c r="A21" s="404"/>
      <c r="B21" s="631" t="s">
        <v>2798</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3"/>
      <c r="Q21" s="1675" t="str">
        <f t="shared" si="8"/>
        <v>环境状况</v>
      </c>
      <c r="R21" s="774" t="s">
        <v>17</v>
      </c>
      <c r="S21" s="775">
        <f>F21</f>
        <v>100</v>
      </c>
      <c r="T21" s="774" t="s">
        <v>17</v>
      </c>
      <c r="U21" s="775">
        <f>H21</f>
        <v>100</v>
      </c>
      <c r="V21" s="774" t="s">
        <v>17</v>
      </c>
      <c r="W21" s="775">
        <f>J21</f>
        <v>100</v>
      </c>
      <c r="X21" s="1678"/>
      <c r="Y21" s="3173"/>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173"/>
      <c r="Q22" s="1675"/>
      <c r="R22" s="774"/>
      <c r="S22" s="775"/>
      <c r="T22" s="774"/>
      <c r="U22" s="775"/>
      <c r="V22" s="774"/>
      <c r="W22" s="775"/>
      <c r="X22" s="1678"/>
      <c r="Y22" s="3173"/>
      <c r="Z22" s="1679"/>
      <c r="AA22" s="1676">
        <v>1</v>
      </c>
      <c r="AB22" s="1676">
        <v>1</v>
      </c>
      <c r="AC22" s="1676">
        <v>1</v>
      </c>
    </row>
    <row r="23" spans="1:29" s="117" customFormat="1" ht="42.75">
      <c r="A23" s="649"/>
      <c r="B23" s="633" t="s">
        <v>2653</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3"/>
      <c r="Q23" s="1660" t="str">
        <f t="shared" si="8"/>
        <v>公共配套设施</v>
      </c>
      <c r="R23" s="770" t="s">
        <v>17</v>
      </c>
      <c r="S23" s="771">
        <f>F23</f>
        <v>100</v>
      </c>
      <c r="T23" s="770" t="s">
        <v>17</v>
      </c>
      <c r="U23" s="771">
        <f>H23</f>
        <v>100</v>
      </c>
      <c r="V23" s="770" t="s">
        <v>17</v>
      </c>
      <c r="W23" s="771">
        <f>J23</f>
        <v>100</v>
      </c>
      <c r="X23" s="772"/>
      <c r="Y23" s="3173"/>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173"/>
      <c r="Q24" s="1660"/>
      <c r="R24" s="770"/>
      <c r="S24" s="771"/>
      <c r="T24" s="770"/>
      <c r="U24" s="771"/>
      <c r="V24" s="770"/>
      <c r="W24" s="771"/>
      <c r="X24" s="772"/>
      <c r="Y24" s="3173"/>
      <c r="Z24" s="55"/>
      <c r="AA24" s="773">
        <v>1</v>
      </c>
      <c r="AB24" s="773">
        <v>1</v>
      </c>
      <c r="AC24" s="773">
        <v>1</v>
      </c>
    </row>
    <row r="25" spans="1:29" s="117" customFormat="1" ht="28.5">
      <c r="A25" s="649"/>
      <c r="B25" s="633" t="s">
        <v>2654</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3"/>
      <c r="Q25" s="1660" t="str">
        <f t="shared" ref="Q25" si="9">B25</f>
        <v>基础设施水平</v>
      </c>
      <c r="R25" s="770" t="s">
        <v>17</v>
      </c>
      <c r="S25" s="771">
        <f>F25</f>
        <v>100</v>
      </c>
      <c r="T25" s="770" t="s">
        <v>17</v>
      </c>
      <c r="U25" s="771">
        <f>H25</f>
        <v>100</v>
      </c>
      <c r="V25" s="770" t="s">
        <v>17</v>
      </c>
      <c r="W25" s="771">
        <f>J25</f>
        <v>100</v>
      </c>
      <c r="X25" s="772"/>
      <c r="Y25" s="3173"/>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173"/>
      <c r="Q26" s="1660"/>
      <c r="R26" s="770"/>
      <c r="S26" s="771"/>
      <c r="T26" s="770"/>
      <c r="U26" s="771"/>
      <c r="V26" s="770"/>
      <c r="W26" s="771"/>
      <c r="X26" s="772"/>
      <c r="Y26" s="317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3"/>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73"/>
      <c r="Z27" s="1679" t="str">
        <f t="shared" ref="Z27:Z40" si="13">Q27</f>
        <v>临街状况</v>
      </c>
      <c r="AA27" s="1676">
        <f t="shared" si="3"/>
        <v>1</v>
      </c>
      <c r="AB27" s="1676">
        <f t="shared" si="4"/>
        <v>1</v>
      </c>
      <c r="AC27" s="1676">
        <f t="shared" si="5"/>
        <v>1</v>
      </c>
    </row>
    <row r="28" spans="1:29" ht="27">
      <c r="A28" s="428"/>
      <c r="B28" s="633" t="s">
        <v>2690</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3"/>
      <c r="Q28" s="1675" t="str">
        <f t="shared" si="8"/>
        <v>毗邻道路的类型与等级</v>
      </c>
      <c r="R28" s="774" t="s">
        <v>17</v>
      </c>
      <c r="S28" s="775">
        <f t="shared" si="10"/>
        <v>100</v>
      </c>
      <c r="T28" s="774" t="s">
        <v>17</v>
      </c>
      <c r="U28" s="775">
        <f t="shared" si="11"/>
        <v>100</v>
      </c>
      <c r="V28" s="774" t="s">
        <v>17</v>
      </c>
      <c r="W28" s="775">
        <f t="shared" si="12"/>
        <v>100</v>
      </c>
      <c r="X28" s="1678"/>
      <c r="Y28" s="3173"/>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173"/>
      <c r="Q29" s="1675"/>
      <c r="R29" s="774"/>
      <c r="S29" s="775"/>
      <c r="T29" s="774"/>
      <c r="U29" s="775"/>
      <c r="V29" s="774"/>
      <c r="W29" s="775"/>
      <c r="X29" s="1678"/>
      <c r="Y29" s="3173"/>
      <c r="Z29" s="1679"/>
      <c r="AA29" s="1676">
        <v>1</v>
      </c>
      <c r="AB29" s="1676">
        <v>1</v>
      </c>
      <c r="AC29" s="1676">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3"/>
      <c r="Q30" s="1675" t="str">
        <f t="shared" si="8"/>
        <v>土地级别</v>
      </c>
      <c r="R30" s="774" t="s">
        <v>17</v>
      </c>
      <c r="S30" s="775">
        <f t="shared" si="10"/>
        <v>100</v>
      </c>
      <c r="T30" s="774" t="s">
        <v>17</v>
      </c>
      <c r="U30" s="775">
        <f t="shared" si="11"/>
        <v>100</v>
      </c>
      <c r="V30" s="774" t="s">
        <v>17</v>
      </c>
      <c r="W30" s="775">
        <f t="shared" si="12"/>
        <v>100</v>
      </c>
      <c r="X30" s="1678"/>
      <c r="Y30" s="3173"/>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3"/>
      <c r="Q31" s="1675">
        <f t="shared" si="8"/>
        <v>111</v>
      </c>
      <c r="R31" s="774" t="s">
        <v>17</v>
      </c>
      <c r="S31" s="775">
        <f t="shared" si="10"/>
        <v>100</v>
      </c>
      <c r="T31" s="774" t="s">
        <v>17</v>
      </c>
      <c r="U31" s="775">
        <f t="shared" si="11"/>
        <v>100</v>
      </c>
      <c r="V31" s="774" t="s">
        <v>17</v>
      </c>
      <c r="W31" s="775">
        <f t="shared" si="12"/>
        <v>100</v>
      </c>
      <c r="X31" s="1678"/>
      <c r="Y31" s="3173"/>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2564</v>
      </c>
      <c r="Q32" s="1675">
        <f t="shared" si="8"/>
        <v>111</v>
      </c>
      <c r="R32" s="774" t="s">
        <v>17</v>
      </c>
      <c r="S32" s="775">
        <f t="shared" si="10"/>
        <v>100</v>
      </c>
      <c r="T32" s="774" t="s">
        <v>17</v>
      </c>
      <c r="U32" s="775">
        <f t="shared" si="11"/>
        <v>100</v>
      </c>
      <c r="V32" s="774" t="s">
        <v>17</v>
      </c>
      <c r="W32" s="775">
        <f t="shared" si="12"/>
        <v>100</v>
      </c>
      <c r="X32" s="1678"/>
      <c r="Y32" s="3177" t="s">
        <v>2564</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7"/>
      <c r="Q33" s="1675">
        <f t="shared" si="8"/>
        <v>111</v>
      </c>
      <c r="R33" s="777" t="s">
        <v>17</v>
      </c>
      <c r="S33" s="778">
        <f t="shared" si="10"/>
        <v>100</v>
      </c>
      <c r="T33" s="777" t="s">
        <v>17</v>
      </c>
      <c r="U33" s="778">
        <f t="shared" si="11"/>
        <v>100</v>
      </c>
      <c r="V33" s="777" t="s">
        <v>17</v>
      </c>
      <c r="W33" s="778">
        <f t="shared" si="12"/>
        <v>100</v>
      </c>
      <c r="X33" s="779"/>
      <c r="Y33" s="3177"/>
      <c r="Z33" s="780">
        <f t="shared" si="13"/>
        <v>111</v>
      </c>
      <c r="AA33" s="1676">
        <f t="shared" si="3"/>
        <v>1</v>
      </c>
      <c r="AB33" s="1676">
        <f t="shared" si="4"/>
        <v>1</v>
      </c>
      <c r="AC33" s="1676">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7"/>
      <c r="Q34" s="1675" t="str">
        <f>B34</f>
        <v>宗地面积</v>
      </c>
      <c r="R34" s="774" t="s">
        <v>17</v>
      </c>
      <c r="S34" s="775" t="e">
        <f t="shared" si="10"/>
        <v>#N/A</v>
      </c>
      <c r="T34" s="774" t="s">
        <v>17</v>
      </c>
      <c r="U34" s="775" t="e">
        <f t="shared" si="11"/>
        <v>#N/A</v>
      </c>
      <c r="V34" s="774" t="s">
        <v>17</v>
      </c>
      <c r="W34" s="775" t="e">
        <f t="shared" si="12"/>
        <v>#N/A</v>
      </c>
      <c r="X34" s="1678"/>
      <c r="Y34" s="3177"/>
      <c r="Z34" s="1679" t="str">
        <f t="shared" si="13"/>
        <v>宗地面积</v>
      </c>
      <c r="AA34" s="1676" t="e">
        <f t="shared" si="3"/>
        <v>#N/A</v>
      </c>
      <c r="AB34" s="1676" t="e">
        <f t="shared" si="4"/>
        <v>#N/A</v>
      </c>
      <c r="AC34" s="1676" t="e">
        <f t="shared" si="5"/>
        <v>#N/A</v>
      </c>
    </row>
    <row r="35" spans="1:29" ht="15">
      <c r="A35" s="472"/>
      <c r="B35" s="422" t="s">
        <v>2751</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177"/>
      <c r="Q35" s="1675" t="str">
        <f t="shared" ref="Q35:Q40" si="14">B35</f>
        <v>宗地形状</v>
      </c>
      <c r="R35" s="774" t="s">
        <v>17</v>
      </c>
      <c r="S35" s="775">
        <f t="shared" si="10"/>
        <v>100</v>
      </c>
      <c r="T35" s="774" t="s">
        <v>17</v>
      </c>
      <c r="U35" s="775">
        <f t="shared" si="11"/>
        <v>100</v>
      </c>
      <c r="V35" s="774" t="s">
        <v>17</v>
      </c>
      <c r="W35" s="775">
        <f t="shared" si="12"/>
        <v>100</v>
      </c>
      <c r="X35" s="1678"/>
      <c r="Y35" s="3177"/>
      <c r="Z35" s="1679" t="str">
        <f t="shared" si="13"/>
        <v>宗地形状</v>
      </c>
      <c r="AA35" s="1676">
        <f t="shared" si="3"/>
        <v>1</v>
      </c>
      <c r="AB35" s="1676">
        <f t="shared" si="4"/>
        <v>1</v>
      </c>
      <c r="AC35" s="1676">
        <f t="shared" si="5"/>
        <v>1</v>
      </c>
    </row>
    <row r="36" spans="1:29" s="117" customFormat="1" ht="15">
      <c r="A36" s="473"/>
      <c r="B36" s="422" t="s">
        <v>2753</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177"/>
      <c r="Q36" s="1675"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2754</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177" t="s">
        <v>2564</v>
      </c>
      <c r="Q37" s="1675" t="str">
        <f t="shared" si="14"/>
        <v>工程地质条件</v>
      </c>
      <c r="R37" s="774" t="s">
        <v>17</v>
      </c>
      <c r="S37" s="775">
        <f t="shared" si="10"/>
        <v>100</v>
      </c>
      <c r="T37" s="774" t="s">
        <v>17</v>
      </c>
      <c r="U37" s="775">
        <f t="shared" si="11"/>
        <v>100</v>
      </c>
      <c r="V37" s="774" t="s">
        <v>17</v>
      </c>
      <c r="W37" s="775">
        <f t="shared" si="12"/>
        <v>100</v>
      </c>
      <c r="X37" s="1678"/>
      <c r="Y37" s="3177" t="s">
        <v>2564</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7"/>
      <c r="Q38" s="1675">
        <f t="shared" si="14"/>
        <v>111</v>
      </c>
      <c r="R38" s="774" t="s">
        <v>17</v>
      </c>
      <c r="S38" s="775">
        <f t="shared" si="10"/>
        <v>100</v>
      </c>
      <c r="T38" s="774" t="s">
        <v>17</v>
      </c>
      <c r="U38" s="775">
        <f t="shared" si="11"/>
        <v>100</v>
      </c>
      <c r="V38" s="774" t="s">
        <v>17</v>
      </c>
      <c r="W38" s="775">
        <f t="shared" si="12"/>
        <v>100</v>
      </c>
      <c r="X38" s="1678"/>
      <c r="Y38" s="3177"/>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7"/>
      <c r="Q39" s="1675">
        <f t="shared" si="14"/>
        <v>111</v>
      </c>
      <c r="R39" s="774" t="s">
        <v>17</v>
      </c>
      <c r="S39" s="775">
        <f t="shared" si="10"/>
        <v>100</v>
      </c>
      <c r="T39" s="774" t="s">
        <v>17</v>
      </c>
      <c r="U39" s="775">
        <f t="shared" si="11"/>
        <v>100</v>
      </c>
      <c r="V39" s="774" t="s">
        <v>17</v>
      </c>
      <c r="W39" s="775">
        <f t="shared" si="12"/>
        <v>100</v>
      </c>
      <c r="X39" s="1678"/>
      <c r="Y39" s="3177"/>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7"/>
      <c r="Q40" s="1675">
        <f t="shared" si="14"/>
        <v>111</v>
      </c>
      <c r="R40" s="777" t="s">
        <v>17</v>
      </c>
      <c r="S40" s="778">
        <f t="shared" si="10"/>
        <v>100</v>
      </c>
      <c r="T40" s="777" t="s">
        <v>17</v>
      </c>
      <c r="U40" s="778">
        <f t="shared" si="11"/>
        <v>100</v>
      </c>
      <c r="V40" s="777" t="s">
        <v>17</v>
      </c>
      <c r="W40" s="778">
        <f t="shared" si="12"/>
        <v>100</v>
      </c>
      <c r="X40" s="779"/>
      <c r="Y40" s="3177"/>
      <c r="Z40" s="780">
        <f t="shared" si="13"/>
        <v>111</v>
      </c>
      <c r="AA40" s="1676">
        <f t="shared" si="3"/>
        <v>1</v>
      </c>
      <c r="AB40" s="1676">
        <f t="shared" si="4"/>
        <v>1</v>
      </c>
      <c r="AC40" s="1676">
        <f t="shared" si="5"/>
        <v>1</v>
      </c>
    </row>
    <row r="41" spans="1:29" ht="15">
      <c r="A41" s="479" t="s">
        <v>2719</v>
      </c>
      <c r="B41" s="2571" t="s">
        <v>2799</v>
      </c>
      <c r="C41" s="682" t="s">
        <v>1</v>
      </c>
      <c r="D41" s="481"/>
      <c r="E41" s="482"/>
      <c r="F41" s="483"/>
      <c r="G41" s="484"/>
      <c r="H41" s="485"/>
      <c r="I41" s="482"/>
      <c r="J41" s="485"/>
      <c r="K41" s="783"/>
      <c r="L41" s="1143"/>
      <c r="M41" s="1131"/>
      <c r="N41" s="1131"/>
      <c r="O41" s="1144"/>
      <c r="P41" s="3170" t="str">
        <f>A41</f>
        <v>成交单价</v>
      </c>
      <c r="Q41" s="3170"/>
      <c r="R41" s="3201">
        <f>E41</f>
        <v>0</v>
      </c>
      <c r="S41" s="3201"/>
      <c r="T41" s="3201">
        <f>G41</f>
        <v>0</v>
      </c>
      <c r="U41" s="3201"/>
      <c r="V41" s="3201">
        <f>I41</f>
        <v>0</v>
      </c>
      <c r="W41" s="320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0" t="str">
        <f>A42</f>
        <v>比较价值（元/平方米）</v>
      </c>
      <c r="Q42" s="3170"/>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67" t="str">
        <f>A43</f>
        <v>估价对象XX用房的比较价值（楼面单价，元/平方米）</v>
      </c>
      <c r="Q43" s="3168"/>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572" t="s">
        <v>2759</v>
      </c>
      <c r="D50" s="2573" t="s">
        <v>2760</v>
      </c>
      <c r="E50" s="686" t="s">
        <v>2761</v>
      </c>
      <c r="F50" s="687" t="s">
        <v>2762</v>
      </c>
      <c r="G50" s="3185" t="s">
        <v>2763</v>
      </c>
      <c r="H50" s="3256"/>
      <c r="I50" s="1679" t="s">
        <v>2800</v>
      </c>
      <c r="J50" s="1679">
        <f>项目基本情况!F35</f>
        <v>0</v>
      </c>
      <c r="K50" s="2575" t="s">
        <v>2765</v>
      </c>
      <c r="L50" s="1106"/>
      <c r="M50" s="1144"/>
      <c r="N50" s="1144"/>
      <c r="O50" s="1144"/>
    </row>
    <row r="51" spans="1:17" s="692" customFormat="1">
      <c r="A51" s="688" t="s">
        <v>2766</v>
      </c>
      <c r="B51" s="689" t="e">
        <f>C43</f>
        <v>#DIV/0!</v>
      </c>
      <c r="C51" s="690">
        <v>1</v>
      </c>
      <c r="D51" s="1163">
        <v>1</v>
      </c>
      <c r="E51" s="690">
        <f>'数据-汇总表'!E8+'数据-汇总表'!E9</f>
        <v>3905.76</v>
      </c>
      <c r="F51" s="691" t="e">
        <f t="shared" ref="F51:F60" si="15">ROUND(B51*E51/10000,0)</f>
        <v>#DIV/0!</v>
      </c>
      <c r="G51" s="3181"/>
      <c r="H51" s="3170"/>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57" t="s">
        <v>2768</v>
      </c>
      <c r="H52" s="1104" t="str">
        <f>项目基本情况!B37</f>
        <v>五级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57"/>
      <c r="H53" s="1104" t="str">
        <f>项目基本情况!B37</f>
        <v>五级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57"/>
      <c r="H54" s="1104" t="str">
        <f>项目基本情况!B37</f>
        <v>五级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57"/>
      <c r="H55" s="1104" t="str">
        <f>项目基本情况!B37</f>
        <v>五级</v>
      </c>
      <c r="I55" s="942">
        <f>SUMIF(修正!A45:A56,H55,修正!E45:E56)</f>
        <v>0.25</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576"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576" t="s">
        <v>2768</v>
      </c>
      <c r="H59" s="1104" t="str">
        <f>项目基本情况!B37</f>
        <v>五级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577"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2386.36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578" t="s">
        <v>2781</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2801</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3001</v>
      </c>
    </row>
    <row r="2" spans="1:5" ht="15.75">
      <c r="A2" s="2769" t="s">
        <v>2993</v>
      </c>
      <c r="B2" s="2770">
        <f ca="1">SUMIF(B6:B13,"&lt;&gt;#ref!",B6:B13)</f>
        <v>6984</v>
      </c>
      <c r="C2" s="2769" t="s">
        <v>2994</v>
      </c>
      <c r="D2" s="2769" t="s">
        <v>2995</v>
      </c>
      <c r="E2" s="2770">
        <f ca="1">SUMIF(E6:E13,"&lt;&gt;#ref!",E6:E13)</f>
        <v>4881.9800000000005</v>
      </c>
    </row>
    <row r="3" spans="1:5" ht="15.75">
      <c r="A3" s="2769" t="s">
        <v>2996</v>
      </c>
      <c r="B3" s="2770">
        <f ca="1">ROUND(B2*10000/E2,0)</f>
        <v>14306</v>
      </c>
      <c r="C3" s="2769" t="s">
        <v>3002</v>
      </c>
      <c r="D3" s="2771"/>
      <c r="E3" s="2771"/>
    </row>
    <row r="4" spans="1:5" ht="15.75">
      <c r="A4" s="2772"/>
      <c r="B4" s="2771"/>
      <c r="C4" s="2771"/>
      <c r="D4" s="2771"/>
      <c r="E4" s="2771"/>
    </row>
    <row r="5" spans="1:5" ht="28.5">
      <c r="A5" s="2773" t="s">
        <v>2997</v>
      </c>
      <c r="B5" s="2769" t="s">
        <v>2998</v>
      </c>
      <c r="C5" s="2770"/>
      <c r="D5" s="2771"/>
      <c r="E5" s="2769" t="s">
        <v>2999</v>
      </c>
    </row>
    <row r="6" spans="1:5" ht="15.75">
      <c r="A6" s="2774" t="s">
        <v>3000</v>
      </c>
      <c r="B6" s="2770">
        <f ca="1">SUMIF(INDIRECT("'"&amp;A6&amp;"'"&amp;"!A:A"),"总价",INDIRECT("'"&amp;A6&amp;"'"&amp;"!B:B"))</f>
        <v>6984</v>
      </c>
      <c r="C6" s="2769" t="s">
        <v>2994</v>
      </c>
      <c r="D6" s="2771"/>
      <c r="E6" s="2442">
        <f ca="1">SUMIF(INDIRECT("'"&amp;A6&amp;"'"&amp;"!C:C"),"建筑面积",INDIRECT("'"&amp;A6&amp;"'"&amp;"!D:D"))</f>
        <v>4881.9800000000005</v>
      </c>
    </row>
    <row r="7" spans="1:5" ht="15.75">
      <c r="A7" s="2774"/>
      <c r="B7" s="2770" t="e">
        <f ca="1">SUMIF(INDIRECT("'"&amp;A7&amp;"'"&amp;"!A:A"),"总价",INDIRECT("'"&amp;A7&amp;"'"&amp;"!B:B"))</f>
        <v>#REF!</v>
      </c>
      <c r="C7" s="2769" t="s">
        <v>2994</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2994</v>
      </c>
      <c r="D8" s="2771"/>
      <c r="E8" s="2442" t="e">
        <f t="shared" ca="1" si="0"/>
        <v>#REF!</v>
      </c>
    </row>
    <row r="9" spans="1:5" ht="15.75">
      <c r="A9" s="2774"/>
      <c r="B9" s="2770" t="e">
        <f t="shared" ca="1" si="1"/>
        <v>#REF!</v>
      </c>
      <c r="C9" s="2769" t="s">
        <v>2994</v>
      </c>
      <c r="D9" s="2771"/>
      <c r="E9" s="2442" t="e">
        <f t="shared" ca="1" si="0"/>
        <v>#REF!</v>
      </c>
    </row>
    <row r="10" spans="1:5" ht="15.75">
      <c r="A10" s="2774"/>
      <c r="B10" s="2770" t="e">
        <f t="shared" ca="1" si="1"/>
        <v>#REF!</v>
      </c>
      <c r="C10" s="2769" t="s">
        <v>2994</v>
      </c>
      <c r="D10" s="2771"/>
      <c r="E10" s="2442" t="e">
        <f t="shared" ca="1" si="0"/>
        <v>#REF!</v>
      </c>
    </row>
    <row r="11" spans="1:5" ht="15.75">
      <c r="A11" s="2774"/>
      <c r="B11" s="2770" t="e">
        <f t="shared" ca="1" si="1"/>
        <v>#REF!</v>
      </c>
      <c r="C11" s="2769" t="s">
        <v>2994</v>
      </c>
      <c r="D11" s="2771"/>
      <c r="E11" s="2442" t="e">
        <f t="shared" ca="1" si="0"/>
        <v>#REF!</v>
      </c>
    </row>
    <row r="12" spans="1:5" ht="15.75">
      <c r="A12" s="2774"/>
      <c r="B12" s="2770" t="e">
        <f t="shared" ca="1" si="1"/>
        <v>#REF!</v>
      </c>
      <c r="C12" s="2769" t="s">
        <v>2994</v>
      </c>
      <c r="D12" s="2771"/>
      <c r="E12" s="2442" t="e">
        <f t="shared" ca="1" si="0"/>
        <v>#REF!</v>
      </c>
    </row>
    <row r="13" spans="1:5" ht="15.75">
      <c r="A13" s="2774"/>
      <c r="B13" s="2770" t="e">
        <f t="shared" ca="1" si="1"/>
        <v>#REF!</v>
      </c>
      <c r="C13" s="2769" t="s">
        <v>2994</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8" t="s">
        <v>1145</v>
      </c>
      <c r="C1" s="3268"/>
      <c r="D1" s="3268"/>
      <c r="E1" s="3268"/>
      <c r="F1" s="3268"/>
      <c r="G1" s="3267" t="s">
        <v>1146</v>
      </c>
      <c r="H1" s="3267"/>
      <c r="I1" s="3267"/>
      <c r="J1" s="3267"/>
      <c r="K1" s="3267"/>
      <c r="L1" s="3267"/>
      <c r="N1" s="3267" t="s">
        <v>1147</v>
      </c>
      <c r="O1" s="3267"/>
      <c r="P1" s="3267"/>
      <c r="Q1" s="3267"/>
      <c r="S1" s="3267" t="s">
        <v>1148</v>
      </c>
      <c r="T1" s="3267"/>
      <c r="U1" s="3267"/>
      <c r="V1" s="3267"/>
      <c r="X1" s="3266" t="s">
        <v>1149</v>
      </c>
      <c r="Y1" s="3267"/>
      <c r="Z1" s="3267"/>
      <c r="AA1" s="3267"/>
      <c r="AB1" s="3267"/>
      <c r="AD1" s="3266" t="s">
        <v>1150</v>
      </c>
      <c r="AE1" s="3267"/>
      <c r="AF1" s="3267"/>
      <c r="AG1" s="3267"/>
      <c r="AH1" s="3267"/>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3034</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3058</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3035</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3057</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3053</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3052</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3048</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3046</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3044</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3047</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4">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3041</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4"/>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3040</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4"/>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3033</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3030</v>
      </c>
      <c r="B16" s="2861">
        <v>439</v>
      </c>
      <c r="C16" s="2861">
        <v>327</v>
      </c>
      <c r="D16" s="2861">
        <f>C16</f>
        <v>327</v>
      </c>
      <c r="E16" s="2861">
        <v>627</v>
      </c>
      <c r="F16" s="2862">
        <v>283</v>
      </c>
      <c r="G16" s="326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3031</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4"/>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4"/>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4"/>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4"/>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5"/>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3">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4"/>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4"/>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5"/>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3">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4"/>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4"/>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5"/>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3">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4"/>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4"/>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5"/>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3">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4">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4">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5">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3">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4">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4">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5">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3">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4">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4">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5">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3">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4">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4">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5">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3">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4">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4">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5">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3">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4">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4">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5">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3">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4">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4">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5">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3">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4">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4">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5">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3">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4">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4">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5">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3">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4">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4">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5">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4" sqref="U4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5" t="s">
        <v>3004</v>
      </c>
      <c r="D1" s="3276"/>
      <c r="E1" s="3276"/>
      <c r="F1" s="3276"/>
      <c r="G1" s="3276"/>
      <c r="H1" s="3276"/>
      <c r="I1" s="3276"/>
      <c r="J1" s="3276"/>
      <c r="K1" s="3276"/>
      <c r="L1" s="3276"/>
      <c r="M1" s="3276"/>
      <c r="N1" s="3276"/>
      <c r="O1" s="3276"/>
      <c r="P1" s="3276"/>
      <c r="Q1" s="3276"/>
      <c r="R1" s="3276"/>
      <c r="S1" s="3277"/>
      <c r="T1" s="1204" t="s">
        <v>3005</v>
      </c>
    </row>
    <row r="2" spans="1:45" s="707" customFormat="1" ht="38.25">
      <c r="A2" s="1205"/>
      <c r="B2" s="703" t="s">
        <v>3006</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3007</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3008</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3009</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3013</v>
      </c>
      <c r="B17" s="2776" t="s">
        <v>3014</v>
      </c>
      <c r="C17" s="1231">
        <v>1</v>
      </c>
      <c r="D17" s="1232">
        <v>2</v>
      </c>
      <c r="E17" s="1232">
        <v>3</v>
      </c>
      <c r="F17" s="1232" t="s">
        <v>3087</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3015</v>
      </c>
      <c r="E19" s="1657"/>
      <c r="F19" s="1657"/>
      <c r="G19" s="1657"/>
      <c r="H19" s="1280"/>
      <c r="I19" s="168"/>
      <c r="J19" s="168"/>
      <c r="K19" s="168"/>
      <c r="L19" s="168"/>
      <c r="M19" s="168"/>
      <c r="N19" s="168"/>
      <c r="O19" s="168"/>
      <c r="P19" s="168"/>
      <c r="Q19" s="168"/>
      <c r="R19" s="788"/>
      <c r="S19" s="138"/>
    </row>
    <row r="20" spans="1:45" ht="16.5" thickBot="1">
      <c r="A20" s="715" t="s">
        <v>3016</v>
      </c>
      <c r="B20" s="338">
        <f>IF(D20="——",S22,S22-F20)</f>
        <v>11369</v>
      </c>
      <c r="C20" s="168"/>
      <c r="D20" s="2778" t="s">
        <v>70</v>
      </c>
      <c r="E20" s="1658"/>
      <c r="F20" s="1204" t="e">
        <f ca="1">SUMIF(INDIRECT("'"&amp;H20&amp;"'"&amp;"!A:A"),"承租人权益价值",INDIRECT("'"&amp;H20&amp;"'"&amp;"!c:c"))</f>
        <v>#REF!</v>
      </c>
      <c r="G20" s="1204" t="s">
        <v>3017</v>
      </c>
      <c r="H20" s="2779"/>
      <c r="I20" s="168"/>
      <c r="J20" s="168"/>
      <c r="K20" s="168"/>
      <c r="L20" s="168"/>
      <c r="M20" s="168"/>
      <c r="N20" s="168"/>
      <c r="O20" s="168"/>
      <c r="P20" s="168"/>
      <c r="Q20" s="168"/>
      <c r="R20" s="788"/>
      <c r="S20" s="138"/>
    </row>
    <row r="21" spans="1:45" ht="15.75">
      <c r="A21" s="715" t="s">
        <v>3018</v>
      </c>
      <c r="B21" s="338">
        <f>ROUND(B20*10000/B22,0)</f>
        <v>29108</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3905.76</v>
      </c>
      <c r="C22" s="3130" t="s">
        <v>33</v>
      </c>
      <c r="D22" s="3131"/>
      <c r="E22" s="3131"/>
      <c r="F22" s="3131"/>
      <c r="G22" s="3131"/>
      <c r="H22" s="3131"/>
      <c r="I22" s="3131"/>
      <c r="J22" s="3131"/>
      <c r="K22" s="3131"/>
      <c r="L22" s="3131"/>
      <c r="M22" s="3131"/>
      <c r="N22" s="3131"/>
      <c r="O22" s="3131"/>
      <c r="P22" s="3131"/>
      <c r="Q22" s="3274"/>
      <c r="R22" s="716">
        <f>ROUND(S22*10000/B22,0)</f>
        <v>29108</v>
      </c>
      <c r="S22" s="24">
        <f>SUM(S24:S10000)</f>
        <v>11369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1330.07</v>
      </c>
      <c r="C24" s="719">
        <v>1</v>
      </c>
      <c r="D24" s="720"/>
      <c r="E24" s="719">
        <v>1</v>
      </c>
      <c r="F24" s="720"/>
      <c r="G24" s="719">
        <v>1</v>
      </c>
      <c r="H24" s="720"/>
      <c r="I24" s="719">
        <v>1</v>
      </c>
      <c r="J24" s="720"/>
      <c r="K24" s="719">
        <v>1</v>
      </c>
      <c r="L24" s="720"/>
      <c r="M24" s="719">
        <v>1</v>
      </c>
      <c r="N24" s="720"/>
      <c r="O24" s="719">
        <v>1</v>
      </c>
      <c r="P24" s="720">
        <v>1</v>
      </c>
      <c r="Q24" s="719">
        <v>1</v>
      </c>
      <c r="R24" s="721">
        <f>'比较法-商业'!C48</f>
        <v>40727</v>
      </c>
      <c r="S24" s="719">
        <f t="shared" ref="S24:S54" si="11">ROUND(R24*B24/10000,0)</f>
        <v>5417</v>
      </c>
      <c r="T24" s="800">
        <v>7.5</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968.83</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28794</v>
      </c>
      <c r="S25" s="361">
        <f t="shared" si="11"/>
        <v>2790</v>
      </c>
      <c r="T25" s="795">
        <f>T24*Q25</f>
        <v>5.25</v>
      </c>
    </row>
    <row r="26" spans="1:45">
      <c r="A26" s="159">
        <v>3</v>
      </c>
      <c r="B26" s="59">
        <f>'数据-基础表'!I15</f>
        <v>630.64</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24681</v>
      </c>
      <c r="S26" s="361">
        <f t="shared" si="11"/>
        <v>1556</v>
      </c>
      <c r="T26" s="795">
        <f>T24*Q26</f>
        <v>4.5</v>
      </c>
    </row>
    <row r="27" spans="1:45">
      <c r="A27" s="159" t="s">
        <v>3086</v>
      </c>
      <c r="B27" s="59">
        <f>'数据-基础表'!I16</f>
        <v>976.22</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3088</v>
      </c>
      <c r="Q27" s="24">
        <f t="shared" si="19"/>
        <v>0.4</v>
      </c>
      <c r="R27" s="716">
        <f t="shared" si="20"/>
        <v>16454</v>
      </c>
      <c r="S27" s="361">
        <f t="shared" si="11"/>
        <v>1606</v>
      </c>
      <c r="T27" s="795">
        <f>T24*Q27</f>
        <v>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T28" s="795">
        <f>(T24*B24+T25*B25+T26*B26+T27*B27)/B22</f>
        <v>5.3327450995452867</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30992</v>
      </c>
      <c r="C2" s="2" t="s">
        <v>133</v>
      </c>
      <c r="D2" s="243"/>
      <c r="E2" s="243"/>
      <c r="F2" s="243"/>
      <c r="G2" s="243"/>
    </row>
    <row r="3" spans="1:7" s="244" customFormat="1" ht="18" customHeight="1" thickBot="1">
      <c r="A3" s="247" t="s">
        <v>85</v>
      </c>
      <c r="B3" s="248">
        <f ca="1">ROUND(B2*10000/'数据-汇总表'!E3,0)</f>
        <v>79349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78</v>
      </c>
      <c r="D10" s="1032">
        <f>'数据-汇总表'!E6</f>
        <v>3905.76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78</v>
      </c>
      <c r="D19" s="1036">
        <f>'数据-汇总表'!E3</f>
        <v>3905.76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1303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1172</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3905.76</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62</v>
      </c>
      <c r="D42" s="282"/>
      <c r="E42" s="282"/>
      <c r="F42" s="283"/>
      <c r="G42" s="3137" t="s">
        <v>121</v>
      </c>
    </row>
    <row r="43" spans="1:7" ht="13.5" customHeight="1">
      <c r="A43" s="951" t="s">
        <v>792</v>
      </c>
      <c r="B43" s="259" t="s">
        <v>1060</v>
      </c>
      <c r="C43" s="282">
        <f ca="1">ROUND(IF('数据-取费表'!B22&lt;=1,C39*F22*'数据-取费表'!B21/2,C39*(POWER((1+F22),'数据-取费表'!B21/2)-1)),0)</f>
        <v>1</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266</v>
      </c>
      <c r="D45" s="279">
        <f>C47</f>
        <v>4.0000000000000001E-3</v>
      </c>
      <c r="E45" s="280" t="s">
        <v>129</v>
      </c>
      <c r="F45" s="290"/>
      <c r="G45" s="291" t="s">
        <v>1068</v>
      </c>
    </row>
    <row r="46" spans="1:7" s="258" customFormat="1" ht="13.5" customHeight="1">
      <c r="A46" s="951" t="s">
        <v>794</v>
      </c>
      <c r="B46" s="292" t="s">
        <v>1061</v>
      </c>
      <c r="C46" s="293">
        <f>ROUND((C33+C39)*F27,0)</f>
        <v>266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1799</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1313</v>
      </c>
      <c r="D51" s="276"/>
      <c r="E51" s="276"/>
      <c r="F51" s="308"/>
      <c r="G51" s="278" t="s">
        <v>64</v>
      </c>
    </row>
    <row r="52" spans="1:7" s="252" customFormat="1" ht="16.5" thickBot="1">
      <c r="A52" s="309" t="s">
        <v>65</v>
      </c>
      <c r="B52" s="310"/>
      <c r="C52" s="311">
        <f ca="1">C31+C51</f>
        <v>30992</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825"/>
      <c r="B4" s="2953" t="s">
        <v>1624</v>
      </c>
      <c r="C4" s="2953"/>
      <c r="D4" s="2953"/>
      <c r="E4" s="1825"/>
    </row>
    <row r="5" spans="1:5" ht="16.5" thickTop="1">
      <c r="A5" s="1823"/>
      <c r="B5" s="2951" t="s">
        <v>1616</v>
      </c>
      <c r="C5" s="1826" t="s">
        <v>1617</v>
      </c>
      <c r="D5" s="1040">
        <f ca="1">结果表!H101</f>
        <v>11813</v>
      </c>
      <c r="E5" s="1823"/>
    </row>
    <row r="6" spans="1:5" ht="15.75">
      <c r="A6" s="1823"/>
      <c r="B6" s="2951"/>
      <c r="C6" s="1826" t="s">
        <v>1618</v>
      </c>
      <c r="D6" s="1040" t="str">
        <f ca="1">NUMBERSTRING(INT(D5*10000),2)&amp;"元整"</f>
        <v>壹亿壹仟捌佰壹拾叁万元整</v>
      </c>
      <c r="E6" s="1823"/>
    </row>
    <row r="7" spans="1:5" ht="15.75">
      <c r="A7" s="1823"/>
      <c r="B7" s="2956"/>
      <c r="C7" s="1827" t="s">
        <v>1619</v>
      </c>
      <c r="D7" s="1041">
        <f ca="1">结果表!H102</f>
        <v>30245</v>
      </c>
      <c r="E7" s="1823"/>
    </row>
    <row r="8" spans="1:5" ht="15.75">
      <c r="A8" s="1823"/>
      <c r="B8" s="2957" t="str">
        <f>结果表!E103</f>
        <v>2.估价师知悉的法定优先受偿款</v>
      </c>
      <c r="C8" s="1828" t="s">
        <v>1620</v>
      </c>
      <c r="D8" s="1041">
        <f>结果表!H103</f>
        <v>0</v>
      </c>
      <c r="E8" s="1823"/>
    </row>
    <row r="9" spans="1:5" ht="15.75">
      <c r="A9" s="1823"/>
      <c r="B9" s="295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0" t="str">
        <f>结果表!E107</f>
        <v>3.房地产抵押价值</v>
      </c>
      <c r="C13" s="1831" t="s">
        <v>1617</v>
      </c>
      <c r="D13" s="1043">
        <f ca="1">结果表!H107</f>
        <v>11813</v>
      </c>
      <c r="E13" s="1823"/>
    </row>
    <row r="14" spans="1:5" ht="15.75">
      <c r="A14" s="1823"/>
      <c r="B14" s="2951"/>
      <c r="C14" s="1826" t="s">
        <v>1618</v>
      </c>
      <c r="D14" s="1040" t="str">
        <f ca="1">NUMBERSTRING(INT(D13*10000),2)&amp;"元整"</f>
        <v>壹亿壹仟捌佰壹拾叁万元整</v>
      </c>
      <c r="E14" s="1823"/>
    </row>
    <row r="15" spans="1:5" ht="15">
      <c r="A15" s="1823"/>
      <c r="B15" s="2956"/>
      <c r="C15" s="1827" t="s">
        <v>1628</v>
      </c>
      <c r="D15" s="1052">
        <f ca="1">结果表!H108</f>
        <v>30245</v>
      </c>
      <c r="E15" s="1823"/>
    </row>
    <row r="16" spans="1:5" ht="15">
      <c r="A16" s="1823"/>
      <c r="B16" s="2957" t="str">
        <f>结果表!E109</f>
        <v>——</v>
      </c>
      <c r="C16" s="1831" t="s">
        <v>1629</v>
      </c>
      <c r="D16" s="1832" t="str">
        <f>结果表!H109</f>
        <v>——</v>
      </c>
      <c r="E16" s="1823"/>
    </row>
    <row r="17" spans="1:5" ht="15.75">
      <c r="A17" s="1823"/>
      <c r="B17" s="2958"/>
      <c r="C17" s="1826" t="s">
        <v>1630</v>
      </c>
      <c r="D17" s="1040" t="e">
        <f>NUMBERSTRING(INT(D16*10000),2)&amp;"元整"</f>
        <v>#VALUE!</v>
      </c>
      <c r="E17" s="1823"/>
    </row>
    <row r="18" spans="1:5" ht="15">
      <c r="A18" s="1823"/>
      <c r="B18" s="2959"/>
      <c r="C18" s="1827" t="s">
        <v>1619</v>
      </c>
      <c r="D18" s="1052" t="str">
        <f>结果表!H110</f>
        <v>——</v>
      </c>
      <c r="E18" s="1823"/>
    </row>
    <row r="19" spans="1:5" ht="15.75">
      <c r="A19" s="1823"/>
      <c r="B19" s="2950" t="str">
        <f>结果表!E111</f>
        <v>——</v>
      </c>
      <c r="C19" s="1831" t="s">
        <v>1617</v>
      </c>
      <c r="D19" s="1041" t="str">
        <f>结果表!H111</f>
        <v>——</v>
      </c>
      <c r="E19" s="1823"/>
    </row>
    <row r="20" spans="1:5" ht="15.75">
      <c r="A20" s="1823"/>
      <c r="B20" s="2951"/>
      <c r="C20" s="1826" t="s">
        <v>1630</v>
      </c>
      <c r="D20" s="1040" t="e">
        <f>NUMBERSTRING(INT(D19*10000),2)&amp;"元整"</f>
        <v>#VALUE!</v>
      </c>
      <c r="E20" s="1823"/>
    </row>
    <row r="21" spans="1:5" ht="15.75" thickBot="1">
      <c r="A21" s="1823"/>
      <c r="B21" s="2952"/>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22.31</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9083</v>
      </c>
      <c r="C2" s="1710" t="s">
        <v>1510</v>
      </c>
      <c r="D2" s="1710"/>
      <c r="E2" s="1711"/>
      <c r="F2" s="1712"/>
      <c r="G2" s="1713"/>
      <c r="H2" s="1705"/>
      <c r="I2" s="1705"/>
      <c r="J2" s="1705"/>
      <c r="K2" s="1706"/>
      <c r="L2" s="1705"/>
      <c r="M2" s="1705"/>
    </row>
    <row r="3" spans="1:37" ht="18" customHeight="1" thickBot="1">
      <c r="A3" s="1714" t="s">
        <v>1511</v>
      </c>
      <c r="B3" s="1715">
        <f ca="1">IF(ISERROR(B2*10000/F43),0,ROUND(B2*10000/F43,0))</f>
        <v>23255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707</v>
      </c>
      <c r="D5" s="1687" t="s">
        <v>1396</v>
      </c>
      <c r="E5" s="1293"/>
      <c r="F5" s="1294"/>
      <c r="G5" s="1716"/>
      <c r="H5" s="344">
        <v>1</v>
      </c>
      <c r="I5" s="345" t="s">
        <v>1395</v>
      </c>
      <c r="J5" s="1292">
        <f ca="1">J6+J10+J12</f>
        <v>0</v>
      </c>
      <c r="K5" s="1687" t="s">
        <v>1396</v>
      </c>
      <c r="L5" s="1293"/>
      <c r="M5" s="1294"/>
    </row>
    <row r="6" spans="1:37" ht="18" customHeight="1">
      <c r="A6" s="1291" t="s">
        <v>1031</v>
      </c>
      <c r="B6" s="3140" t="s">
        <v>1397</v>
      </c>
      <c r="C6" s="1296">
        <f ca="1">ROUND(F6*F8*F7*(1-F9)/10000,0)</f>
        <v>706</v>
      </c>
      <c r="D6" s="164" t="s">
        <v>3028</v>
      </c>
      <c r="E6" s="347" t="s">
        <v>1399</v>
      </c>
      <c r="F6" s="348">
        <f ca="1">INDIRECT("'数据-取费表'!u"&amp;$G$1)</f>
        <v>5.5</v>
      </c>
      <c r="G6" s="1716"/>
      <c r="H6" s="1291" t="s">
        <v>1031</v>
      </c>
      <c r="I6" s="3140" t="s">
        <v>1397</v>
      </c>
      <c r="J6" s="346">
        <f ca="1">ROUND(M6*M8*M7*(1-M9)/10000,0)</f>
        <v>0</v>
      </c>
      <c r="K6" s="164" t="s">
        <v>3027</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3905.76</v>
      </c>
      <c r="G7" s="1716"/>
      <c r="H7" s="349"/>
      <c r="I7" s="3141"/>
      <c r="J7" s="351"/>
      <c r="K7" s="352"/>
      <c r="L7" s="347" t="s">
        <v>1400</v>
      </c>
      <c r="M7" s="348">
        <f ca="1">F7</f>
        <v>3905.76</v>
      </c>
    </row>
    <row r="8" spans="1:37" ht="18" customHeight="1">
      <c r="A8" s="349"/>
      <c r="B8" s="3141"/>
      <c r="C8" s="351"/>
      <c r="D8" s="352"/>
      <c r="E8" s="347" t="s">
        <v>1401</v>
      </c>
      <c r="F8" s="348">
        <f ca="1">INDIRECT("'数据-取费表'!ai"&amp;$G$1)</f>
        <v>365</v>
      </c>
      <c r="G8" s="1716"/>
      <c r="H8" s="349"/>
      <c r="I8" s="3141"/>
      <c r="J8" s="351"/>
      <c r="K8" s="352"/>
      <c r="L8" s="347" t="s">
        <v>1401</v>
      </c>
      <c r="M8" s="348">
        <f ca="1">INDIRECT("'数据-取费表'!ai"&amp;$G$1)</f>
        <v>365</v>
      </c>
    </row>
    <row r="9" spans="1:37" ht="18" customHeight="1">
      <c r="A9" s="349"/>
      <c r="B9" s="3142"/>
      <c r="C9" s="351"/>
      <c r="D9" s="352"/>
      <c r="E9" s="347" t="s">
        <v>1402</v>
      </c>
      <c r="F9" s="357">
        <f ca="1">INDIRECT("'数据-取费表'!w"&amp;$G$1)</f>
        <v>0.1</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3037</v>
      </c>
      <c r="E10" s="358" t="s">
        <v>1404</v>
      </c>
      <c r="F10" s="1366" t="s">
        <v>3094</v>
      </c>
      <c r="G10" s="1716"/>
      <c r="H10" s="1291" t="s">
        <v>1035</v>
      </c>
      <c r="I10" s="1688" t="s">
        <v>1403</v>
      </c>
      <c r="J10" s="346">
        <f ca="1">ROUND(IF(M10="押一",J6/12*M11,IF(M10="押二",J6/12*2*M11,IF(M10="押三",J6/12*3*M11,J11*M11))),0)</f>
        <v>0</v>
      </c>
      <c r="K10" s="1689" t="s">
        <v>3036</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1313</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1172</v>
      </c>
      <c r="D14" s="1665" t="s">
        <v>1412</v>
      </c>
      <c r="E14" s="1659"/>
      <c r="F14" s="364"/>
      <c r="G14" s="1716"/>
      <c r="H14" s="1201" t="s">
        <v>1031</v>
      </c>
      <c r="I14" s="347" t="s">
        <v>1413</v>
      </c>
      <c r="J14" s="24">
        <f ca="1">C29</f>
        <v>1799</v>
      </c>
      <c r="K14" s="15"/>
      <c r="L14" s="979"/>
      <c r="M14" s="980"/>
    </row>
    <row r="15" spans="1:37" s="1723" customFormat="1" ht="18" customHeight="1" thickBot="1">
      <c r="A15" s="1201" t="s">
        <v>1032</v>
      </c>
      <c r="B15" s="347" t="s">
        <v>1414</v>
      </c>
      <c r="C15" s="24">
        <f ca="1">ROUND(C14*F15,0)</f>
        <v>35</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43</v>
      </c>
      <c r="K16" s="1337" t="s">
        <v>1419</v>
      </c>
      <c r="L16" s="1338"/>
      <c r="M16" s="1294"/>
    </row>
    <row r="17" spans="1:37" s="1723" customFormat="1" ht="18" customHeight="1">
      <c r="A17" s="1201" t="s">
        <v>1384</v>
      </c>
      <c r="B17" s="347" t="s">
        <v>1420</v>
      </c>
      <c r="C17" s="24">
        <f ca="1">ROUND(F17*(F43+INDIRECT("'数据-取费表'!S"&amp;$G$1))/10000,0)</f>
        <v>78</v>
      </c>
      <c r="D17" s="347" t="s">
        <v>1421</v>
      </c>
      <c r="E17" s="347" t="s">
        <v>1422</v>
      </c>
      <c r="F17" s="26">
        <f>'数据-取费表'!B35</f>
        <v>200</v>
      </c>
      <c r="G17" s="1719"/>
      <c r="H17" s="1201" t="s">
        <v>1031</v>
      </c>
      <c r="I17" s="347" t="s">
        <v>1423</v>
      </c>
      <c r="J17" s="24">
        <f ca="1">ROUND(IF(项目基本情况!B11="自然人",J6*M17/(1+'数据-取费表'!C42),J18+J19+J20),1)</f>
        <v>15.8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1303</v>
      </c>
      <c r="D19" s="140" t="s">
        <v>1430</v>
      </c>
      <c r="E19" s="1683"/>
      <c r="F19" s="26"/>
      <c r="G19" s="1716"/>
      <c r="H19" s="1201" t="s">
        <v>1032</v>
      </c>
      <c r="I19" s="347" t="s">
        <v>1431</v>
      </c>
      <c r="J19" s="24">
        <f ca="1">IF(K19="按租金收入计税",ROUND(J6*M19/(1+'数据-取费表'!C42),2),ROUND(C29*M19*0.7,2))</f>
        <v>15.11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26</v>
      </c>
      <c r="D20" s="369" t="s">
        <v>1434</v>
      </c>
      <c r="E20" s="347" t="s">
        <v>1416</v>
      </c>
      <c r="F20" s="367">
        <f>'数据-取费表'!B37</f>
        <v>0.02</v>
      </c>
      <c r="G20" s="1719"/>
      <c r="H20" s="1201" t="s">
        <v>1383</v>
      </c>
      <c r="I20" s="164" t="s">
        <v>1435</v>
      </c>
      <c r="J20" s="25">
        <f ca="1">ROUND(M20*M21/10000,2)</f>
        <v>0.72</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2386.36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-43</v>
      </c>
      <c r="K25" s="1345" t="s">
        <v>1458</v>
      </c>
      <c r="L25" s="1346"/>
      <c r="M25" s="1347"/>
    </row>
    <row r="26" spans="1:37">
      <c r="A26" s="1201" t="s">
        <v>1030</v>
      </c>
      <c r="B26" s="347" t="s">
        <v>1459</v>
      </c>
      <c r="C26" s="24">
        <f ca="1">ROUND((C19+C20)*F26,0)</f>
        <v>266</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1799</v>
      </c>
      <c r="D29" s="1342"/>
      <c r="E29" s="1340"/>
      <c r="F29" s="1343"/>
      <c r="G29" s="1719"/>
      <c r="H29" s="380" t="s">
        <v>1029</v>
      </c>
      <c r="I29" s="381" t="s">
        <v>1473</v>
      </c>
      <c r="J29" s="382">
        <f ca="1">ROUND(J26/(1+F40)^F41,0)</f>
        <v>0</v>
      </c>
      <c r="K29" s="383" t="s">
        <v>1474</v>
      </c>
      <c r="L29" s="384"/>
      <c r="M29" s="385">
        <f ca="1">INDIRECT("'数据-取费表'!k"&amp;$G$1)</f>
        <v>3905.76</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159</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119.1</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37.65</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80.69</v>
      </c>
      <c r="D33" s="1693" t="s">
        <v>3095</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0.72</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2386.36</v>
      </c>
      <c r="G35" s="1716"/>
      <c r="H35" s="745"/>
      <c r="I35" s="1725"/>
      <c r="J35" s="1726"/>
      <c r="K35" s="1727"/>
      <c r="L35" s="1724"/>
      <c r="M35" s="1724"/>
    </row>
    <row r="36" spans="1:18" ht="18" customHeight="1">
      <c r="A36" s="1352" t="s">
        <v>1035</v>
      </c>
      <c r="B36" s="347" t="s">
        <v>1443</v>
      </c>
      <c r="C36" s="24">
        <f ca="1">ROUND(C29*F36,1)</f>
        <v>27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2</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10.6</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548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9083</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22.31</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23255</v>
      </c>
      <c r="D43" s="383" t="s">
        <v>1482</v>
      </c>
      <c r="E43" s="384" t="s">
        <v>1483</v>
      </c>
      <c r="F43" s="385">
        <f ca="1">INDIRECT("'数据-取费表'!k"&amp;$G$1)</f>
        <v>3905.76</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-11377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3090</v>
      </c>
      <c r="K47" s="1747" t="s">
        <v>1521</v>
      </c>
      <c r="L47" s="1748">
        <f ca="1">INDIRECT("'数据-取费表'!d"&amp;$G$1)</f>
        <v>40</v>
      </c>
      <c r="M47" s="1703" t="str">
        <f>IF(ISNUMBER(FIND("住宅",C1)),"住宅","非住宅")</f>
        <v>非住宅</v>
      </c>
      <c r="O47" s="1749" t="s">
        <v>1036</v>
      </c>
      <c r="P47" s="1750" t="s">
        <v>1522</v>
      </c>
      <c r="Q47" s="1751">
        <f ca="1">C40+J29</f>
        <v>9083</v>
      </c>
      <c r="R47" s="1751" t="s">
        <v>1523</v>
      </c>
    </row>
    <row r="48" spans="1:18" s="1707" customFormat="1" ht="28.5" thickBot="1">
      <c r="A48" s="1360" t="s">
        <v>1131</v>
      </c>
      <c r="B48" s="345" t="s">
        <v>1395</v>
      </c>
      <c r="C48" s="1682">
        <f ca="1">C49+C53+C55</f>
        <v>0</v>
      </c>
      <c r="D48" s="1362"/>
      <c r="E48" s="1363"/>
      <c r="F48" s="1181"/>
      <c r="G48" s="792"/>
      <c r="H48" s="793"/>
      <c r="I48" s="1752" t="s">
        <v>1524</v>
      </c>
      <c r="J48" s="1753" t="s">
        <v>3091</v>
      </c>
      <c r="K48" s="1754" t="s">
        <v>1525</v>
      </c>
      <c r="L48" s="1755">
        <f ca="1">INDIRECT("'数据-取费表'!f"&amp;$G$1)</f>
        <v>22.31</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3029</v>
      </c>
      <c r="E49" s="1695" t="s">
        <v>1485</v>
      </c>
      <c r="F49" s="1281"/>
      <c r="G49" s="1756"/>
      <c r="H49" s="793"/>
      <c r="I49" s="1752" t="s">
        <v>1528</v>
      </c>
      <c r="J49" s="1757">
        <v>2004</v>
      </c>
      <c r="K49" s="1754" t="s">
        <v>1529</v>
      </c>
      <c r="L49" s="1758"/>
      <c r="O49" s="1759" t="s">
        <v>1038</v>
      </c>
      <c r="P49" s="1750" t="s">
        <v>1530</v>
      </c>
      <c r="Q49" s="1751">
        <f ca="1">C29</f>
        <v>1799</v>
      </c>
      <c r="R49" s="1751" t="s">
        <v>1523</v>
      </c>
    </row>
    <row r="50" spans="1:18" s="1707" customFormat="1" ht="13.5" thickBot="1">
      <c r="A50" s="1195"/>
      <c r="B50" s="1198"/>
      <c r="C50" s="1368"/>
      <c r="D50" s="1172"/>
      <c r="E50" s="1277" t="s">
        <v>1400</v>
      </c>
      <c r="F50" s="1278">
        <f ca="1">F7</f>
        <v>3905.76</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7824</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22.31</v>
      </c>
      <c r="R52" s="1751" t="s">
        <v>1540</v>
      </c>
    </row>
    <row r="53" spans="1:18" s="1707" customFormat="1" ht="24.75" thickBot="1">
      <c r="A53" s="1405" t="s">
        <v>1133</v>
      </c>
      <c r="B53" s="1696" t="s">
        <v>1403</v>
      </c>
      <c r="C53" s="361">
        <f ca="1">ROUND(IF(F53="押一",C49/12*F11,IF(F53="押二",C49/12*2*F11,IF(F53="押三",C49/12*3*F11,C54*F11))),0)</f>
        <v>0</v>
      </c>
      <c r="D53" s="1689" t="s">
        <v>3036</v>
      </c>
      <c r="E53" s="358" t="s">
        <v>1404</v>
      </c>
      <c r="F53" s="1366"/>
      <c r="I53" s="1770" t="s">
        <v>1541</v>
      </c>
      <c r="J53" s="2799">
        <f ca="1">IF(M47="住宅",IF(D1="——",MAX(J51,L48),MAX(J51,L48-'数据-取费表'!B24)),IF(D1="——",MIN(J51,L48),MIN(J51,L48-'数据-取费表'!B24)))</f>
        <v>22.31</v>
      </c>
      <c r="K53" s="3143" t="s">
        <v>1542</v>
      </c>
      <c r="L53" s="3144"/>
      <c r="O53" s="1749" t="s">
        <v>1042</v>
      </c>
      <c r="P53" s="1750" t="s">
        <v>1543</v>
      </c>
      <c r="Q53" s="1751">
        <f ca="1">Q47+Q48</f>
        <v>9083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1313</v>
      </c>
      <c r="D56" s="1778"/>
      <c r="E56" s="1779"/>
      <c r="F56" s="1771"/>
      <c r="I56" s="1780" t="s">
        <v>1548</v>
      </c>
      <c r="J56" s="1781" t="s">
        <v>3065</v>
      </c>
      <c r="K56" s="1752" t="s">
        <v>1549</v>
      </c>
      <c r="L56" s="1755" t="str">
        <f ca="1">IF(L48&lt;J51,"——",L48-J53)</f>
        <v>——</v>
      </c>
      <c r="O56" s="1749" t="s">
        <v>1036</v>
      </c>
      <c r="P56" s="1750" t="s">
        <v>1522</v>
      </c>
      <c r="Q56" s="1751">
        <f ca="1">C40+J29</f>
        <v>9083</v>
      </c>
      <c r="R56" s="1751" t="s">
        <v>1523</v>
      </c>
    </row>
    <row r="57" spans="1:18" s="1707" customFormat="1" ht="24.75" thickBot="1">
      <c r="A57" s="1782"/>
      <c r="B57" s="1169" t="s">
        <v>1472</v>
      </c>
      <c r="C57" s="282">
        <f ca="1">C29</f>
        <v>1799</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181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151.80000000000001</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151.12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0.72</v>
      </c>
      <c r="D62" s="1184" t="s">
        <v>1491</v>
      </c>
      <c r="E62" s="1169" t="s">
        <v>1492</v>
      </c>
      <c r="F62" s="371">
        <f t="shared" si="0"/>
        <v>3</v>
      </c>
      <c r="I62" s="1793" t="s">
        <v>1564</v>
      </c>
      <c r="J62" s="1794" t="s">
        <v>1565</v>
      </c>
      <c r="K62" s="1794" t="s">
        <v>1566</v>
      </c>
      <c r="L62" s="1794" t="s">
        <v>1567</v>
      </c>
      <c r="M62" s="1795" t="s">
        <v>1568</v>
      </c>
      <c r="O62" s="1749" t="s">
        <v>1042</v>
      </c>
      <c r="P62" s="1750" t="s">
        <v>1569</v>
      </c>
      <c r="Q62" s="1751">
        <f ca="1">Q56+Q57</f>
        <v>9083</v>
      </c>
      <c r="R62" s="1751" t="s">
        <v>1043</v>
      </c>
    </row>
    <row r="63" spans="1:18" s="1707" customFormat="1" ht="13.5" thickBot="1">
      <c r="A63" s="372"/>
      <c r="B63" s="1175"/>
      <c r="C63" s="29"/>
      <c r="D63" s="1185"/>
      <c r="E63" s="1169" t="s">
        <v>1493</v>
      </c>
      <c r="F63" s="348">
        <f t="shared" ca="1" si="0"/>
        <v>2386.36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v>
      </c>
      <c r="D65" s="1183" t="s">
        <v>1448</v>
      </c>
      <c r="E65" s="1169" t="s">
        <v>1449</v>
      </c>
      <c r="F65" s="376">
        <f t="shared" ca="1" si="0"/>
        <v>1.5E-3</v>
      </c>
      <c r="I65" s="1793" t="s">
        <v>1573</v>
      </c>
      <c r="J65" s="1794">
        <v>40</v>
      </c>
      <c r="K65" s="1794">
        <v>30</v>
      </c>
      <c r="L65" s="1794">
        <v>50</v>
      </c>
      <c r="M65" s="1796">
        <v>0.02</v>
      </c>
      <c r="O65" s="1749" t="s">
        <v>1036</v>
      </c>
      <c r="P65" s="1750" t="s">
        <v>1574</v>
      </c>
      <c r="Q65" s="1751">
        <f ca="1">C40+J29</f>
        <v>9083</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-181</v>
      </c>
      <c r="D67" s="1182" t="s">
        <v>1458</v>
      </c>
      <c r="E67" s="1187"/>
      <c r="F67" s="1188"/>
      <c r="O67" s="1759" t="s">
        <v>1038</v>
      </c>
      <c r="P67" s="1750" t="s">
        <v>1556</v>
      </c>
      <c r="Q67" s="1797">
        <f ca="1">L51</f>
        <v>7824</v>
      </c>
      <c r="R67" s="1751" t="s">
        <v>1576</v>
      </c>
    </row>
    <row r="68" spans="1:18" s="1707" customFormat="1" ht="16.5" thickBot="1">
      <c r="A68" s="1166" t="s">
        <v>1028</v>
      </c>
      <c r="B68" s="1167" t="s">
        <v>1479</v>
      </c>
      <c r="C68" s="346">
        <f ca="1">ROUND(C67*(1-((1+F70)/(1+F68))^F69)/(F68-F70),0)</f>
        <v>-2294</v>
      </c>
      <c r="D68" s="1184" t="s">
        <v>1463</v>
      </c>
      <c r="E68" s="1169" t="s">
        <v>1464</v>
      </c>
      <c r="F68" s="357">
        <f ca="1">F40</f>
        <v>5.5E-2</v>
      </c>
      <c r="O68" s="1759" t="s">
        <v>1039</v>
      </c>
      <c r="P68" s="1798" t="s">
        <v>1577</v>
      </c>
      <c r="Q68" s="1751">
        <f ca="1">ROUND(Q69-Q70*Q71,0)</f>
        <v>443</v>
      </c>
      <c r="R68" s="1751" t="s">
        <v>1047</v>
      </c>
    </row>
    <row r="69" spans="1:18" s="1707" customFormat="1" ht="13.5" thickBot="1">
      <c r="A69" s="1170"/>
      <c r="B69" s="1171"/>
      <c r="C69" s="351"/>
      <c r="D69" s="1189" t="s">
        <v>1467</v>
      </c>
      <c r="E69" s="1169" t="s">
        <v>1468</v>
      </c>
      <c r="F69" s="379">
        <f ca="1">F41</f>
        <v>22.31</v>
      </c>
      <c r="O69" s="1759" t="s">
        <v>1044</v>
      </c>
      <c r="P69" s="1798" t="s">
        <v>1578</v>
      </c>
      <c r="Q69" s="1751">
        <f ca="1">C39</f>
        <v>548</v>
      </c>
      <c r="R69" s="1751" t="s">
        <v>1523</v>
      </c>
    </row>
    <row r="70" spans="1:18" s="1707" customFormat="1" ht="13.5" thickBot="1">
      <c r="A70" s="1173"/>
      <c r="B70" s="1174"/>
      <c r="C70" s="355"/>
      <c r="D70" s="1185"/>
      <c r="E70" s="1169" t="s">
        <v>1471</v>
      </c>
      <c r="F70" s="1275"/>
      <c r="O70" s="1759" t="s">
        <v>1045</v>
      </c>
      <c r="P70" s="1798" t="s">
        <v>1579</v>
      </c>
      <c r="Q70" s="1751">
        <f ca="1">C13</f>
        <v>1313</v>
      </c>
      <c r="R70" s="1751" t="s">
        <v>1523</v>
      </c>
    </row>
    <row r="71" spans="1:18" s="1707" customFormat="1" ht="13.5" thickBot="1">
      <c r="A71" s="1190" t="s">
        <v>1029</v>
      </c>
      <c r="B71" s="1191" t="s">
        <v>1481</v>
      </c>
      <c r="C71" s="382">
        <f ca="1">ROUND(C68*10000/F71,0)</f>
        <v>-5873</v>
      </c>
      <c r="D71" s="1192" t="s">
        <v>1482</v>
      </c>
      <c r="E71" s="1193" t="s">
        <v>1483</v>
      </c>
      <c r="F71" s="385">
        <f ca="1">F43</f>
        <v>3905.76</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105</v>
      </c>
      <c r="D75" s="1707"/>
      <c r="E75" s="1707"/>
      <c r="F75" s="1707"/>
      <c r="K75" s="1733"/>
      <c r="L75" s="1707"/>
      <c r="O75" s="1749" t="s">
        <v>1042</v>
      </c>
      <c r="P75" s="1750" t="s">
        <v>1543</v>
      </c>
      <c r="Q75" s="1751">
        <f ca="1">Q65+Q66</f>
        <v>9083</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0.80800000000000005</v>
      </c>
    </row>
    <row r="80" spans="1:18">
      <c r="B80" s="386" t="s">
        <v>1505</v>
      </c>
      <c r="C80" s="318">
        <f ca="1">ROUND(C75/C39,3)</f>
        <v>0.192</v>
      </c>
    </row>
    <row r="81" spans="2:3">
      <c r="B81" s="314" t="s">
        <v>1506</v>
      </c>
      <c r="C81" s="282"/>
    </row>
    <row r="82" spans="2:3">
      <c r="B82" s="317" t="s">
        <v>1507</v>
      </c>
      <c r="C82" s="319">
        <f ca="1">1-C83</f>
        <v>0.85499999999999998</v>
      </c>
    </row>
    <row r="83" spans="2:3">
      <c r="B83" s="317" t="s">
        <v>1508</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21" sqref="L1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1635</v>
      </c>
      <c r="B2" s="2970" t="s">
        <v>1636</v>
      </c>
      <c r="C2" s="2970" t="s">
        <v>1637</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64"/>
      <c r="B3" s="2964"/>
      <c r="C3" s="2964"/>
      <c r="D3" s="1044" t="s">
        <v>1632</v>
      </c>
      <c r="E3" s="1044" t="s">
        <v>1638</v>
      </c>
      <c r="F3" s="1044" t="s">
        <v>1632</v>
      </c>
      <c r="G3" s="1044" t="s">
        <v>1633</v>
      </c>
      <c r="H3" s="1044" t="s">
        <v>1632</v>
      </c>
      <c r="I3" s="1044" t="s">
        <v>1633</v>
      </c>
    </row>
    <row r="4" spans="1:9" ht="15">
      <c r="A4" s="1837" t="str">
        <f>项目基本情况!S2</f>
        <v>北京市房地产</v>
      </c>
      <c r="B4" s="1044">
        <f>项目基本情况!C17</f>
        <v>3905.76</v>
      </c>
      <c r="C4" s="1044">
        <f>项目基本情况!C18</f>
        <v>2386.36</v>
      </c>
      <c r="D4" s="1044" t="e">
        <f ca="1">结果表!D118</f>
        <v>#REF!</v>
      </c>
      <c r="E4" s="1044" t="e">
        <f ca="1">结果表!E118</f>
        <v>#REF!</v>
      </c>
      <c r="F4" s="1044" t="e">
        <f ca="1">结果表!F118</f>
        <v>#REF!</v>
      </c>
      <c r="G4" s="1044" t="e">
        <f ca="1">结果表!G118</f>
        <v>#REF!</v>
      </c>
      <c r="H4" s="1044">
        <f ca="1">结果表!H118</f>
        <v>11813</v>
      </c>
      <c r="I4" s="1044">
        <f ca="1">结果表!I118</f>
        <v>30245</v>
      </c>
    </row>
    <row r="5" spans="1:9" ht="30" customHeight="1">
      <c r="A5" s="2964" t="s">
        <v>1634</v>
      </c>
      <c r="B5" s="2964"/>
      <c r="C5" s="2964"/>
      <c r="D5" s="2965" t="e">
        <f ca="1">结果表!D119</f>
        <v>#REF!</v>
      </c>
      <c r="E5" s="2965"/>
      <c r="F5" s="2965" t="e">
        <f ca="1">结果表!F119</f>
        <v>#REF!</v>
      </c>
      <c r="G5" s="2965"/>
      <c r="H5" s="2965" t="str">
        <f ca="1">结果表!H119</f>
        <v>壹亿壹仟捌佰壹拾叁万元整</v>
      </c>
      <c r="I5" s="2965"/>
    </row>
    <row r="6" spans="1:9" ht="15.75">
      <c r="A6" s="2963" t="str">
        <f>结果表!A120</f>
        <v>估价师知悉的法定优先受偿款</v>
      </c>
      <c r="B6" s="2963"/>
      <c r="C6" s="2963"/>
      <c r="D6" s="2963">
        <f>结果表!D120</f>
        <v>0</v>
      </c>
      <c r="E6" s="2963"/>
      <c r="F6" s="2963"/>
      <c r="G6" s="2963"/>
      <c r="H6" s="2963"/>
      <c r="I6" s="2963"/>
    </row>
    <row r="7" spans="1:9" ht="15">
      <c r="A7" s="2964" t="s">
        <v>1634</v>
      </c>
      <c r="B7" s="2964"/>
      <c r="C7" s="2964"/>
      <c r="D7" s="2966" t="str">
        <f>结果表!D121</f>
        <v>零元整</v>
      </c>
      <c r="E7" s="2967"/>
      <c r="F7" s="2967"/>
      <c r="G7" s="2967"/>
      <c r="H7" s="2967"/>
      <c r="I7" s="2968"/>
    </row>
    <row r="8" spans="1:9" ht="15.75">
      <c r="A8" s="2963" t="str">
        <f>结果表!A122</f>
        <v>房地产抵押价值</v>
      </c>
      <c r="B8" s="2963"/>
      <c r="C8" s="2963"/>
      <c r="D8" s="2963">
        <f ca="1">结果表!D122</f>
        <v>11813</v>
      </c>
      <c r="E8" s="2963"/>
      <c r="F8" s="2963"/>
      <c r="G8" s="2963"/>
      <c r="H8" s="2963"/>
      <c r="I8" s="2963"/>
    </row>
    <row r="9" spans="1:9" ht="15">
      <c r="A9" s="2964" t="s">
        <v>1634</v>
      </c>
      <c r="B9" s="2964"/>
      <c r="C9" s="2964"/>
      <c r="D9" s="2965" t="str">
        <f ca="1">结果表!D123</f>
        <v>壹亿壹仟捌佰壹拾叁万元整</v>
      </c>
      <c r="E9" s="2965"/>
      <c r="F9" s="2965"/>
      <c r="G9" s="2965"/>
      <c r="H9" s="2965"/>
      <c r="I9" s="2965"/>
    </row>
    <row r="10" spans="1:9" ht="15.75">
      <c r="A10" s="2963" t="str">
        <f>结果表!A124</f>
        <v/>
      </c>
      <c r="B10" s="2963"/>
      <c r="C10" s="2963"/>
      <c r="D10" s="2963" t="str">
        <f>结果表!D124</f>
        <v>——</v>
      </c>
      <c r="E10" s="2963"/>
      <c r="F10" s="2963"/>
      <c r="G10" s="2963"/>
      <c r="H10" s="2963"/>
      <c r="I10" s="2963"/>
    </row>
    <row r="11" spans="1:9" ht="15">
      <c r="A11" s="2964" t="s">
        <v>1634</v>
      </c>
      <c r="B11" s="2964"/>
      <c r="C11" s="2964"/>
      <c r="D11" s="2965" t="e">
        <f>结果表!D125</f>
        <v>#VALUE!</v>
      </c>
      <c r="E11" s="2965"/>
      <c r="F11" s="2965"/>
      <c r="G11" s="2965"/>
      <c r="H11" s="2965"/>
      <c r="I11" s="2965"/>
    </row>
    <row r="12" spans="1:9" ht="15.75">
      <c r="A12" s="2963" t="str">
        <f>结果表!A126</f>
        <v/>
      </c>
      <c r="B12" s="2963"/>
      <c r="C12" s="2963"/>
      <c r="D12" s="2963" t="str">
        <f>结果表!D126</f>
        <v>——</v>
      </c>
      <c r="E12" s="2963"/>
      <c r="F12" s="2963"/>
      <c r="G12" s="2963"/>
      <c r="H12" s="2963"/>
      <c r="I12" s="2963"/>
    </row>
    <row r="13" spans="1:9" ht="15.75" thickBot="1">
      <c r="A13" s="2960" t="s">
        <v>1634</v>
      </c>
      <c r="B13" s="2960"/>
      <c r="C13" s="2960"/>
      <c r="D13" s="2961" t="e">
        <f>结果表!D127</f>
        <v>#VALUE!</v>
      </c>
      <c r="E13" s="2961"/>
      <c r="F13" s="2961"/>
      <c r="G13" s="2961"/>
      <c r="H13" s="2961"/>
      <c r="I13" s="2961"/>
    </row>
    <row r="14" spans="1:9" ht="15" thickTop="1">
      <c r="A14" s="2962" t="s">
        <v>1639</v>
      </c>
      <c r="B14" s="2962"/>
      <c r="C14" s="2962"/>
      <c r="D14" s="2962"/>
      <c r="E14" s="2962"/>
      <c r="F14" s="2962"/>
      <c r="G14" s="2962"/>
      <c r="H14" s="2962"/>
      <c r="I14" s="2962"/>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7" t="s">
        <v>1656</v>
      </c>
      <c r="B1" s="2977"/>
      <c r="C1" s="2977"/>
      <c r="D1" s="2977"/>
    </row>
    <row r="2" spans="1:4" ht="18">
      <c r="A2" s="2978" t="s">
        <v>1640</v>
      </c>
      <c r="B2" s="2978"/>
      <c r="C2" s="2978"/>
      <c r="D2" s="2978"/>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8" t="s">
        <v>1646</v>
      </c>
      <c r="B6" s="2978"/>
      <c r="C6" s="2978"/>
      <c r="D6" s="2978"/>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9" t="s">
        <v>1649</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1" t="str">
        <f>IF(项目基本情况!B8="抵押","4.本次评估估价师所知悉的法定优先受偿款情况说明如下：","——")</f>
        <v>4.本次评估估价师所知悉的法定优先受偿款情况说明如下：</v>
      </c>
      <c r="B14" s="2976"/>
      <c r="C14" s="2976"/>
      <c r="D14" s="2976"/>
    </row>
    <row r="15" spans="1:4" ht="42" customHeight="1">
      <c r="A15" s="29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1"/>
      <c r="C15" s="2971"/>
      <c r="D15" s="2971"/>
    </row>
    <row r="16" spans="1:4" ht="30" customHeight="1">
      <c r="A16" s="2973" t="s">
        <v>1650</v>
      </c>
      <c r="B16" s="2973"/>
      <c r="C16" s="2973"/>
      <c r="D16" s="2973"/>
    </row>
    <row r="17" spans="1:4" ht="144" customHeight="1">
      <c r="A17" s="2973" t="s">
        <v>1651</v>
      </c>
      <c r="B17" s="2973"/>
      <c r="C17" s="2973"/>
      <c r="D17" s="2973"/>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4"/>
      <c r="C21" s="2974"/>
      <c r="D21" s="2974"/>
    </row>
    <row r="22" spans="1:4" ht="18.75" customHeight="1">
      <c r="A22" s="2975" t="s">
        <v>1652</v>
      </c>
      <c r="B22" s="2975"/>
      <c r="C22" s="2975"/>
      <c r="D22" s="2975"/>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2">
        <v>42551</v>
      </c>
      <c r="D31" s="29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5" t="s">
        <v>1663</v>
      </c>
      <c r="B15" s="2980" t="s">
        <v>136</v>
      </c>
      <c r="C15" s="2981"/>
    </row>
    <row r="16" spans="1:7" ht="13.5">
      <c r="A16" s="2986"/>
      <c r="B16" s="2980" t="s">
        <v>69</v>
      </c>
      <c r="C16" s="2981"/>
    </row>
    <row r="17" spans="1:3" ht="13.5">
      <c r="A17" s="2986"/>
      <c r="B17" s="2983" t="s">
        <v>1664</v>
      </c>
      <c r="C17" s="1864" t="s">
        <v>1663</v>
      </c>
    </row>
    <row r="18" spans="1:3" ht="13.5">
      <c r="A18" s="2986"/>
      <c r="B18" s="2983"/>
      <c r="C18" s="1864" t="s">
        <v>1665</v>
      </c>
    </row>
    <row r="19" spans="1:3" ht="13.5">
      <c r="A19" s="2986"/>
      <c r="B19" s="2983"/>
      <c r="C19" s="1864" t="s">
        <v>1666</v>
      </c>
    </row>
    <row r="20" spans="1:3" ht="13.5">
      <c r="A20" s="2987"/>
      <c r="B20" s="2982" t="s">
        <v>1667</v>
      </c>
      <c r="C20" s="2981"/>
    </row>
    <row r="21" spans="1:3" ht="13.5">
      <c r="A21" s="1865" t="s">
        <v>1668</v>
      </c>
      <c r="B21" s="1866"/>
      <c r="C21" s="1867"/>
    </row>
    <row r="22" spans="1:3" ht="13.5">
      <c r="A22" s="2984" t="s">
        <v>1669</v>
      </c>
      <c r="B22" s="2982" t="s">
        <v>1670</v>
      </c>
      <c r="C22" s="2981"/>
    </row>
    <row r="23" spans="1:3" ht="13.5">
      <c r="A23" s="2984"/>
      <c r="B23" s="2982" t="s">
        <v>1671</v>
      </c>
      <c r="C23" s="2981"/>
    </row>
    <row r="24" spans="1:3" ht="13.5">
      <c r="A24" s="2984"/>
      <c r="B24" s="2982" t="s">
        <v>1672</v>
      </c>
      <c r="C24" s="2981"/>
    </row>
    <row r="25" spans="1:3" ht="13.5">
      <c r="A25" s="2984"/>
      <c r="B25" s="2983" t="s">
        <v>1673</v>
      </c>
      <c r="C25" s="1864" t="s">
        <v>1674</v>
      </c>
    </row>
    <row r="26" spans="1:3" ht="13.5">
      <c r="A26" s="2984"/>
      <c r="B26" s="2983"/>
      <c r="C26" s="1864" t="s">
        <v>1675</v>
      </c>
    </row>
    <row r="27" spans="1:3" ht="13.5">
      <c r="A27" s="2984"/>
      <c r="B27" s="2983"/>
      <c r="C27" s="1864" t="s">
        <v>1676</v>
      </c>
    </row>
    <row r="28" spans="1:3" ht="13.5">
      <c r="A28" s="2984"/>
      <c r="B28" s="2983"/>
      <c r="C28" s="1864" t="s">
        <v>1677</v>
      </c>
    </row>
    <row r="29" spans="1:3" ht="13.5">
      <c r="A29" s="2984"/>
      <c r="B29" s="2983"/>
      <c r="C29" s="1864" t="s">
        <v>1678</v>
      </c>
    </row>
    <row r="30" spans="1:3" ht="13.5">
      <c r="A30" s="2984"/>
      <c r="B30" s="2983"/>
      <c r="C30" s="1864" t="s">
        <v>1679</v>
      </c>
    </row>
    <row r="31" spans="1:3" ht="13.5">
      <c r="A31" s="2984"/>
      <c r="B31" s="2983"/>
      <c r="C31" s="1864" t="s">
        <v>1680</v>
      </c>
    </row>
    <row r="32" spans="1:3" ht="13.5">
      <c r="A32" s="2984"/>
      <c r="B32" s="2983"/>
      <c r="C32" s="1864" t="s">
        <v>1681</v>
      </c>
    </row>
    <row r="33" spans="1:3" ht="13.5">
      <c r="A33" s="2984"/>
      <c r="B33" s="298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44047</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3042</v>
      </c>
      <c r="B14" s="1022">
        <f ca="1">IF(C14&lt;B2,"已过期",1120040230)</f>
        <v>1120040230</v>
      </c>
      <c r="C14" s="2213">
        <v>44864</v>
      </c>
      <c r="D14" s="2216" t="s">
        <v>3042</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3049</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3051</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8" t="s">
        <v>842</v>
      </c>
      <c r="B25" s="2988"/>
      <c r="C25" s="2988"/>
      <c r="D25" s="2988"/>
      <c r="E25" s="2988"/>
      <c r="F25" s="2988"/>
      <c r="G25" s="2988"/>
    </row>
    <row r="26" spans="1:7" s="1025" customFormat="1" ht="24" customHeight="1">
      <c r="A26" s="2989" t="s">
        <v>843</v>
      </c>
      <c r="B26" s="2989"/>
      <c r="C26" s="2990"/>
      <c r="D26" s="2991" t="s">
        <v>844</v>
      </c>
      <c r="E26" s="2989"/>
      <c r="F26" s="298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2020-08-04T06:00:01Z</dcterms:modified>
</cp:coreProperties>
</file>