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询价（2020-3-15）\"/>
    </mc:Choice>
  </mc:AlternateContent>
  <xr:revisionPtr revIDLastSave="0" documentId="13_ncr:1_{1035C9F2-EF7F-451D-970B-E79CEA649572}" xr6:coauthVersionLast="45" xr6:coauthVersionMax="45" xr10:uidLastSave="{00000000-0000-0000-0000-000000000000}"/>
  <bookViews>
    <workbookView xWindow="-108" yWindow="-108" windowWidth="23256" windowHeight="12576"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典型户型修正" sheetId="31" r:id="rId36"/>
    <sheet name="Sheet3" sheetId="70" r:id="rId37"/>
    <sheet name="Sheet4" sheetId="71"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8" i="39" l="1"/>
  <c r="G40" i="39"/>
  <c r="G9" i="39"/>
  <c r="G7" i="39"/>
  <c r="H9" i="39"/>
  <c r="AB9" i="39"/>
  <c r="H40" i="39"/>
  <c r="AB40" i="39"/>
  <c r="D83" i="39"/>
  <c r="E83" i="39"/>
  <c r="H13" i="39"/>
  <c r="AB13" i="39"/>
  <c r="T48" i="39"/>
  <c r="T49" i="39"/>
  <c r="F40" i="39"/>
  <c r="AA40" i="39"/>
  <c r="F13" i="39"/>
  <c r="AA13" i="39"/>
  <c r="R49" i="39"/>
  <c r="J40" i="39"/>
  <c r="AC40"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C21"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4" i="12"/>
  <c r="D21" i="9"/>
  <c r="G21" i="9"/>
  <c r="R24" i="31"/>
  <c r="D3" i="31"/>
  <c r="E3" i="31"/>
  <c r="F3" i="31"/>
  <c r="C28" i="31"/>
  <c r="D6" i="31"/>
  <c r="E6" i="31"/>
  <c r="E28" i="31"/>
  <c r="R28" i="31"/>
  <c r="S28" i="31"/>
  <c r="D18" i="66"/>
  <c r="C29" i="31"/>
  <c r="E29" i="31"/>
  <c r="R29" i="31"/>
  <c r="S29" i="31"/>
  <c r="D19" i="66"/>
  <c r="C30" i="31"/>
  <c r="E30" i="31"/>
  <c r="R30" i="31"/>
  <c r="S30" i="31"/>
  <c r="D20" i="66"/>
  <c r="C31" i="31"/>
  <c r="E31" i="31"/>
  <c r="R31" i="31"/>
  <c r="S31" i="31"/>
  <c r="D21" i="66"/>
  <c r="C18" i="66"/>
  <c r="C19" i="66"/>
  <c r="C20" i="66"/>
  <c r="C21" i="66"/>
  <c r="B20" i="66"/>
  <c r="B21" i="66"/>
  <c r="B18" i="66"/>
  <c r="B19" i="66"/>
  <c r="B28" i="31"/>
  <c r="B29" i="31"/>
  <c r="B30" i="31"/>
  <c r="B31" i="31"/>
  <c r="A28" i="31"/>
  <c r="A29" i="31"/>
  <c r="A30" i="31"/>
  <c r="A31" i="31"/>
  <c r="F5" i="31"/>
  <c r="E5" i="31"/>
  <c r="D5" i="31"/>
  <c r="C5" i="31"/>
  <c r="J6" i="68"/>
  <c r="J7" i="68"/>
  <c r="J8" i="68"/>
  <c r="J9" i="68"/>
  <c r="J10" i="68"/>
  <c r="J11" i="68"/>
  <c r="J12" i="68"/>
  <c r="J5" i="68"/>
  <c r="C13" i="3"/>
  <c r="E13" i="68"/>
  <c r="D13" i="68"/>
  <c r="B16" i="66"/>
  <c r="B17" i="66"/>
  <c r="B15" i="66"/>
  <c r="A3" i="3"/>
  <c r="I13" i="3"/>
  <c r="K13" i="3"/>
  <c r="F20" i="6"/>
  <c r="E20" i="6"/>
  <c r="K7" i="1"/>
  <c r="BB13" i="3"/>
  <c r="BC13" i="3"/>
  <c r="BA13" i="3"/>
  <c r="AZ13" i="3"/>
  <c r="AZ5" i="3"/>
  <c r="H13" i="3"/>
  <c r="G13" i="3"/>
  <c r="G5" i="3"/>
  <c r="B3" i="3"/>
  <c r="AY6" i="3"/>
  <c r="D3" i="6"/>
  <c r="E3" i="6"/>
  <c r="D20" i="6"/>
  <c r="F19" i="6"/>
  <c r="E19" i="6"/>
  <c r="BA5" i="3"/>
  <c r="E27" i="6"/>
  <c r="K20" i="6"/>
  <c r="L20" i="6"/>
  <c r="M20" i="6"/>
  <c r="I20" i="6"/>
  <c r="H20" i="6"/>
  <c r="R20" i="6"/>
  <c r="R7" i="1"/>
  <c r="M7" i="1"/>
  <c r="K14" i="1"/>
  <c r="M14" i="1"/>
  <c r="S7" i="1"/>
  <c r="K19" i="6"/>
  <c r="S6" i="1"/>
  <c r="S8" i="1"/>
  <c r="S9" i="1"/>
  <c r="S10" i="1"/>
  <c r="S11" i="1"/>
  <c r="S12" i="1"/>
  <c r="S13" i="1"/>
  <c r="S16" i="1"/>
  <c r="T7" i="1"/>
  <c r="C9"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BB5" i="3"/>
  <c r="E5" i="6"/>
  <c r="E6" i="6"/>
  <c r="Q16" i="1"/>
  <c r="D19" i="9"/>
  <c r="B3" i="12"/>
  <c r="D20" i="9"/>
  <c r="B26" i="31"/>
  <c r="B27" i="31"/>
  <c r="B25" i="31"/>
  <c r="C16" i="66"/>
  <c r="C17" i="66"/>
  <c r="C15" i="66"/>
  <c r="E12" i="68"/>
  <c r="I12" i="68"/>
  <c r="E11" i="68"/>
  <c r="I11" i="68"/>
  <c r="A27" i="31"/>
  <c r="A26" i="31"/>
  <c r="A25" i="31"/>
  <c r="B24" i="31"/>
  <c r="A24" i="31"/>
  <c r="D4" i="31"/>
  <c r="E4" i="31"/>
  <c r="F4" i="31"/>
  <c r="C4" i="31"/>
  <c r="C3" i="31"/>
  <c r="U7" i="1"/>
  <c r="W21" i="1"/>
  <c r="W20" i="1"/>
  <c r="I48" i="39"/>
  <c r="E48" i="39"/>
  <c r="I40" i="39"/>
  <c r="E40" i="39"/>
  <c r="C40" i="39"/>
  <c r="C12" i="39"/>
  <c r="I9" i="39"/>
  <c r="E9" i="39"/>
  <c r="I7" i="39"/>
  <c r="E7" i="39"/>
  <c r="O26" i="69"/>
  <c r="O11" i="69"/>
  <c r="G1" i="15"/>
  <c r="F33" i="15"/>
  <c r="AE8" i="1"/>
  <c r="M47" i="15"/>
  <c r="J50" i="15"/>
  <c r="J51" i="15"/>
  <c r="J57" i="15"/>
  <c r="J55" i="15"/>
  <c r="J58" i="15"/>
  <c r="J59" i="15"/>
  <c r="J36" i="15"/>
  <c r="L51" i="15"/>
  <c r="L57" i="15"/>
  <c r="L47" i="15"/>
  <c r="L58" i="15"/>
  <c r="L59" i="15"/>
  <c r="L60" i="15"/>
  <c r="B3" i="15"/>
  <c r="D8" i="12"/>
  <c r="N7" i="1"/>
  <c r="J7" i="1"/>
  <c r="A13" i="3"/>
  <c r="E9" i="68"/>
  <c r="E10" i="68"/>
  <c r="I10" i="68"/>
  <c r="I9" i="68"/>
  <c r="I8" i="68"/>
  <c r="E8" i="68"/>
  <c r="I7" i="68"/>
  <c r="E7" i="68"/>
  <c r="E6" i="68"/>
  <c r="E5" i="68"/>
  <c r="I6" i="68"/>
  <c r="I5"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C27"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6" i="1"/>
  <c r="W18" i="36"/>
  <c r="AC18" i="36"/>
  <c r="AG6" i="1"/>
  <c r="D12" i="11"/>
  <c r="C12" i="11"/>
  <c r="D16" i="43"/>
  <c r="C16" i="43"/>
  <c r="L19" i="6"/>
  <c r="L27" i="6"/>
  <c r="B21" i="55"/>
  <c r="B72" i="63"/>
  <c r="B20" i="55"/>
  <c r="B70" i="63"/>
  <c r="L38" i="9"/>
  <c r="B14" i="66"/>
  <c r="B1" i="66"/>
  <c r="F9" i="39"/>
  <c r="AA9" i="39"/>
  <c r="E11" i="6"/>
  <c r="E63" i="39"/>
  <c r="E12" i="6"/>
  <c r="E64" i="39"/>
  <c r="E13" i="6"/>
  <c r="E65" i="39"/>
  <c r="E14" i="6"/>
  <c r="E66" i="39"/>
  <c r="E15" i="6"/>
  <c r="E67" i="39"/>
  <c r="E68" i="39"/>
  <c r="C45" i="9"/>
  <c r="H14" i="66"/>
  <c r="B7" i="66"/>
  <c r="C7" i="66"/>
  <c r="R9" i="1"/>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1" i="6"/>
  <c r="D25" i="6"/>
  <c r="D10" i="6"/>
  <c r="D13" i="6"/>
  <c r="H21" i="6"/>
  <c r="H24" i="6"/>
  <c r="D6" i="6"/>
  <c r="D23" i="6"/>
  <c r="D14" i="6"/>
  <c r="D28" i="6"/>
  <c r="D8" i="6"/>
  <c r="H23" i="6"/>
  <c r="E45" i="9"/>
  <c r="F45" i="9"/>
  <c r="K38" i="9"/>
  <c r="C14" i="66"/>
  <c r="B2" i="66"/>
  <c r="D24" i="6"/>
  <c r="D26" i="6"/>
  <c r="H26" i="6"/>
  <c r="R26" i="6"/>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J9" i="39"/>
  <c r="N65" i="40"/>
  <c r="N67" i="40"/>
  <c r="M67" i="40"/>
  <c r="F9" i="40"/>
  <c r="AA7" i="37"/>
  <c r="R42" i="37"/>
  <c r="S7" i="37"/>
  <c r="E43" i="35"/>
  <c r="F43" i="35"/>
  <c r="E42" i="35"/>
  <c r="F42" i="35"/>
  <c r="I43" i="35"/>
  <c r="J43" i="35"/>
  <c r="C39" i="35"/>
  <c r="B3" i="35"/>
  <c r="B2" i="35"/>
  <c r="C38" i="35"/>
  <c r="H7" i="37"/>
  <c r="J7" i="37"/>
  <c r="AA9" i="40"/>
  <c r="R44" i="40"/>
  <c r="S9" i="40"/>
  <c r="AC9" i="39"/>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F10" i="67"/>
  <c r="F8" i="67"/>
  <c r="F37" i="44"/>
  <c r="F13" i="67"/>
  <c r="F46" i="44"/>
  <c r="F18" i="44"/>
  <c r="F9" i="67"/>
  <c r="E12" i="67"/>
  <c r="F40" i="44"/>
  <c r="M23" i="44"/>
  <c r="F11" i="67"/>
  <c r="M10" i="44"/>
  <c r="F9" i="44"/>
  <c r="E14" i="67"/>
  <c r="E8" i="67"/>
  <c r="F38" i="44"/>
  <c r="E11" i="67"/>
  <c r="N7" i="65"/>
  <c r="E10" i="67"/>
  <c r="E9" i="67"/>
  <c r="N6" i="65"/>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Q51" i="15"/>
  <c r="I54" i="15"/>
  <c r="L56" i="15"/>
  <c r="F49" i="15"/>
  <c r="J20" i="15"/>
  <c r="L44" i="9"/>
  <c r="Q73" i="44"/>
  <c r="F65" i="15"/>
  <c r="J54" i="44"/>
  <c r="J58" i="44"/>
  <c r="J56" i="44"/>
  <c r="J59" i="44"/>
  <c r="Q52" i="44"/>
  <c r="L57" i="44"/>
  <c r="J60" i="44"/>
  <c r="I55" i="44"/>
  <c r="J61" i="44"/>
  <c r="Q50" i="44"/>
  <c r="F62" i="15"/>
  <c r="C61" i="15"/>
  <c r="C29" i="44"/>
  <c r="F67" i="15"/>
  <c r="F50" i="15"/>
  <c r="I1" i="65"/>
  <c r="E20" i="46"/>
  <c r="C8" i="44"/>
  <c r="F70" i="15"/>
  <c r="Q72" i="15"/>
  <c r="M9" i="44"/>
  <c r="F68" i="15"/>
  <c r="J22" i="44"/>
  <c r="C36" i="44"/>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G16" i="1"/>
  <c r="F12" i="39"/>
  <c r="AA12" i="39"/>
  <c r="H12" i="39"/>
  <c r="AB12" i="39"/>
  <c r="J12" i="39"/>
  <c r="AC12" i="39"/>
  <c r="C19" i="9"/>
  <c r="G19" i="9"/>
  <c r="C32" i="9"/>
  <c r="C42" i="9"/>
  <c r="C44" i="9"/>
  <c r="N69" i="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D14" i="66"/>
  <c r="R25" i="31"/>
  <c r="S25" i="31"/>
  <c r="D15" i="66"/>
  <c r="R26" i="31"/>
  <c r="S26" i="31"/>
  <c r="D16" i="66"/>
  <c r="R27" i="31"/>
  <c r="S27" i="31"/>
  <c r="D17" i="66"/>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G22" i="9"/>
  <c r="N43" i="9"/>
  <c r="L43" i="9"/>
  <c r="D22" i="9"/>
  <c r="B5" i="39"/>
  <c r="C49" i="39"/>
  <c r="E49" i="39"/>
  <c r="G49" i="39"/>
  <c r="E54" i="39"/>
  <c r="F54" i="39"/>
  <c r="E53" i="39"/>
  <c r="F53" i="39"/>
  <c r="I49" i="39"/>
  <c r="I54" i="39"/>
  <c r="J54" i="39"/>
  <c r="I53" i="39"/>
  <c r="J53" i="39"/>
  <c r="G53" i="39"/>
  <c r="H53" i="39"/>
  <c r="G54" i="39"/>
  <c r="H54" i="39"/>
  <c r="G14" i="66"/>
  <c r="B6" i="66"/>
  <c r="D6" i="66"/>
  <c r="U12" i="39"/>
  <c r="H12" i="40"/>
  <c r="U12" i="40"/>
  <c r="AB12" i="40"/>
  <c r="W12" i="39"/>
  <c r="J12" i="40"/>
  <c r="AC12" i="40"/>
  <c r="W12" i="40"/>
  <c r="S12" i="39"/>
  <c r="F12" i="40"/>
  <c r="S12" i="40"/>
  <c r="AA12" i="40"/>
  <c r="E44" i="9"/>
  <c r="F44" i="9"/>
  <c r="C6" i="66"/>
  <c r="M83" i="9"/>
  <c r="N83" i="9"/>
  <c r="M84" i="9"/>
  <c r="N84" i="9"/>
  <c r="M85" i="9"/>
  <c r="N85" i="9"/>
  <c r="M86" i="9"/>
  <c r="N86" i="9"/>
  <c r="M87" i="9"/>
  <c r="N87" i="9"/>
  <c r="M88" i="9"/>
  <c r="N88" i="9"/>
  <c r="N89" i="9"/>
  <c r="O89" i="9"/>
  <c r="O39" i="9"/>
  <c r="R6" i="54"/>
  <c r="B50" i="63"/>
  <c r="K29" i="9"/>
  <c r="K30" i="9"/>
  <c r="D44" i="9"/>
  <c r="S24" i="31"/>
  <c r="S22" i="31"/>
  <c r="R22" i="31"/>
  <c r="B21" i="31"/>
  <c r="B20" i="31"/>
  <c r="F17" i="66"/>
  <c r="E17" i="66"/>
  <c r="F16" i="66"/>
  <c r="E16" i="66"/>
  <c r="F15" i="66"/>
  <c r="E15" i="66"/>
  <c r="B3" i="39"/>
  <c r="C20" i="9"/>
  <c r="G2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<sst xmlns="http://schemas.openxmlformats.org/spreadsheetml/2006/main" count="7322" uniqueCount="3169">
  <si>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</si>
  <si>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</si>
  <si>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</si>
  <si>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</si>
  <si>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</si>
  <si>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</si>
  <si>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</si>
  <si>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</si>
  <si>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</si>
  <si>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</si>
  <si>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</si>
  <si>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</si>
  <si>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</si>
  <si>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</si>
  <si>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</si>
  <si>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</si>
  <si>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</si>
  <si>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</si>
  <si>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</si>
  <si>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</si>
  <si>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</si>
  <si>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</si>
  <si>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</si>
  <si>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</si>
  <si>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</si>
  <si>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</si>
  <si>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</si>
  <si>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</si>
  <si>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</si>
  <si>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</si>
  <si>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</si>
  <si>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</si>
  <si>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</si>
  <si>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</si>
  <si>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</si>
  <si>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</si>
  <si>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</si>
  <si>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</si>
  <si>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</si>
  <si>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</si>
  <si>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</si>
  <si>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</si>
  <si>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</si>
  <si>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</si>
  <si>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</si>
  <si>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</si>
  <si>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</si>
  <si>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</si>
  <si>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</si>
  <si>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</si>
  <si>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</si>
  <si>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</si>
  <si>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</si>
  <si>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</si>
  <si>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</si>
  <si>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</si>
  <si>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</si>
  <si>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</si>
  <si>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</si>
  <si>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</si>
  <si>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</si>
  <si>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</si>
  <si>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</si>
  <si>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</si>
  <si>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</si>
  <si>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</si>
  <si>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</si>
  <si>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</si>
  <si>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</si>
  <si>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</si>
  <si>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</si>
  <si>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</si>
  <si>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</si>
  <si>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</si>
  <si>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</si>
  <si>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</si>
  <si>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</si>
  <si>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</si>
  <si>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</si>
  <si>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</si>
  <si>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</si>
  <si>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</si>
  <si>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</si>
  <si>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</si>
  <si>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</si>
  <si>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</si>
  <si>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</si>
  <si>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</si>
  <si>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</si>
  <si>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</si>
  <si>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</si>
  <si>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</si>
  <si>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</si>
  <si>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</si>
  <si>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</si>
  <si>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</si>
  <si>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</si>
  <si>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</si>
  <si>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</si>
  <si>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</si>
  <si>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</si>
  <si>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</si>
  <si>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</si>
  <si>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</si>
  <si>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</si>
  <si>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</si>
  <si>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</si>
  <si>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</si>
  <si>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</si>
  <si>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</si>
  <si>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</si>
  <si>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</si>
  <si>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</si>
  <si>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</si>
  <si>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</si>
  <si>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</si>
  <si>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</si>
  <si>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</si>
  <si>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</si>
  <si>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</si>
  <si>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</si>
  <si>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</si>
  <si>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</si>
  <si>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</si>
  <si>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</si>
  <si>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</si>
  <si>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</si>
  <si>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</si>
  <si>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</si>
  <si>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</si>
  <si>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</si>
  <si>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</si>
  <si>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</si>
  <si>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</si>
  <si>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</si>
  <si>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</si>
  <si>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</si>
  <si>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</si>
  <si>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</si>
  <si>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</si>
  <si>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</si>
  <si>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</si>
  <si>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</si>
  <si>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</si>
  <si>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</si>
  <si>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</si>
  <si>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</si>
  <si>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</si>
  <si>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</si>
  <si>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</si>
  <si>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</si>
  <si>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</si>
  <si>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</si>
  <si>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</si>
  <si>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</si>
  <si>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</si>
  <si>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</si>
  <si>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</si>
  <si>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</si>
  <si>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</si>
  <si>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</si>
  <si>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</si>
  <si>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</si>
  <si>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</si>
  <si>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</si>
  <si>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</si>
  <si>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</si>
  <si>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</si>
  <si>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</si>
  <si>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</si>
  <si>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</si>
  <si>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</si>
  <si>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</si>
  <si>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</si>
  <si>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</si>
  <si>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</si>
  <si>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</si>
  <si>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</si>
  <si>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</si>
  <si>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</si>
  <si>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</si>
  <si>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</si>
  <si>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</si>
  <si>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</si>
  <si>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</si>
  <si>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</si>
  <si>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</si>
  <si>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</si>
  <si>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</si>
  <si>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</si>
  <si>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</si>
  <si>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</si>
  <si>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</si>
  <si>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</si>
  <si>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</si>
  <si>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</si>
  <si>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</si>
  <si>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</si>
  <si>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</si>
  <si>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</si>
  <si>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</si>
  <si>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</si>
  <si>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</si>
  <si>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</si>
  <si>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</si>
  <si>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</si>
  <si>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</si>
  <si>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</si>
  <si>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</si>
  <si>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</si>
  <si>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</si>
  <si>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</si>
  <si>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</si>
  <si>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</si>
  <si>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</si>
  <si>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</si>
  <si>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</si>
  <si>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</si>
  <si>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</si>
  <si>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</si>
  <si>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</si>
  <si>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</si>
  <si>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</si>
  <si>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</si>
  <si>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</si>
  <si>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</si>
  <si>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</si>
  <si>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</si>
  <si>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</si>
  <si>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</si>
  <si>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</si>
  <si>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</si>
  <si>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</si>
  <si>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</si>
  <si>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</si>
  <si>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</si>
  <si>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</si>
  <si>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</si>
  <si>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</si>
  <si>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</si>
  <si>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</si>
  <si>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</si>
  <si>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</si>
  <si>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</si>
  <si>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</si>
  <si>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</si>
  <si>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</si>
  <si>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</si>
  <si>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</si>
  <si>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</si>
  <si>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</si>
  <si>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</si>
  <si>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</si>
  <si>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</si>
  <si>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</si>
  <si>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</si>
  <si>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</si>
  <si>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</si>
  <si>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</si>
  <si>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</si>
  <si>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</si>
  <si>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</si>
  <si>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</si>
  <si>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</si>
  <si>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</si>
  <si>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</si>
  <si>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</si>
  <si>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</si>
  <si>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</si>
  <si>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</si>
  <si>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</si>
  <si>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</si>
  <si>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</si>
  <si>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</si>
  <si>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</si>
  <si>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</si>
  <si>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</si>
  <si>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</si>
  <si>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</si>
  <si>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</si>
  <si>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</si>
  <si>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</si>
  <si>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</si>
  <si>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</si>
  <si>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</si>
  <si>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</si>
  <si>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</si>
  <si>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</si>
  <si>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</si>
  <si>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</si>
  <si>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</si>
  <si>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</si>
  <si>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</si>
  <si>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</si>
  <si>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</si>
  <si>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</si>
  <si>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</si>
  <si>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</si>
  <si>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</si>
  <si>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</si>
  <si>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</si>
  <si>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</si>
  <si>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</si>
  <si>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</si>
  <si>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</si>
  <si>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</si>
  <si>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</si>
  <si>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</si>
  <si>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</si>
  <si>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</si>
  <si>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</si>
  <si>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</si>
  <si>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</si>
  <si>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</si>
  <si>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</si>
  <si>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</si>
  <si>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</si>
  <si>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</si>
  <si>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</si>
  <si>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</si>
  <si>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</si>
  <si>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</si>
  <si>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</si>
  <si>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</si>
  <si>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</si>
  <si>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</si>
  <si>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</si>
  <si>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</si>
  <si>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</si>
  <si>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</si>
  <si>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</si>
  <si>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</si>
  <si>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</si>
  <si>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</si>
  <si>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</si>
  <si>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</si>
  <si>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</si>
  <si>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</si>
  <si>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</si>
  <si>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</si>
  <si>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</si>
  <si>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</si>
  <si>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</si>
  <si>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</si>
  <si>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</si>
  <si>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</si>
  <si>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</si>
  <si>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</si>
  <si>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</si>
  <si>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</si>
  <si>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</si>
  <si>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</si>
  <si>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</si>
  <si>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</si>
  <si>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</si>
  <si>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</si>
  <si>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</si>
  <si>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</si>
  <si>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</si>
  <si>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</si>
  <si>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</si>
  <si>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</si>
  <si>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</si>
  <si>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</si>
  <si>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</si>
  <si>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</si>
  <si>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</si>
  <si>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</si>
  <si>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</si>
  <si>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</si>
  <si>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</si>
  <si>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</si>
  <si>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</si>
  <si>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</si>
  <si>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</si>
  <si>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</si>
  <si>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</si>
  <si>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</si>
  <si>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</si>
  <si>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</si>
  <si>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</si>
  <si>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</si>
  <si>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</si>
  <si>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</si>
  <si>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</si>
  <si>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</si>
  <si>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</si>
  <si>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</si>
  <si>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</si>
  <si>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</si>
  <si>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</si>
  <si>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</si>
  <si>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</si>
  <si>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</si>
  <si>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</si>
  <si>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</si>
  <si>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</si>
  <si>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</si>
  <si>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</si>
  <si>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</si>
  <si>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</si>
  <si>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</si>
  <si>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</si>
  <si>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</si>
  <si>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</si>
  <si>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</si>
  <si>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</si>
  <si>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</si>
  <si>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</si>
  <si>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</si>
  <si>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</si>
  <si>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</si>
  <si>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</si>
  <si>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</si>
  <si>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</si>
  <si>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</si>
  <si>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</si>
  <si>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</si>
  <si>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</si>
  <si>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</si>
  <si>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</si>
  <si>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</si>
  <si>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</si>
  <si>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</si>
  <si>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</si>
  <si>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</si>
  <si>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</si>
  <si>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</si>
  <si>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</si>
  <si>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</si>
  <si>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</si>
  <si>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</si>
  <si>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</si>
  <si>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</si>
  <si>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</si>
  <si>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</si>
  <si>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</si>
  <si>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</si>
  <si>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</si>
  <si>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</si>
  <si>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</si>
  <si>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</si>
  <si>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</si>
  <si>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</si>
  <si>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</si>
  <si>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</si>
  <si>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</si>
  <si>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</si>
  <si>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</si>
  <si>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</si>
  <si>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</si>
  <si>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</si>
  <si>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</si>
  <si>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</si>
  <si>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</si>
  <si>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</si>
  <si>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</si>
  <si>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</si>
  <si>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</si>
  <si>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</si>
  <si>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</si>
  <si>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</si>
  <si>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</si>
  <si>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</si>
  <si>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</si>
  <si>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</si>
  <si>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</si>
  <si>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</si>
  <si>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</si>
  <si>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</si>
  <si>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</si>
  <si>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</si>
  <si>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</si>
  <si>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</si>
  <si>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</si>
  <si>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</si>
  <si>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</si>
  <si>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</si>
  <si>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</si>
  <si>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</si>
  <si>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</si>
  <si>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</si>
  <si>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</si>
  <si>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</si>
  <si>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</si>
  <si>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</si>
  <si>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</si>
  <si>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</si>
  <si>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</si>
  <si>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</si>
  <si>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</si>
  <si>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</si>
  <si>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</si>
  <si>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</si>
  <si>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</si>
  <si>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</si>
  <si>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</si>
  <si>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</si>
  <si>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</si>
  <si>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</si>
  <si>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</si>
  <si>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</si>
  <si>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</si>
  <si>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</si>
  <si>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</si>
  <si>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</si>
  <si>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</si>
  <si>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</si>
  <si>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</si>
  <si>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</si>
  <si>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</si>
  <si>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</si>
  <si>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</si>
  <si>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</si>
  <si>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</si>
  <si>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</si>
  <si>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</si>
  <si>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</si>
  <si>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</si>
  <si>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</si>
  <si>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</si>
  <si>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</si>
  <si>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</si>
  <si>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</si>
  <si>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</si>
  <si>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</si>
  <si>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</si>
  <si>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</si>
  <si>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</si>
  <si>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</si>
  <si>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</si>
  <si>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</si>
  <si>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</si>
  <si>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</si>
  <si>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</si>
  <si>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</si>
  <si>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</si>
  <si>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</si>
  <si>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</si>
  <si>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</si>
  <si>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</si>
  <si>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</si>
  <si>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</si>
  <si>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</si>
  <si>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</si>
  <si>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</si>
  <si>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</si>
  <si>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</si>
  <si>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</si>
  <si>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</si>
  <si>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</si>
  <si>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</si>
  <si>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</si>
  <si>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</si>
  <si>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</si>
  <si>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</si>
  <si>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</si>
  <si>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</si>
  <si>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</si>
  <si>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</si>
  <si>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</si>
  <si>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</si>
  <si>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</si>
  <si>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</si>
  <si>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</si>
  <si>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</si>
  <si>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</si>
  <si>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</si>
  <si>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</si>
  <si>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</si>
  <si>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</si>
  <si>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</si>
  <si>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</si>
  <si>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</si>
  <si>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</si>
  <si>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</si>
  <si>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</si>
  <si>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</si>
  <si>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</si>
  <si>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</si>
  <si>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</si>
  <si>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</si>
  <si>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</si>
  <si>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</si>
  <si>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</si>
  <si>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</si>
  <si>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</si>
  <si>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</si>
  <si>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</si>
  <si>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</si>
  <si>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</si>
  <si>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</si>
  <si>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</si>
  <si>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</si>
  <si>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</si>
  <si>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</si>
  <si>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</si>
  <si>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</si>
  <si>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</si>
  <si>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</si>
  <si>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</si>
  <si>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</si>
  <si>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</si>
  <si>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</si>
  <si>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</si>
  <si>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</si>
  <si>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</si>
  <si>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</si>
  <si>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</si>
  <si>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</si>
  <si>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</si>
  <si>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</si>
  <si>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</si>
  <si>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</si>
  <si>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</si>
  <si>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</si>
  <si>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</si>
  <si>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</si>
  <si>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</si>
  <si>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</si>
  <si>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</si>
  <si>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</si>
  <si>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</si>
  <si>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</si>
  <si>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</si>
  <si>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</si>
  <si>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</si>
  <si>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</si>
  <si>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</si>
  <si>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</si>
  <si>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</si>
  <si>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</si>
  <si>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</si>
  <si>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</si>
  <si>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</si>
  <si>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</si>
  <si>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</si>
  <si>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</si>
  <si>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</si>
  <si>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</si>
  <si>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</si>
  <si>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</si>
  <si>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</si>
  <si>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</si>
  <si>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</si>
  <si>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</si>
  <si>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</si>
  <si>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</si>
  <si>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</si>
  <si>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</si>
  <si>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</si>
  <si>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</si>
  <si>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</si>
  <si>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</si>
  <si>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</si>
  <si>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</si>
  <si>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</si>
  <si>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</si>
  <si>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</si>
  <si>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</si>
  <si>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</si>
  <si>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</si>
  <si>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</si>
  <si>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</si>
  <si>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</si>
  <si>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</si>
  <si>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</si>
  <si>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</si>
  <si>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</si>
  <si>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</si>
  <si>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</si>
  <si>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</si>
  <si>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</si>
  <si>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</si>
  <si>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</si>
  <si>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</si>
  <si>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</si>
  <si>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</si>
  <si>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</si>
  <si>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</si>
  <si>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</si>
  <si>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</si>
  <si>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</si>
  <si>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</si>
  <si>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</si>
  <si>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</si>
  <si>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</si>
  <si>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</si>
  <si>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</si>
  <si>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</si>
  <si>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</si>
  <si>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</si>
  <si>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</si>
  <si>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</si>
  <si>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</si>
  <si>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</si>
  <si>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</si>
  <si>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</si>
  <si>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</si>
  <si>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</si>
  <si>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</si>
  <si>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</si>
  <si>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</si>
  <si>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</si>
  <si>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</si>
  <si>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</si>
  <si>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</si>
  <si>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</si>
  <si>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</si>
  <si>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</si>
  <si>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</si>
  <si>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</si>
  <si>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</si>
  <si>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</si>
  <si>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</si>
  <si>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</si>
  <si>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</si>
  <si>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</si>
  <si>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</si>
  <si>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</si>
  <si>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</si>
  <si>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</si>
  <si>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</si>
  <si>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</si>
  <si>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</si>
  <si>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</si>
  <si>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</si>
  <si>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</si>
  <si>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</si>
  <si>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</si>
  <si>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</si>
  <si>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</si>
  <si>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</si>
  <si>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</si>
  <si>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</si>
  <si>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</si>
  <si>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</si>
  <si>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</si>
  <si>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</si>
  <si>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</si>
  <si>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</si>
  <si>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</si>
  <si>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</si>
  <si>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</si>
  <si>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</si>
  <si>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</si>
  <si>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</si>
  <si>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</si>
  <si>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</si>
  <si>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</si>
  <si>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</si>
  <si>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</si>
  <si>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</si>
  <si>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</si>
  <si>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</si>
  <si>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</si>
  <si>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</si>
  <si>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</si>
  <si>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</si>
  <si>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</si>
  <si>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</si>
  <si>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</si>
  <si>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</si>
  <si>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</si>
  <si>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</si>
  <si>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</si>
  <si>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</si>
  <si>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</si>
  <si>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</si>
  <si>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</si>
  <si>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</si>
  <si>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</si>
  <si>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</si>
  <si>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</si>
  <si>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</si>
  <si>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</si>
  <si>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</si>
  <si>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</si>
  <si>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</si>
  <si>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</si>
  <si>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</si>
  <si>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</si>
  <si>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</si>
  <si>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</si>
  <si>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</si>
  <si>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</si>
  <si>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</si>
  <si>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</si>
  <si>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</si>
  <si>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</si>
  <si>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</si>
  <si>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</si>
  <si>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</si>
  <si>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</si>
  <si>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</si>
  <si>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</si>
  <si>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</si>
  <si>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</si>
  <si>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</si>
  <si>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</si>
  <si>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</si>
  <si>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</si>
  <si>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</si>
  <si>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</si>
  <si>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</si>
  <si>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</si>
  <si>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</si>
  <si>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</si>
  <si>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</si>
  <si>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</si>
  <si>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</si>
  <si>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</si>
  <si>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</si>
  <si>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</si>
  <si>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</si>
  <si>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</si>
  <si>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</si>
  <si>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</si>
  <si>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</si>
  <si>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</si>
  <si>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</si>
  <si>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</si>
  <si>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</si>
  <si>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</si>
  <si>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</si>
  <si>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</si>
  <si>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</si>
  <si>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</si>
  <si>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</si>
  <si>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</si>
  <si>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</si>
  <si>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</si>
  <si>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</si>
  <si>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</si>
  <si>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</si>
  <si>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</si>
  <si>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</si>
  <si>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</si>
  <si>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</si>
  <si>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</si>
  <si>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</si>
  <si>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</si>
  <si>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</si>
  <si>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</si>
  <si>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</si>
  <si>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</si>
  <si>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</si>
  <si>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</si>
  <si>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</si>
  <si>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</si>
  <si>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</si>
  <si>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</si>
  <si>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</si>
  <si>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</si>
  <si>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</si>
  <si>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</si>
  <si>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</si>
  <si>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</si>
  <si>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</si>
  <si>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</si>
  <si>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</si>
  <si>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</si>
  <si>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</si>
  <si>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</si>
  <si>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</si>
  <si>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</si>
  <si>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</si>
  <si>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</si>
  <si>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</si>
  <si>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</si>
  <si>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</si>
  <si>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</si>
  <si>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</si>
  <si>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</si>
  <si>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</si>
  <si>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</si>
  <si>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</si>
  <si>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</si>
  <si>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</si>
  <si>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</si>
  <si>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</si>
  <si>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</si>
  <si>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</si>
  <si>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</si>
  <si>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</si>
  <si>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</si>
  <si>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</si>
  <si>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</si>
  <si>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</si>
  <si>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</si>
  <si>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</si>
  <si>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</si>
  <si>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</si>
  <si>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</si>
  <si>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</si>
  <si>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</si>
  <si>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</si>
  <si>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</si>
  <si>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</si>
  <si>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</si>
  <si>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</si>
  <si>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</si>
  <si>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</si>
  <si>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</si>
  <si>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</si>
  <si>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</si>
  <si>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</si>
  <si>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</si>
  <si>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</si>
  <si>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</si>
  <si>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</si>
  <si>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</si>
  <si>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</si>
  <si>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</si>
  <si>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</si>
  <si>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</si>
  <si>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</si>
  <si>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</si>
  <si>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</si>
  <si>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</si>
  <si>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</si>
  <si>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</si>
  <si>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</si>
  <si>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</si>
  <si>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</si>
  <si>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</si>
  <si>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</si>
  <si>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</si>
  <si>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</si>
  <si>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</si>
  <si>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</si>
  <si>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</si>
  <si>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</si>
  <si>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</si>
  <si>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</si>
  <si>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</si>
  <si>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</si>
  <si>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</si>
  <si>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</si>
  <si>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</si>
  <si>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</si>
  <si>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</si>
  <si>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</si>
  <si>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</si>
  <si>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</si>
  <si>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</si>
  <si>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</si>
  <si>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</si>
  <si>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</si>
  <si>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</si>
  <si>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</si>
  <si>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</si>
  <si>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</si>
  <si>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</si>
  <si>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</si>
  <si>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</si>
  <si>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</si>
  <si>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</si>
  <si>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</si>
  <si>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</si>
  <si>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</si>
  <si>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</si>
  <si>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</si>
  <si>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</si>
  <si>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</si>
  <si>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</si>
  <si>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</si>
  <si>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</si>
  <si>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</si>
  <si>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</si>
  <si>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</si>
  <si>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</si>
  <si>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</si>
  <si>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</si>
  <si>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</si>
  <si>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</si>
  <si>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</si>
  <si>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</si>
  <si>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</si>
  <si>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</si>
  <si>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</si>
  <si>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</si>
  <si>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</si>
  <si>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</si>
  <si>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</si>
  <si>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</si>
  <si>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</si>
  <si>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</si>
  <si>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</si>
  <si>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</si>
  <si>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</si>
  <si>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</si>
  <si>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</si>
  <si>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</si>
  <si>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</si>
  <si>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</si>
  <si>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</si>
  <si>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</si>
  <si>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</si>
  <si>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</si>
  <si>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</si>
  <si>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</si>
  <si>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</si>
  <si>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</si>
  <si>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</si>
  <si>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</si>
  <si>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</si>
  <si>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</si>
  <si>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</si>
  <si>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</si>
  <si>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</si>
  <si>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</si>
  <si>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</si>
  <si>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</si>
  <si>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</si>
  <si>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</si>
  <si>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</si>
  <si>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</si>
  <si>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</si>
  <si>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</si>
  <si>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</si>
  <si>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</si>
  <si>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</si>
  <si>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</si>
  <si>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</si>
  <si>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</si>
  <si>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</si>
  <si>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</si>
  <si>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</si>
  <si>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</si>
  <si>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</si>
  <si>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</si>
  <si>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</si>
  <si>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</si>
  <si>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</si>
  <si>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</si>
  <si>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</si>
  <si>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</si>
  <si>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</si>
  <si>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</si>
  <si>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</si>
  <si>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</si>
  <si>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</si>
  <si>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</si>
  <si>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</si>
  <si>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</si>
  <si>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</si>
  <si>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</si>
  <si>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</si>
  <si>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</si>
  <si>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</si>
  <si>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</si>
  <si>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</si>
  <si>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</si>
  <si>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</si>
  <si>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</si>
  <si>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</si>
  <si>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</si>
  <si>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</si>
  <si>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</si>
  <si>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</si>
  <si>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</si>
  <si>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</si>
  <si>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</si>
  <si>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</si>
  <si>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</si>
  <si>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</si>
  <si>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</si>
  <si>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</si>
  <si>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</si>
  <si>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</si>
  <si>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</si>
  <si>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</si>
  <si>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</si>
  <si>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</si>
  <si>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</si>
  <si>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</si>
  <si>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</si>
  <si>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</si>
  <si>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</si>
  <si>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</si>
  <si>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</si>
  <si>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</si>
  <si>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</si>
  <si>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</si>
  <si>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</si>
  <si>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</si>
  <si>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</si>
  <si>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</si>
  <si>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</si>
  <si>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</si>
  <si>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</si>
  <si>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</si>
  <si>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</si>
  <si>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</si>
  <si>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</si>
  <si>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</si>
  <si>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</si>
  <si>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</si>
  <si>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</si>
  <si>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</si>
  <si>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</si>
  <si>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</si>
  <si>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</si>
  <si>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</si>
  <si>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</si>
  <si>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</si>
  <si>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</si>
  <si>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</si>
  <si>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</si>
  <si>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</si>
  <si>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</si>
  <si>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</si>
  <si>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</si>
  <si>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</si>
  <si>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</si>
  <si>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</si>
  <si>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</si>
  <si>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</si>
  <si>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</si>
  <si>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</si>
  <si>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</si>
  <si>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</si>
  <si>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</si>
  <si>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</si>
  <si>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</si>
  <si>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</si>
  <si>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</si>
  <si>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</si>
  <si>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</si>
  <si>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</si>
  <si>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</si>
  <si>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</si>
  <si>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</si>
  <si>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</si>
  <si>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</si>
  <si>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</si>
  <si>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</si>
  <si>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</si>
  <si>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</si>
  <si>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</si>
  <si>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</si>
  <si>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</si>
  <si>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</si>
  <si>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</si>
  <si>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</si>
  <si>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</si>
  <si>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</si>
  <si>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</si>
  <si>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</si>
  <si>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</si>
  <si>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</si>
  <si>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</si>
  <si>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</si>
  <si>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</si>
  <si>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</si>
  <si>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</si>
  <si>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</si>
  <si>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</si>
  <si>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</si>
  <si>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</si>
  <si>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</si>
  <si>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</si>
  <si>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</si>
  <si>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</si>
  <si>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</si>
  <si>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</si>
  <si>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</si>
  <si>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</si>
  <si>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</si>
  <si>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</si>
  <si>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</si>
  <si>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</si>
  <si>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</si>
  <si>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</si>
  <si>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</si>
  <si>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</si>
  <si>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</si>
  <si>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</si>
  <si>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</si>
  <si>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</si>
  <si>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</si>
  <si>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</si>
  <si>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</si>
  <si>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</si>
  <si>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</si>
  <si>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</si>
  <si>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</si>
  <si>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</si>
  <si>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</si>
  <si>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</si>
  <si>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</si>
  <si>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</si>
  <si>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</si>
  <si>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</si>
  <si>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</si>
  <si>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</si>
  <si>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</si>
  <si>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</si>
  <si>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</si>
  <si>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</si>
  <si>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</si>
  <si>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</si>
  <si>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</si>
  <si>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</si>
  <si>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</si>
  <si>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</si>
  <si>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</si>
  <si>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</si>
  <si>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</si>
  <si>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</si>
  <si>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</si>
  <si>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</si>
  <si>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</si>
  <si>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</si>
  <si>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</si>
  <si>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</si>
  <si>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</si>
  <si>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</si>
  <si>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</si>
  <si>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</si>
  <si>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</si>
  <si>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</si>
  <si>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</si>
  <si>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</si>
  <si>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</si>
  <si>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</si>
  <si>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</si>
  <si>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</si>
  <si>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</si>
  <si>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</si>
  <si>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</si>
  <si>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</si>
  <si>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</si>
  <si>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</si>
  <si>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</si>
  <si>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</si>
  <si>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</si>
  <si>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</si>
  <si>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</si>
  <si>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</si>
  <si>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</si>
  <si>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</si>
  <si>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</si>
  <si>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</si>
  <si>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</si>
  <si>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</si>
  <si>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</si>
  <si>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</si>
  <si>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</si>
  <si>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</si>
  <si>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</si>
  <si>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</si>
  <si>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</si>
  <si>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</si>
  <si>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</si>
  <si>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</si>
  <si>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</si>
  <si>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</si>
  <si>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</si>
  <si>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</si>
  <si>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</si>
  <si>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</si>
  <si>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</si>
  <si>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</si>
  <si>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</si>
  <si>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</si>
  <si>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</si>
  <si>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</si>
  <si>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</si>
  <si>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</si>
  <si>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</si>
  <si>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</si>
  <si>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</si>
  <si>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</si>
  <si>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</si>
  <si>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</si>
  <si>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</si>
  <si>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</si>
  <si>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</si>
  <si>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</si>
  <si>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</si>
  <si>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</si>
  <si>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</si>
  <si>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</si>
  <si>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</si>
  <si>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</si>
  <si>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</si>
  <si>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</si>
  <si>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</si>
  <si>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</si>
  <si>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</si>
  <si>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</si>
  <si>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</si>
  <si>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</si>
  <si>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</si>
  <si>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</si>
  <si>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</si>
  <si>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</si>
  <si>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</si>
  <si>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</si>
  <si>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</si>
  <si>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</si>
  <si>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</si>
  <si>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</si>
  <si>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</si>
  <si>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</si>
  <si>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</si>
  <si>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</si>
  <si>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</si>
  <si>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</si>
  <si>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</si>
  <si>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</si>
  <si>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</si>
  <si>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</si>
  <si>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</si>
  <si>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</si>
  <si>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</si>
  <si>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</si>
  <si>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</si>
  <si>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</si>
  <si>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</si>
  <si>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</si>
  <si>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</si>
  <si>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</si>
  <si>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</si>
  <si>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</si>
  <si>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</si>
  <si>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</si>
  <si>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</si>
  <si>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</si>
  <si>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</si>
  <si>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</si>
  <si>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</si>
  <si>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</si>
  <si>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</si>
  <si>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</si>
  <si>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</si>
  <si>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</si>
  <si>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</si>
  <si>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</si>
  <si>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</si>
  <si>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</si>
  <si>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</si>
  <si>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</si>
  <si>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</si>
  <si>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</si>
  <si>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</si>
  <si>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</si>
  <si>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</si>
  <si>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</si>
  <si>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</si>
  <si>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</si>
  <si>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</si>
  <si>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</si>
  <si>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</si>
  <si>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</si>
  <si>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</si>
  <si>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</si>
  <si>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</si>
  <si>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</si>
  <si>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</si>
  <si>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</si>
  <si>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</si>
  <si>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</si>
  <si>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</si>
  <si>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</si>
  <si>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</si>
  <si>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</si>
  <si>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</si>
  <si>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</si>
  <si>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</si>
  <si>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</si>
  <si>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</si>
  <si>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</si>
  <si>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</si>
  <si>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</si>
  <si>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</si>
  <si>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</si>
  <si>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</si>
  <si>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</si>
  <si>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</si>
  <si>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</si>
  <si>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</si>
  <si>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</si>
  <si>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</si>
  <si>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</si>
  <si>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</si>
  <si>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</si>
  <si>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</si>
  <si>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</si>
  <si>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</si>
  <si>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</si>
  <si>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</si>
  <si>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</si>
  <si>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</si>
  <si>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</si>
  <si>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</si>
  <si>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</si>
  <si>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</si>
  <si>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</si>
  <si>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</si>
  <si>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</si>
  <si>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</si>
  <si>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</si>
  <si>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</si>
  <si>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</si>
  <si>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</si>
  <si>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</si>
  <si>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</si>
  <si>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</si>
  <si>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</si>
  <si>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</si>
  <si>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</si>
  <si>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</si>
  <si>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</si>
  <si>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</si>
  <si>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</si>
  <si>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</si>
  <si>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</si>
  <si>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</si>
  <si>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</si>
  <si>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</si>
  <si>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</si>
  <si>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</si>
  <si>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</si>
  <si>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</si>
  <si>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</si>
  <si>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</si>
  <si>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</si>
  <si>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</si>
  <si>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</si>
  <si>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</si>
  <si>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</si>
  <si>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</si>
  <si>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</si>
  <si>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</si>
  <si>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</si>
  <si>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</si>
  <si>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</si>
  <si>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</si>
  <si>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</si>
  <si>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</si>
  <si>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</si>
  <si>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</si>
  <si>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</si>
  <si>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</si>
  <si>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</si>
  <si>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</si>
  <si>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</si>
  <si>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</si>
  <si>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</si>
  <si>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</si>
  <si>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</si>
  <si>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</si>
  <si>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</si>
  <si>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</si>
  <si>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</si>
  <si>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</si>
  <si>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</si>
  <si>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</si>
  <si>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</si>
  <si>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</si>
  <si>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</si>
  <si>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</si>
  <si>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</si>
  <si>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</si>
  <si>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</si>
  <si>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</si>
  <si>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</si>
  <si>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</si>
  <si>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</si>
  <si>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</si>
  <si>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</si>
  <si>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</si>
  <si>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</si>
  <si>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</si>
  <si>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</si>
  <si>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</si>
  <si>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</si>
  <si>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</si>
  <si>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</si>
  <si>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</si>
  <si>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</si>
  <si>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</si>
  <si>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</si>
  <si>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</si>
  <si>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</si>
  <si>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</si>
  <si>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</si>
  <si>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</si>
  <si>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</si>
  <si>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</si>
  <si>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</si>
  <si>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</si>
  <si>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</si>
  <si>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</si>
  <si>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</si>
  <si>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</si>
  <si>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</si>
  <si>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</si>
  <si>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</si>
  <si>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</si>
  <si>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</si>
  <si>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</si>
  <si>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</si>
  <si>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</si>
  <si>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</si>
  <si>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</si>
  <si>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</si>
  <si>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</si>
  <si>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</si>
  <si>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</si>
  <si>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</si>
  <si>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</si>
  <si>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</si>
  <si>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</si>
  <si>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</si>
  <si>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</si>
  <si>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</si>
  <si>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</si>
  <si>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</si>
  <si>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</si>
  <si>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</si>
  <si>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</si>
  <si>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</si>
  <si>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</si>
  <si>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</si>
  <si>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</si>
  <si>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</si>
  <si>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</si>
  <si>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</si>
  <si>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</si>
  <si>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</si>
  <si>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</si>
  <si>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</si>
  <si>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</si>
  <si>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</si>
  <si>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</si>
  <si>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</si>
  <si>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</si>
  <si>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</si>
  <si>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</si>
  <si>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</si>
  <si>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</si>
  <si>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</si>
  <si>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</si>
  <si>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</si>
  <si>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</si>
  <si>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</si>
  <si>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</si>
  <si>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</si>
  <si>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</si>
  <si>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</si>
  <si>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</si>
  <si>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</si>
  <si>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</si>
  <si>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</si>
  <si>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</si>
  <si>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</si>
  <si>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</si>
  <si>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</si>
  <si>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</si>
  <si>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</si>
  <si>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</si>
  <si>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</si>
  <si>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</si>
  <si>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</si>
  <si>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</si>
  <si>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</si>
  <si>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</si>
  <si>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</si>
  <si>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</si>
  <si>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</si>
  <si>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</si>
  <si>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</si>
  <si>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</si>
  <si>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</si>
  <si>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</si>
  <si>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</si>
  <si>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</si>
  <si>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</si>
  <si>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</si>
  <si>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</si>
  <si>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</si>
  <si>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</si>
  <si>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</si>
  <si>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</si>
  <si>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</si>
  <si>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</si>
  <si>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</si>
  <si>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</si>
  <si>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</si>
  <si>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</si>
  <si>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</si>
  <si>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</si>
  <si>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</si>
  <si>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</si>
  <si>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</si>
  <si>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</si>
  <si>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</si>
  <si>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</si>
  <si>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</si>
  <si>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</si>
  <si>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</si>
  <si>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</si>
  <si>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</si>
  <si>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</si>
  <si>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</si>
  <si>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</si>
  <si>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</si>
  <si>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</si>
  <si>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</si>
  <si>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</si>
  <si>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</si>
  <si>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</si>
  <si>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</si>
  <si>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</si>
  <si>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</si>
  <si>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</si>
  <si>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</si>
  <si>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</si>
  <si>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</si>
  <si>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</si>
  <si>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</si>
  <si>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</si>
  <si>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</si>
  <si>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</si>
  <si>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</si>
  <si>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</si>
  <si>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</si>
  <si>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</si>
  <si>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</si>
  <si>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</si>
  <si>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</si>
  <si>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</si>
  <si>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</si>
  <si>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</si>
  <si>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</si>
  <si>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</si>
  <si>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</si>
  <si>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</si>
  <si>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</si>
  <si>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</si>
  <si>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</si>
  <si>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</si>
  <si>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</si>
  <si>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</si>
  <si>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</si>
  <si>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</si>
  <si>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</si>
  <si>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</si>
  <si>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</si>
  <si>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</si>
  <si>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</si>
  <si>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</si>
  <si>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</si>
  <si>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</si>
  <si>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</si>
  <si>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</si>
  <si>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</si>
  <si>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</si>
  <si>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</si>
  <si>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</si>
  <si>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</si>
  <si>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</si>
  <si>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</si>
  <si>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</si>
  <si>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</si>
  <si>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</si>
  <si>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</si>
  <si>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</si>
  <si>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</si>
  <si>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</si>
  <si>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</si>
  <si>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</si>
  <si>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</si>
  <si>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</si>
  <si>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</si>
  <si>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</si>
  <si>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</si>
  <si>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</si>
  <si>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</si>
  <si>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</si>
  <si>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</si>
  <si>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</si>
  <si>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</si>
  <si>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</si>
  <si>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</si>
  <si>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</si>
  <si>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</si>
  <si>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</si>
  <si>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</si>
  <si>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</si>
  <si>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</si>
  <si>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</si>
  <si>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</si>
  <si>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</si>
  <si>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</si>
  <si>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</si>
  <si>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</si>
  <si>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</si>
  <si>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</si>
  <si>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</si>
  <si>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</si>
  <si>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</si>
  <si>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</si>
  <si>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</si>
  <si>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</si>
  <si>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</si>
  <si>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</si>
  <si>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</si>
  <si>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</si>
  <si>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</si>
  <si>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</si>
  <si>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</si>
  <si>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</si>
  <si>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</si>
  <si>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</si>
  <si>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</si>
  <si>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</si>
  <si>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</si>
  <si>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</si>
  <si>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</si>
  <si>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</si>
  <si>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</si>
  <si>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</si>
  <si>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</si>
  <si>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</si>
  <si>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</si>
  <si>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</si>
  <si>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</si>
  <si>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</si>
  <si>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</si>
  <si>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</si>
  <si>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</si>
  <si>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</si>
  <si>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</si>
  <si>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</si>
  <si>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</si>
  <si>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</si>
  <si>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</si>
  <si>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</si>
  <si>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</si>
  <si>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</si>
  <si>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</si>
  <si>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</si>
  <si>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</si>
  <si>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</si>
  <si>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</si>
  <si>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</si>
  <si>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</si>
  <si>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</si>
  <si>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</si>
  <si>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</si>
  <si>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</si>
  <si>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</si>
  <si>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</si>
  <si>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</si>
  <si>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</si>
  <si>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</si>
  <si>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</si>
  <si>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</si>
  <si>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</si>
  <si>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</si>
  <si>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</si>
  <si>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</si>
  <si>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</si>
  <si>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</si>
  <si>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</si>
  <si>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</si>
  <si>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</si>
  <si>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</si>
  <si>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</si>
  <si>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</si>
  <si>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</si>
  <si>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</si>
  <si>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</si>
  <si>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</si>
  <si>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</si>
  <si>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</si>
  <si>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</si>
  <si>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</si>
  <si>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</si>
  <si>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</si>
  <si>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</si>
  <si>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</si>
  <si>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</si>
  <si>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</si>
  <si>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</si>
  <si>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</si>
  <si>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</si>
  <si>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</si>
  <si>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</si>
  <si>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</si>
  <si>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</si>
  <si>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</si>
  <si>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</si>
  <si>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</si>
  <si>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</si>
  <si>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</si>
  <si>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</si>
  <si>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</si>
  <si>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</si>
  <si>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</si>
  <si>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</si>
  <si>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</si>
  <si>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</si>
  <si>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</si>
  <si>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</si>
  <si>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</si>
  <si>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</si>
  <si>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</si>
  <si>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</si>
  <si>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</si>
  <si>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</si>
  <si>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</si>
  <si>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</si>
  <si>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</si>
  <si>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</si>
  <si>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</si>
  <si>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</si>
  <si>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</si>
  <si>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</si>
  <si>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</si>
  <si>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</si>
  <si>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</si>
  <si>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</si>
  <si>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</si>
  <si>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</si>
  <si>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</si>
  <si>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</si>
  <si>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</si>
  <si>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</si>
  <si>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</si>
  <si>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</si>
  <si>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</si>
  <si>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</si>
  <si>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</si>
  <si>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</si>
  <si>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</si>
  <si>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</si>
  <si>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</si>
  <si>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</si>
  <si>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</si>
  <si>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</si>
  <si>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</si>
  <si>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</si>
  <si>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</si>
  <si>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</si>
  <si>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</si>
  <si>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</si>
  <si>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</si>
  <si>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</si>
  <si>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</si>
  <si>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</si>
  <si>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</si>
  <si>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</si>
  <si>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</si>
  <si>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</si>
  <si>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</si>
  <si>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</si>
  <si>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</si>
  <si>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</si>
  <si>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</si>
  <si>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</si>
  <si>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</si>
  <si>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</si>
  <si>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</si>
  <si>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</si>
  <si>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</si>
  <si>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</si>
  <si>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</si>
  <si>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</si>
  <si>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</si>
  <si>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</si>
  <si>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</si>
  <si>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</si>
  <si>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</si>
  <si>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</si>
  <si>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</si>
  <si>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</si>
  <si>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</si>
  <si>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</si>
  <si>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</si>
  <si>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</si>
  <si>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</si>
  <si>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</si>
  <si>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</si>
  <si>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</si>
  <si>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</si>
  <si>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</si>
  <si>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</si>
  <si>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</si>
  <si>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</si>
  <si>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</si>
  <si>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</si>
  <si>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</si>
  <si>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</si>
  <si>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</si>
  <si>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</si>
  <si>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</si>
  <si>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</si>
  <si>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</si>
  <si>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</si>
  <si>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</si>
  <si>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</si>
  <si>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</si>
  <si>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</si>
  <si>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</si>
  <si>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</si>
  <si>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</si>
  <si>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</si>
  <si>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</si>
  <si>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</si>
  <si>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</si>
  <si>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</si>
  <si>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</si>
  <si>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</si>
  <si>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</si>
  <si>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</si>
  <si>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</si>
  <si>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</si>
  <si>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</si>
  <si>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</si>
  <si>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</si>
  <si>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</si>
  <si>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</si>
  <si>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</si>
  <si>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</si>
  <si>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</si>
  <si>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</si>
  <si>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</si>
  <si>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</si>
  <si>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</si>
  <si>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</si>
  <si>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</si>
  <si>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</si>
  <si>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</si>
  <si>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</si>
  <si>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</si>
  <si>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</si>
  <si>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</si>
  <si>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</si>
  <si>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</si>
  <si>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</si>
  <si>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</si>
  <si>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</si>
  <si>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</si>
  <si>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</si>
  <si>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</si>
  <si>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</si>
  <si>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</si>
  <si>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</si>
  <si>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</si>
  <si>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</si>
  <si>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</si>
  <si>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</si>
  <si>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</si>
  <si>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</si>
  <si>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</si>
  <si>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</si>
  <si>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</si>
  <si>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</si>
  <si>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</si>
  <si>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</si>
  <si>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</si>
  <si>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</si>
  <si>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</si>
  <si>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</si>
  <si>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</si>
  <si>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</si>
  <si>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</si>
  <si>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</si>
  <si>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</si>
  <si>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</si>
  <si>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</si>
  <si>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</si>
  <si>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</si>
  <si>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</si>
  <si>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</si>
  <si>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</si>
  <si>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</si>
  <si>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</si>
  <si>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</si>
  <si>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</si>
  <si>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</si>
  <si>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</si>
  <si>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</si>
  <si>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</si>
  <si>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</si>
  <si>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</si>
  <si>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</si>
  <si>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</si>
  <si>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</si>
  <si>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</si>
  <si>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</si>
  <si>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</si>
  <si>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</si>
  <si>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</si>
  <si>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</si>
  <si>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</si>
  <si>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</si>
  <si>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</si>
  <si>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</si>
  <si>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</si>
  <si>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</si>
  <si>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</si>
  <si>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</si>
  <si>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</si>
  <si>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</si>
  <si>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</si>
  <si>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</si>
  <si>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</si>
  <si>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</si>
  <si>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</si>
  <si>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</si>
  <si>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</si>
  <si>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</si>
  <si>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</si>
  <si>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</si>
  <si>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</si>
  <si>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</si>
  <si>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</si>
  <si>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</si>
  <si>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</si>
  <si>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</si>
  <si>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</si>
  <si>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</si>
  <si>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</si>
  <si>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</si>
  <si>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</si>
  <si>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</si>
  <si>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</si>
  <si>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</si>
  <si>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</si>
  <si>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</si>
  <si>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</si>
  <si>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</si>
  <si>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</si>
  <si>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</si>
  <si>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</si>
  <si>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</si>
  <si>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</si>
  <si>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</si>
  <si>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</si>
  <si>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</si>
  <si>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</si>
  <si>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</si>
  <si>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</si>
  <si>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</si>
  <si>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</si>
  <si>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</si>
  <si>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</si>
  <si>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</si>
  <si>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</si>
  <si>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</si>
  <si>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</si>
  <si>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</si>
  <si>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</si>
  <si>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</si>
  <si>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</si>
  <si>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</si>
  <si>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</si>
  <si>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</si>
  <si>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</si>
  <si>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</si>
  <si>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</si>
  <si>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</si>
  <si>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</si>
  <si>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</si>
  <si>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</si>
  <si>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</si>
  <si>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</si>
  <si>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</si>
  <si>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</si>
  <si>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</si>
  <si>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</si>
  <si>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</si>
  <si>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</si>
  <si>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</si>
  <si>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</si>
  <si>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</si>
  <si>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</si>
  <si>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</si>
  <si>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</si>
  <si>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</si>
  <si>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</si>
  <si>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</si>
  <si>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</si>
  <si>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</si>
  <si>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</si>
  <si>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</si>
  <si>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</si>
  <si>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</si>
  <si>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</si>
  <si>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</si>
  <si>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</si>
  <si>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</si>
  <si>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</si>
  <si>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</si>
  <si>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</si>
  <si>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</si>
  <si>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</si>
  <si>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</si>
  <si>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</si>
  <si>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</si>
  <si>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</si>
  <si>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</si>
  <si>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</si>
  <si>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</si>
  <si>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</si>
  <si>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</si>
  <si>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</si>
  <si>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</si>
  <si>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</si>
  <si>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</si>
  <si>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</si>
  <si>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</si>
  <si>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</si>
  <si>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</si>
  <si>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</si>
  <si>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</si>
  <si>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</si>
  <si>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</si>
  <si>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</si>
  <si>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</si>
  <si>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</si>
  <si>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</si>
  <si>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</si>
  <si>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</si>
  <si>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</si>
  <si>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</si>
  <si>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</si>
  <si>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</si>
  <si>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</si>
  <si>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</si>
  <si>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</si>
  <si>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</si>
  <si>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</si>
  <si>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</si>
  <si>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</si>
  <si>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</si>
  <si>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</si>
  <si>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</si>
  <si>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</si>
  <si>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</si>
  <si>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</si>
  <si>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</si>
  <si>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</si>
  <si>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</si>
  <si>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</si>
  <si>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</si>
  <si>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</si>
  <si>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</si>
  <si>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</si>
  <si>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</si>
  <si>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</si>
  <si>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</si>
  <si>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</si>
  <si>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</si>
  <si>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</si>
  <si>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</si>
  <si>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</si>
  <si>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</si>
  <si>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</si>
  <si>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</si>
  <si>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</si>
  <si>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</si>
  <si>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</si>
  <si>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</si>
  <si>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</si>
  <si>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</si>
  <si>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</si>
  <si>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</si>
  <si>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</si>
  <si>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</si>
  <si>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</si>
  <si>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</si>
  <si>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</si>
  <si>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</si>
  <si>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</si>
  <si>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</si>
  <si>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</si>
  <si>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</si>
  <si>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</si>
  <si>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</si>
  <si>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</si>
  <si>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</si>
  <si>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</si>
  <si>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</si>
  <si>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</si>
  <si>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</si>
  <si>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</si>
  <si>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</si>
  <si>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</si>
  <si>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</si>
  <si>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</si>
  <si>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</si>
  <si>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</si>
  <si>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</si>
  <si>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</si>
  <si>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</si>
  <si>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</si>
  <si>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</si>
  <si>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</si>
  <si>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</si>
  <si>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</si>
  <si>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</si>
  <si>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</si>
  <si>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</si>
  <si>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</si>
  <si>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</si>
  <si>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</si>
  <si>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</si>
  <si>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</si>
  <si>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</si>
  <si>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</si>
  <si>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</si>
  <si>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</si>
  <si>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</si>
  <si>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</si>
  <si>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</si>
  <si>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</si>
  <si>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</si>
  <si>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</si>
  <si>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</si>
  <si>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</si>
  <si>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</si>
  <si>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</si>
  <si>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</si>
  <si>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</si>
  <si>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</si>
  <si>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</si>
  <si>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</si>
  <si>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</si>
  <si>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</si>
  <si>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</si>
  <si>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</si>
  <si>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</si>
  <si>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</si>
  <si>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</si>
  <si>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</si>
  <si>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</si>
  <si>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</si>
  <si>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</si>
  <si>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</si>
  <si>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</si>
  <si>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</si>
  <si>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</si>
  <si>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</si>
  <si>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</si>
  <si>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</si>
  <si>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</si>
  <si>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</si>
  <si>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</si>
  <si>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</si>
  <si>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</si>
  <si>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</si>
  <si>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</si>
  <si>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</si>
  <si>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</si>
  <si>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</si>
  <si>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</si>
  <si>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</si>
  <si>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</si>
  <si>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</si>
  <si>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</si>
  <si>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</si>
  <si>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</si>
  <si>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</si>
  <si>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</si>
  <si>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</si>
  <si>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</si>
  <si>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</si>
  <si>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</si>
  <si>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</si>
  <si>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</si>
  <si>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</si>
  <si>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</si>
  <si>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</si>
  <si>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</si>
  <si>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</si>
  <si>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</si>
  <si>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</si>
  <si>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</si>
  <si>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</si>
  <si>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</si>
  <si>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</si>
  <si>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</si>
  <si>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</si>
  <si>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</si>
  <si>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</si>
  <si>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</si>
  <si>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</si>
  <si>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</si>
  <si>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</si>
  <si>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</si>
  <si>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</si>
  <si>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</si>
  <si>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</si>
  <si>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</si>
  <si>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</si>
  <si>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</si>
  <si>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</si>
  <si>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</si>
  <si>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</si>
  <si>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</si>
  <si>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</si>
  <si>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</si>
  <si>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</si>
  <si>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</si>
  <si>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</si>
  <si>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</si>
  <si>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</si>
  <si>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</si>
  <si>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</si>
  <si>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</si>
  <si>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</si>
  <si>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</si>
  <si>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</si>
  <si>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</si>
  <si>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</si>
  <si>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</si>
  <si>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</si>
  <si>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</si>
  <si>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</si>
  <si>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</si>
  <si>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</si>
  <si>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</si>
  <si>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</si>
  <si>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</si>
  <si>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</si>
  <si>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</si>
  <si>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</si>
  <si>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</si>
  <si>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</si>
  <si>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</si>
  <si>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</si>
  <si>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</si>
  <si>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</si>
  <si>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</si>
  <si>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</si>
  <si>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</si>
  <si>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</si>
  <si>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</si>
  <si>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</si>
  <si>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</si>
  <si>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</si>
  <si>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</si>
  <si>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</si>
  <si>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</si>
  <si>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</si>
  <si>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</si>
  <si>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</si>
  <si>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</si>
  <si>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</si>
  <si>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</si>
  <si>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</si>
  <si>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</si>
  <si>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</si>
  <si>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</si>
  <si>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</si>
  <si>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</si>
  <si>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</si>
  <si>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</si>
  <si>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</si>
  <si>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</si>
  <si>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</si>
  <si>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</si>
  <si>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</si>
  <si>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</si>
  <si>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</si>
  <si>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</si>
  <si>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</si>
  <si>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</si>
  <si>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</si>
  <si>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</si>
  <si>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</si>
  <si>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</si>
  <si>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</si>
  <si>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</si>
  <si>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</si>
  <si>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</si>
  <si>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</si>
  <si>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</si>
  <si>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</si>
  <si>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</si>
  <si>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</si>
  <si>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</si>
  <si>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</si>
  <si>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</si>
  <si>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</si>
  <si>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</si>
  <si>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</si>
  <si>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</si>
  <si>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</si>
  <si>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</si>
  <si>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</si>
  <si>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</si>
  <si>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</si>
  <si>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</si>
  <si>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</si>
  <si>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</si>
  <si>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</si>
  <si>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</si>
  <si>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</si>
  <si>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</si>
  <si>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</si>
  <si>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</si>
  <si>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</si>
  <si>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</si>
  <si>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</si>
  <si>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</si>
  <si>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</si>
  <si>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</si>
  <si>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</si>
  <si>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</si>
  <si>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</si>
  <si>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</si>
  <si>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</si>
  <si>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</si>
  <si>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</si>
  <si>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</si>
  <si>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</si>
  <si>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</si>
  <si>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</si>
  <si>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</si>
  <si>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</si>
  <si>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</si>
  <si>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</si>
  <si>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</si>
  <si>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</si>
  <si>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</si>
  <si>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</si>
  <si>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</si>
  <si>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</si>
  <si>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</si>
  <si>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</si>
  <si>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</si>
  <si>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</si>
  <si>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</si>
  <si>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</si>
  <si>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</si>
  <si>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</si>
  <si>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</si>
  <si>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</si>
  <si>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</si>
  <si>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</si>
  <si>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</si>
  <si>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</si>
  <si>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</si>
  <si>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</si>
  <si>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</si>
  <si>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</si>
  <si>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</si>
  <si>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</si>
  <si>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</si>
  <si>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</si>
  <si>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</si>
  <si>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</si>
  <si>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</si>
  <si>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</si>
  <si>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</si>
  <si>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</si>
  <si>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</si>
  <si>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</si>
  <si>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</si>
  <si>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</si>
  <si>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</si>
  <si>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</si>
  <si>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</si>
  <si>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</si>
  <si>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</si>
  <si>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</si>
  <si>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</si>
  <si>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</si>
  <si>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</si>
  <si>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</si>
  <si>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</si>
  <si>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</si>
  <si>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</si>
  <si>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</si>
  <si>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</si>
  <si>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</si>
  <si>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</si>
  <si>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</si>
  <si>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</si>
  <si>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</si>
  <si>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</si>
  <si>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</si>
  <si>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</si>
  <si>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</si>
  <si>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</si>
  <si>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</si>
  <si>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</si>
  <si>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</si>
  <si>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</si>
  <si>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</si>
  <si>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</si>
  <si>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</si>
  <si>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</si>
  <si>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</si>
  <si>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</si>
  <si>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</si>
  <si>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</si>
  <si>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</si>
  <si>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</si>
  <si>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</si>
  <si>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</si>
  <si>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</si>
  <si>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</si>
  <si>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</si>
  <si>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</si>
  <si>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</si>
  <si>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</si>
  <si>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</si>
  <si>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</si>
  <si>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</si>
  <si>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</si>
  <si>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</si>
  <si>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</si>
  <si>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</si>
  <si>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</si>
  <si>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</si>
  <si>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</si>
  <si>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</si>
  <si>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</si>
  <si>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</si>
  <si>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</si>
  <si>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</si>
  <si>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</si>
  <si>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</si>
  <si>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</si>
  <si>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</si>
  <si>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</si>
  <si>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</si>
  <si>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</si>
  <si>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</si>
  <si>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</si>
  <si>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</si>
  <si>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</si>
  <si>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</si>
  <si>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</si>
  <si>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</si>
  <si>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</si>
  <si>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</si>
  <si>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</si>
  <si>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</si>
  <si>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</si>
  <si>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</si>
  <si>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</si>
  <si>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</si>
  <si>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</si>
  <si>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</si>
  <si>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</si>
  <si>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</si>
  <si>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</si>
  <si>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</si>
  <si>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</si>
  <si>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</si>
  <si>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</si>
  <si>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</si>
  <si>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</si>
  <si>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</si>
  <si>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</si>
  <si>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</si>
  <si>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</si>
  <si>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</si>
  <si>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</si>
  <si>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</si>
  <si>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</si>
  <si>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</si>
  <si>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</si>
  <si>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</si>
  <si>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</si>
  <si>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</si>
  <si>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</si>
  <si>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</si>
  <si>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</si>
  <si>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</si>
  <si>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</si>
  <si>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</si>
  <si>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</si>
  <si>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</si>
  <si>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</si>
  <si>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</si>
  <si>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</si>
  <si>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</si>
  <si>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</si>
  <si>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</si>
  <si>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</si>
  <si>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</si>
  <si>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</si>
  <si>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</si>
  <si>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</si>
  <si>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</si>
  <si>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</si>
  <si>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</si>
  <si>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</si>
  <si>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</si>
  <si>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</si>
  <si>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</si>
  <si>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</si>
  <si>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</si>
  <si>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</si>
  <si>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</si>
  <si>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</si>
  <si>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</si>
  <si>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</si>
  <si>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</si>
  <si>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</si>
  <si>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</si>
  <si>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</si>
  <si>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</si>
  <si>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</si>
  <si>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</si>
  <si>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</si>
  <si>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</si>
  <si>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</si>
  <si>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</si>
  <si>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</si>
  <si>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</si>
  <si>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</si>
  <si>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</si>
  <si>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</si>
  <si>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</si>
  <si>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</si>
  <si>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</si>
  <si>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</si>
  <si>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</si>
  <si>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</si>
  <si>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</si>
  <si>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</si>
  <si>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</si>
  <si>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</si>
  <si>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</si>
  <si>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</si>
  <si>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</si>
  <si>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</si>
  <si>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</si>
  <si>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</si>
  <si>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</si>
  <si>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</si>
  <si>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</si>
  <si>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</si>
  <si>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</si>
  <si>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</si>
  <si>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</si>
  <si>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</si>
  <si>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</si>
  <si>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</si>
  <si>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</si>
  <si>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</si>
  <si>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</si>
  <si>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</si>
  <si>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</si>
  <si>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</si>
  <si>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</si>
  <si>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</si>
  <si>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</si>
  <si>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</si>
  <si>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</si>
  <si>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</si>
  <si>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</si>
  <si>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</si>
  <si>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</si>
  <si>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</si>
  <si>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</si>
  <si>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</si>
  <si>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</si>
  <si>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</si>
  <si>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</si>
  <si>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</si>
  <si>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</si>
  <si>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</si>
  <si>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</si>
  <si>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</si>
  <si>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</si>
  <si>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</si>
  <si>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</si>
  <si>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</si>
  <si>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</si>
  <si>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</si>
  <si>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</si>
  <si>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</si>
  <si>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</si>
  <si>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</si>
  <si>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</si>
  <si>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</si>
  <si>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</si>
  <si>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</si>
  <si>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</si>
  <si>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</si>
  <si>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</si>
  <si>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</si>
  <si>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</si>
  <si>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</si>
  <si>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</si>
  <si>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</si>
  <si>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</si>
  <si>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</si>
  <si>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</si>
  <si>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</si>
  <si>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</si>
  <si>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</si>
  <si>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</si>
  <si>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</si>
  <si>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</si>
  <si>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</si>
  <si>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</si>
  <si>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</si>
  <si>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</si>
  <si>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</si>
  <si>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</si>
  <si>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</si>
  <si>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</si>
  <si>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</si>
  <si>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</si>
  <si>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</si>
  <si>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</si>
  <si>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</si>
  <si>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</si>
  <si>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</si>
  <si>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</si>
  <si>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</si>
  <si>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</si>
  <si>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</si>
  <si>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</si>
  <si>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</si>
  <si>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</si>
  <si>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</si>
  <si>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</si>
  <si>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</si>
  <si>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</si>
  <si>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</si>
  <si>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</si>
  <si>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</si>
  <si>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</si>
  <si>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</si>
  <si>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</si>
  <si>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</si>
  <si>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</si>
  <si>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</si>
  <si>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</si>
  <si>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</si>
  <si>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</si>
  <si>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</si>
  <si>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</si>
  <si>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</si>
  <si>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</si>
  <si>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</si>
  <si>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</si>
  <si>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</si>
  <si>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</si>
  <si>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</si>
  <si>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</si>
  <si>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</si>
  <si>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</si>
  <si>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</si>
  <si>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</si>
  <si>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</si>
  <si>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</si>
  <si>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</si>
  <si>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</si>
  <si>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</si>
  <si>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</si>
  <si>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</si>
  <si>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</si>
  <si>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</si>
  <si>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</si>
  <si>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</si>
  <si>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</si>
  <si>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</si>
  <si>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</si>
  <si>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</si>
  <si>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</si>
  <si>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</si>
  <si>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</si>
  <si>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</si>
  <si>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</si>
  <si>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</si>
  <si>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</si>
  <si>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</si>
  <si>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</si>
  <si>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</si>
  <si>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</si>
  <si>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</si>
  <si>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</si>
  <si>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</si>
  <si>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</si>
  <si>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</si>
  <si>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</si>
  <si>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</si>
  <si>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</si>
  <si>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</si>
  <si>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</si>
  <si>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</si>
  <si>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</si>
  <si>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</si>
  <si>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</si>
  <si>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</si>
  <si>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</si>
  <si>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</si>
  <si>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</si>
  <si>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</si>
  <si>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</si>
  <si>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</si>
  <si>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</si>
  <si>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</si>
  <si>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</si>
  <si>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</si>
  <si>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</si>
  <si>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</si>
  <si>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</si>
  <si>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</si>
  <si>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</si>
  <si>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</si>
  <si>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</si>
  <si>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</si>
  <si>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</si>
  <si>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</si>
  <si>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</si>
  <si>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</si>
  <si>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</si>
  <si>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</si>
  <si>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</si>
  <si>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</si>
  <si>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</si>
  <si>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</si>
  <si>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</si>
  <si>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</si>
  <si>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</si>
  <si>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</si>
  <si>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</si>
  <si>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</si>
  <si>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</si>
  <si>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</si>
  <si>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</si>
  <si>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</si>
  <si>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</si>
  <si>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</si>
  <si>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</si>
  <si>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</si>
  <si>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</si>
  <si>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</si>
  <si>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</si>
  <si>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</si>
  <si>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</si>
  <si>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</si>
  <si>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</si>
  <si>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</si>
  <si>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</si>
  <si>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</si>
  <si>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</si>
  <si>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</si>
  <si>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</si>
  <si>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</si>
  <si>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</si>
  <si>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</si>
  <si>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</si>
  <si>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</si>
  <si>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</si>
  <si>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</si>
  <si>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</si>
  <si>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</si>
  <si>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</si>
  <si>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</si>
  <si>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</si>
  <si>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</si>
  <si>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</si>
  <si>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</si>
  <si>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</si>
  <si>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</si>
  <si>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</si>
  <si>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</si>
  <si>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</si>
  <si>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</si>
  <si>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</si>
  <si>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</si>
  <si>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</si>
  <si>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</si>
  <si>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</si>
  <si>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</si>
  <si>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</si>
  <si>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</si>
  <si>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</si>
  <si>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</si>
  <si>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</si>
  <si>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</si>
  <si>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</si>
  <si>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</si>
  <si>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</si>
  <si>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</si>
  <si>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</si>
  <si>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</si>
  <si>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</si>
  <si>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</si>
  <si>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</si>
  <si>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</si>
  <si>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</si>
  <si>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</si>
  <si>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</si>
  <si>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</si>
  <si>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</si>
  <si>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</si>
  <si>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</si>
  <si>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</si>
  <si>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</si>
  <si>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</si>
  <si>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</si>
  <si>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</si>
  <si>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</si>
  <si>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</si>
  <si>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</si>
  <si>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</si>
  <si>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</si>
  <si>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</si>
  <si>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</si>
  <si>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</si>
  <si>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</si>
  <si>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</si>
  <si>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</si>
  <si>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</si>
  <si>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</si>
  <si>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</si>
  <si>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</si>
  <si>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</si>
  <si>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</si>
  <si>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</si>
  <si>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</si>
  <si>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</si>
  <si>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</si>
  <si>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</si>
  <si>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</si>
  <si>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</si>
  <si>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</si>
  <si>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</si>
  <si>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</si>
  <si>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</si>
  <si>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</si>
  <si>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</si>
  <si>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</si>
  <si>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</si>
  <si>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</si>
  <si>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</si>
  <si>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</si>
  <si>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</si>
  <si>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</si>
  <si>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</si>
  <si>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</si>
  <si>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</si>
  <si>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</si>
  <si>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</si>
  <si>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</si>
  <si>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</si>
  <si>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</si>
  <si>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</si>
  <si>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</si>
  <si>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</si>
  <si>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</si>
  <si>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</si>
  <si>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</si>
  <si>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</si>
  <si>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</si>
  <si>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</si>
  <si>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</si>
  <si>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</si>
  <si>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</si>
  <si>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</si>
  <si>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</si>
  <si>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</si>
  <si>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</si>
  <si>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</si>
  <si>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</si>
  <si>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</si>
  <si>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</si>
  <si>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</si>
  <si>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</si>
  <si>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</si>
  <si>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</si>
  <si>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</si>
  <si>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</si>
  <si>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</si>
  <si>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</si>
  <si>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</si>
  <si>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</si>
  <si>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</si>
  <si>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</si>
  <si>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</si>
  <si>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</si>
  <si>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</si>
  <si>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2019-006</t>
    <phoneticPr fontId="228" type="noConversion"/>
  </si>
  <si>
    <t>宗地编号</t>
    <phoneticPr fontId="228" type="noConversion"/>
  </si>
  <si>
    <t>宗地面积</t>
    <phoneticPr fontId="228" type="noConversion"/>
  </si>
  <si>
    <t>坐落</t>
    <phoneticPr fontId="228" type="noConversion"/>
  </si>
  <si>
    <t>天山路以东，赤水河街以南，嘉陵江路以北</t>
    <phoneticPr fontId="228" type="noConversion"/>
  </si>
  <si>
    <t>出让金</t>
    <phoneticPr fontId="228" type="noConversion"/>
  </si>
  <si>
    <t>单位地价</t>
    <phoneticPr fontId="228" type="noConversion"/>
  </si>
  <si>
    <t>建筑面积</t>
    <phoneticPr fontId="228" type="noConversion"/>
  </si>
  <si>
    <t>容积率</t>
    <phoneticPr fontId="228" type="noConversion"/>
  </si>
  <si>
    <t>2019-007</t>
  </si>
  <si>
    <t>天山路以东，岷江路以南，城市支路以西，赤水河街以北</t>
    <phoneticPr fontId="228" type="noConversion"/>
  </si>
  <si>
    <t>商业配比</t>
    <phoneticPr fontId="228" type="noConversion"/>
  </si>
  <si>
    <t>95/5</t>
    <phoneticPr fontId="228" type="noConversion"/>
  </si>
  <si>
    <t>备注</t>
    <phoneticPr fontId="228" type="noConversion"/>
  </si>
  <si>
    <t>2019-008</t>
  </si>
  <si>
    <t>城市支路以东，岷江路以南，华山路以西，赤水河街以北</t>
    <phoneticPr fontId="228" type="noConversion"/>
  </si>
  <si>
    <t>2019-009</t>
  </si>
  <si>
    <t>2019-010</t>
  </si>
  <si>
    <t>2019-011</t>
  </si>
  <si>
    <t>华山路以东，雅砻江路以南，城市支路以西，延河街以北</t>
    <phoneticPr fontId="228" type="noConversion"/>
  </si>
  <si>
    <t>华山路以东，延河街以南，城市支路以西，岷江路以北</t>
    <phoneticPr fontId="228" type="noConversion"/>
  </si>
  <si>
    <t>城市支路以东，延河街以南，秦岭路以西，岷江路以北</t>
    <phoneticPr fontId="228" type="noConversion"/>
  </si>
  <si>
    <t>抵押价格</t>
  </si>
  <si>
    <t>其他：</t>
  </si>
  <si>
    <t>天山路以东，赤水河街以南，嘉陵江路以北等6宗住宅、商业用地</t>
    <phoneticPr fontId="6" type="noConversion"/>
  </si>
  <si>
    <t>企业</t>
  </si>
  <si>
    <t>河南恒大瑞隆置业有限公司</t>
  </si>
  <si>
    <t>河南恒大瑞隆置业有限公司</t>
    <phoneticPr fontId="6" type="noConversion"/>
  </si>
  <si>
    <t>商业</t>
  </si>
  <si>
    <t>地上</t>
  </si>
  <si>
    <t>住宅</t>
    <phoneticPr fontId="7" type="noConversion"/>
  </si>
  <si>
    <t>商业</t>
    <phoneticPr fontId="7" type="noConversion"/>
  </si>
  <si>
    <t>不动产收益法</t>
  </si>
  <si>
    <t>一般</t>
  </si>
  <si>
    <t>一般</t>
    <phoneticPr fontId="3" type="noConversion"/>
  </si>
  <si>
    <t>七通</t>
  </si>
  <si>
    <t>比较法-住宅、综合</t>
  </si>
  <si>
    <t>剩余法-待开发</t>
  </si>
  <si>
    <t>押一</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</si>
  <si>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</si>
  <si>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</si>
  <si>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</si>
  <si>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</si>
  <si>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</si>
  <si>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</si>
  <si>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</si>
  <si>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</si>
  <si>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</si>
  <si>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</si>
  <si>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</si>
  <si>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</si>
  <si>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</si>
  <si>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</si>
  <si>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</si>
  <si>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中兴街(原新路)东侧、规划博学路北侧</t>
  </si>
  <si>
    <t>新乡市</t>
  </si>
  <si>
    <t>住宅用地</t>
  </si>
  <si>
    <t>大于1.5并且小于或等于1.8</t>
  </si>
  <si>
    <t>挂牌</t>
  </si>
  <si>
    <t>2020-02-13</t>
  </si>
  <si>
    <t>原阳县同春置业有限公司</t>
  </si>
  <si>
    <t>3星</t>
  </si>
  <si>
    <t>中兴街(原新路)东侧、规划文源路南侧</t>
  </si>
  <si>
    <t>中兴街(原新路)东侧、规划文源路北侧</t>
  </si>
  <si>
    <t>秦岭路以东,赤水河街以南,规划经五路以西,嘉陵江路以北</t>
  </si>
  <si>
    <t>大于或等于1.5并且小于或等于2</t>
  </si>
  <si>
    <t>2019-12-16</t>
  </si>
  <si>
    <t>新乡市凤轩置业有限公司</t>
  </si>
  <si>
    <t>文源路北侧,安泰街东侧</t>
  </si>
  <si>
    <t>2019-12-13</t>
  </si>
  <si>
    <t>新乡市华龙置业有限公司</t>
  </si>
  <si>
    <t>博学路北侧、太行大道东侧</t>
  </si>
  <si>
    <t>大于或等于1.5并且小于或等于1.8</t>
  </si>
  <si>
    <t>2019-09-26</t>
  </si>
  <si>
    <t>新乡市永兴置业有限公司</t>
  </si>
  <si>
    <t>天山路以东,雅砻江路以南,华山路以西</t>
  </si>
  <si>
    <t>2019-08-09</t>
  </si>
  <si>
    <t>河南恒大珺隆置业有限公司</t>
  </si>
  <si>
    <t>4星</t>
  </si>
  <si>
    <t>华山路以东,延河街以南,城市支路以西,岷江路以北</t>
  </si>
  <si>
    <t>河南恒大睿德置业有限公司</t>
  </si>
  <si>
    <t>2星</t>
  </si>
  <si>
    <t>天山路以东、赤水河街以南、嘉陵江路以北</t>
  </si>
  <si>
    <t>大于1并且小于或等于1.5</t>
  </si>
  <si>
    <t>华山路以东,雅砻江路以南,城市支路以西,延河街以北</t>
  </si>
  <si>
    <t>城市支路以东,延河街以南,秦岭路以西,岷江路以北</t>
  </si>
  <si>
    <t>天山路以东,岷江路以南,城市支路以西,赤水河街以北</t>
  </si>
  <si>
    <t>城市支路以东,岷江路以南,华山路以西,赤水河街以北</t>
  </si>
  <si>
    <t>翔宇路南侧,康宁街东侧,祥和街西侧</t>
  </si>
  <si>
    <t>2019-06-05</t>
  </si>
  <si>
    <t>新乡市众孚置业有限公司</t>
  </si>
  <si>
    <t>恒山路以东,燕山街以西,洋河街以南,平原大道以北</t>
  </si>
  <si>
    <t>2019-05-21</t>
  </si>
  <si>
    <t>新乡中蓝置业有限公司</t>
  </si>
  <si>
    <t>翔宇路北侧</t>
  </si>
  <si>
    <t>2019-02-25</t>
  </si>
  <si>
    <t>原阳县凯联置业有限公司</t>
  </si>
  <si>
    <t>0星</t>
  </si>
  <si>
    <t>规划丞相路北侧、安泰街西侧</t>
  </si>
  <si>
    <t>2018-11-09</t>
  </si>
  <si>
    <t>新乡市东昌房地产开发有限公司</t>
  </si>
  <si>
    <t>2018-10-26</t>
  </si>
  <si>
    <t>新乡市中建宏图置业有限公司</t>
  </si>
  <si>
    <t>惠民街西侧</t>
  </si>
  <si>
    <t>2018-08-03</t>
  </si>
  <si>
    <t>张冠强</t>
  </si>
  <si>
    <t>丞相路北侧</t>
  </si>
  <si>
    <t>2018-07-26</t>
  </si>
  <si>
    <t>昆仑山路以东,黄河路以南,纬一路以北</t>
  </si>
  <si>
    <t>2018-07-04</t>
  </si>
  <si>
    <t>新乡中兴绿色置业有限公司</t>
  </si>
  <si>
    <t>长江大道以北,恒山路以东,经七路以西</t>
  </si>
  <si>
    <t>大于或等于1.8并且小于或等于2</t>
  </si>
  <si>
    <t>2018-06-25</t>
  </si>
  <si>
    <t>新乡市建业城市建设有限公司</t>
  </si>
  <si>
    <t>经七路以东,丹江路以南,郑新大道以西,长江大道以北</t>
  </si>
  <si>
    <t>丞相路北侧、太行大道东侧</t>
  </si>
  <si>
    <t>2018-06-21</t>
  </si>
  <si>
    <t>博学路南侧、太行大道西侧、规划路北侧</t>
  </si>
  <si>
    <t>2018-06-14</t>
  </si>
  <si>
    <t>河南乾华置业有限公司</t>
  </si>
  <si>
    <t>嘉陵江路以南,华山路以西,规划经三路以东</t>
  </si>
  <si>
    <t>2018-05-23</t>
  </si>
  <si>
    <t>新乡市唐普锦鸿房地产开发有限公司</t>
  </si>
  <si>
    <t>1星</t>
  </si>
  <si>
    <t>嘉陵江路以南,规划经三路以西</t>
  </si>
  <si>
    <t>丞相路南侧</t>
  </si>
  <si>
    <t>2018-03-26</t>
  </si>
  <si>
    <t>河南东辉置业有限公司</t>
  </si>
  <si>
    <t>太行大道东侧、丞相路南侧</t>
  </si>
  <si>
    <t>峨眉山路以西,规划东路以北,规划环路以东,</t>
  </si>
  <si>
    <t>大于或等于2并且小于或等于2.5</t>
  </si>
  <si>
    <t>2018-03-20</t>
  </si>
  <si>
    <t>河南王府井置业有限公司</t>
  </si>
  <si>
    <t>香山路以东,黄浦江路以南,规划北路以西,环线一路以北</t>
  </si>
  <si>
    <t>大于或等于3并且小于或等于3.5</t>
  </si>
  <si>
    <t>规划环路以南</t>
  </si>
  <si>
    <t>香山路以东,环线一路以南,规划西路以北</t>
  </si>
  <si>
    <t>黄浦江路以南,规划北路以东,规划环路以北</t>
  </si>
  <si>
    <t>丞相路南侧、安泰街西侧、解放路北侧</t>
  </si>
  <si>
    <t>2018-03-16</t>
  </si>
  <si>
    <t>雅砻江路以北,经五路以东,纬二路以南,太行山大道以西</t>
  </si>
  <si>
    <t>2017-10-30</t>
  </si>
  <si>
    <t>郑州德惠物业管理有限公司</t>
  </si>
  <si>
    <t>雅砻江路以北,秦岭路以东,纬二路以南,经五路以西</t>
  </si>
  <si>
    <t>雅砻江路以南,经五路以东,延河街以北,太行山大道以西</t>
  </si>
  <si>
    <t>文源路南侧、惠民街西侧</t>
  </si>
  <si>
    <t>大于或等于1.5并且小于或等于2.5</t>
  </si>
  <si>
    <t>2017-09-25</t>
  </si>
  <si>
    <t>河南省腾祥置业有限公司</t>
  </si>
  <si>
    <t>建设路南侧、安泰街西侧</t>
  </si>
  <si>
    <t>长江大道以南,赣江路以北,太行大道以西</t>
  </si>
  <si>
    <t>大于1.1并且小于或等于1.5</t>
  </si>
  <si>
    <t>2017-09-12</t>
  </si>
  <si>
    <t>新乡御景置业有限公司</t>
  </si>
  <si>
    <t>长江大道以南,赣江路以北,太行山大道以西</t>
  </si>
  <si>
    <t>白河路以南,赣江路以北,太行大道以东</t>
  </si>
  <si>
    <t>正常</t>
  </si>
  <si>
    <t>住宅</t>
    <phoneticPr fontId="26" type="noConversion"/>
  </si>
  <si>
    <t>较规则</t>
  </si>
  <si>
    <t>较规则</t>
    <phoneticPr fontId="26" type="noConversion"/>
  </si>
  <si>
    <t>较适宜</t>
  </si>
  <si>
    <t>较适宜</t>
    <phoneticPr fontId="26" type="noConversion"/>
  </si>
  <si>
    <t>三通</t>
    <phoneticPr fontId="26" type="noConversion"/>
  </si>
  <si>
    <t>较好</t>
    <phoneticPr fontId="26" type="noConversion"/>
  </si>
  <si>
    <t>70</t>
    <phoneticPr fontId="26" type="noConversion"/>
  </si>
  <si>
    <t>楼面地价</t>
  </si>
  <si>
    <t>2019-013-01</t>
    <phoneticPr fontId="228" type="noConversion"/>
  </si>
  <si>
    <t>天山路以东，雅砻江路以南，华山路以西</t>
    <phoneticPr fontId="228" type="noConversion"/>
  </si>
  <si>
    <t>2019-013-02</t>
  </si>
  <si>
    <t>合计</t>
    <phoneticPr fontId="228" type="noConversion"/>
  </si>
  <si>
    <t>——</t>
    <phoneticPr fontId="228" type="noConversion"/>
  </si>
  <si>
    <t>楼面地价</t>
    <phoneticPr fontId="228" type="noConversion"/>
  </si>
  <si>
    <t>——</t>
    <phoneticPr fontId="228" type="noConversion"/>
  </si>
  <si>
    <t>容积率</t>
    <phoneticPr fontId="3" type="noConversion"/>
  </si>
  <si>
    <t>太行山大道以东、韶山街以西、淮河路以南、规划纬二路以北</t>
    <phoneticPr fontId="228"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</si>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</sst>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宋体"/>
      <family val="3"/>
      <charset val="134"/>
    </font>
    <font>
      <sz val="11"/>
      <color theme="9" tint="-0.249977111117893"/>
      <name val="宋体"/>
      <family val="2"/>
      <charset val="134"/>
    </font>
    <font>
      <sz val="11"/>
      <name val="宋体"/>
      <family val="2"/>
      <charset val="134"/>
    </font>
    <font>
      <sz val="11"/>
      <color rgb="FF000000"/>
      <name val="Microsoft YaHei UI"/>
      <family val="3"/>
      <charset val="134"/>
    </font>
    <font>
      <sz val="10"/>
      <color theme="9" tint="-0.249977111117893"/>
      <name val="宋体"/>
      <family val="3"/>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45" fillId="0" borderId="2" xfId="0" applyFont="1" applyBorder="1" applyAlignment="1">
      <alignment horizontal="left" vertical="center"/>
    </xf>
    <xf numFmtId="0" fontId="0" fillId="0" borderId="2" xfId="0" applyBorder="1" applyAlignment="1">
      <alignment horizontal="left" vertical="center"/>
    </xf>
    <xf numFmtId="49" fontId="145" fillId="0" borderId="2" xfId="0" applyNumberFormat="1" applyFont="1" applyBorder="1" applyAlignment="1">
      <alignment horizontal="left" vertical="center"/>
    </xf>
    <xf numFmtId="49" fontId="275" fillId="0" borderId="17" xfId="0" applyNumberFormat="1" applyFont="1" applyFill="1" applyBorder="1" applyAlignment="1" applyProtection="1">
      <alignment horizontal="left" vertical="center"/>
      <protection locked="0"/>
    </xf>
    <xf numFmtId="0" fontId="274" fillId="8" borderId="8" xfId="0" applyFont="1" applyFill="1" applyBorder="1" applyAlignment="1" applyProtection="1">
      <alignment vertical="center"/>
      <protection locked="0"/>
    </xf>
    <xf numFmtId="178" fontId="259" fillId="0" borderId="2" xfId="2" applyNumberFormat="1" applyFont="1" applyFill="1" applyBorder="1" applyAlignment="1" applyProtection="1">
      <alignment vertical="center"/>
      <protection locked="0" hidden="1"/>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86" fillId="0" borderId="0" xfId="16"/>
    <xf numFmtId="0" fontId="86" fillId="9" borderId="0" xfId="16" applyFill="1"/>
    <xf numFmtId="0" fontId="86" fillId="6" borderId="0" xfId="16" applyFill="1"/>
    <xf numFmtId="0" fontId="279" fillId="0" borderId="6" xfId="0" applyNumberFormat="1" applyFont="1" applyFill="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5" xfId="0" applyFont="1" applyBorder="1" applyAlignment="1">
      <alignment horizontal="left" vertical="center"/>
    </xf>
    <xf numFmtId="0" fontId="0" fillId="0" borderId="9" xfId="0"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81" fillId="0" borderId="105" xfId="0" applyNumberFormat="1" applyFont="1" applyFill="1" applyBorder="1" applyAlignment="1" applyProtection="1">
      <alignment horizontal="center" vertical="center" wrapText="1"/>
      <protection locked="0"/>
    </xf>
    <xf numFmtId="0" fontId="86" fillId="0" borderId="0" xfId="16" applyFill="1"/>
    <xf numFmtId="0" fontId="282" fillId="6" borderId="0" xfId="16" applyFont="1" applyFill="1"/>
  </cellXfs>
  <cellStyles count="17">
    <cellStyle name="百分比 2" xfId="11" xr:uid="{00000000-0005-0000-0000-000000000000}"/>
    <cellStyle name="常规" xfId="0" builtinId="0"/>
    <cellStyle name="常规 10" xfId="16" xr:uid="{CEA9A75B-94FE-4E95-8830-ADA204E893D1}"/>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96</xdr:row>
      <xdr:rowOff>129540</xdr:rowOff>
    </xdr:from>
    <xdr:to>
      <xdr:col>5</xdr:col>
      <xdr:colOff>1575508</xdr:colOff>
      <xdr:row>128</xdr:row>
      <xdr:rowOff>165060</xdr:rowOff>
    </xdr:to>
    <xdr:pic>
      <xdr:nvPicPr>
        <xdr:cNvPr id="2" name="图片 1">
          <a:extLst>
            <a:ext uri="{FF2B5EF4-FFF2-40B4-BE49-F238E27FC236}">
              <a16:creationId xmlns:a16="http://schemas.microsoft.com/office/drawing/2014/main" id="{09FFD720-3A2F-4901-A3DA-E9E05EF39D81}"/>
            </a:ext>
          </a:extLst>
        </xdr:cNvPr>
        <xdr:cNvPicPr>
          <a:picLocks noChangeAspect="1"/>
        </xdr:cNvPicPr>
      </xdr:nvPicPr>
      <xdr:blipFill>
        <a:blip xmlns:r="http://schemas.openxmlformats.org/officeDocument/2006/relationships" r:embed="rId1"/>
        <a:stretch>
          <a:fillRect/>
        </a:stretch>
      </xdr:blipFill>
      <xdr:spPr>
        <a:xfrm>
          <a:off x="0" y="16222980"/>
          <a:ext cx="7336228" cy="5400000"/>
        </a:xfrm>
        <a:prstGeom prst="rect">
          <a:avLst/>
        </a:prstGeom>
      </xdr:spPr>
    </xdr:pic>
    <xdr:clientData/>
  </xdr:twoCellAnchor>
  <xdr:twoCellAnchor editAs="oneCell">
    <xdr:from>
      <xdr:col>5</xdr:col>
      <xdr:colOff>1592581</xdr:colOff>
      <xdr:row>113</xdr:row>
      <xdr:rowOff>106680</xdr:rowOff>
    </xdr:from>
    <xdr:to>
      <xdr:col>9</xdr:col>
      <xdr:colOff>93742</xdr:colOff>
      <xdr:row>124</xdr:row>
      <xdr:rowOff>62640</xdr:rowOff>
    </xdr:to>
    <xdr:pic>
      <xdr:nvPicPr>
        <xdr:cNvPr id="3" name="图片 2">
          <a:extLst>
            <a:ext uri="{FF2B5EF4-FFF2-40B4-BE49-F238E27FC236}">
              <a16:creationId xmlns:a16="http://schemas.microsoft.com/office/drawing/2014/main" id="{5E7D3713-F99C-4D16-B1DC-FF59914C2022}"/>
            </a:ext>
          </a:extLst>
        </xdr:cNvPr>
        <xdr:cNvPicPr>
          <a:picLocks noChangeAspect="1"/>
        </xdr:cNvPicPr>
      </xdr:nvPicPr>
      <xdr:blipFill>
        <a:blip xmlns:r="http://schemas.openxmlformats.org/officeDocument/2006/relationships" r:embed="rId2"/>
        <a:stretch>
          <a:fillRect/>
        </a:stretch>
      </xdr:blipFill>
      <xdr:spPr>
        <a:xfrm>
          <a:off x="7353301" y="19050000"/>
          <a:ext cx="2341641" cy="1800000"/>
        </a:xfrm>
        <a:prstGeom prst="rect">
          <a:avLst/>
        </a:prstGeom>
      </xdr:spPr>
    </xdr:pic>
    <xdr:clientData/>
  </xdr:twoCellAnchor>
  <xdr:twoCellAnchor editAs="oneCell">
    <xdr:from>
      <xdr:col>5</xdr:col>
      <xdr:colOff>1615441</xdr:colOff>
      <xdr:row>96</xdr:row>
      <xdr:rowOff>38100</xdr:rowOff>
    </xdr:from>
    <xdr:to>
      <xdr:col>12</xdr:col>
      <xdr:colOff>382972</xdr:colOff>
      <xdr:row>113</xdr:row>
      <xdr:rowOff>104220</xdr:rowOff>
    </xdr:to>
    <xdr:pic>
      <xdr:nvPicPr>
        <xdr:cNvPr id="4" name="图片 3">
          <a:extLst>
            <a:ext uri="{FF2B5EF4-FFF2-40B4-BE49-F238E27FC236}">
              <a16:creationId xmlns:a16="http://schemas.microsoft.com/office/drawing/2014/main" id="{23EB2061-864C-4064-842F-1D2A74398B38}"/>
            </a:ext>
          </a:extLst>
        </xdr:cNvPr>
        <xdr:cNvPicPr>
          <a:picLocks noChangeAspect="1"/>
        </xdr:cNvPicPr>
      </xdr:nvPicPr>
      <xdr:blipFill>
        <a:blip xmlns:r="http://schemas.openxmlformats.org/officeDocument/2006/relationships" r:embed="rId3"/>
        <a:stretch>
          <a:fillRect/>
        </a:stretch>
      </xdr:blipFill>
      <xdr:spPr>
        <a:xfrm>
          <a:off x="7376161" y="16131540"/>
          <a:ext cx="5046411" cy="2916000"/>
        </a:xfrm>
        <a:prstGeom prst="rect">
          <a:avLst/>
        </a:prstGeom>
      </xdr:spPr>
    </xdr:pic>
    <xdr:clientData/>
  </xdr:twoCellAnchor>
  <xdr:twoCellAnchor editAs="oneCell">
    <xdr:from>
      <xdr:col>0</xdr:col>
      <xdr:colOff>1</xdr:colOff>
      <xdr:row>130</xdr:row>
      <xdr:rowOff>0</xdr:rowOff>
    </xdr:from>
    <xdr:to>
      <xdr:col>9</xdr:col>
      <xdr:colOff>783976</xdr:colOff>
      <xdr:row>162</xdr:row>
      <xdr:rowOff>35520</xdr:rowOff>
    </xdr:to>
    <xdr:pic>
      <xdr:nvPicPr>
        <xdr:cNvPr id="5" name="图片 4">
          <a:extLst>
            <a:ext uri="{FF2B5EF4-FFF2-40B4-BE49-F238E27FC236}">
              <a16:creationId xmlns:a16="http://schemas.microsoft.com/office/drawing/2014/main" id="{904A948F-D131-4D9B-AD26-881563A7FD9E}"/>
            </a:ext>
          </a:extLst>
        </xdr:cNvPr>
        <xdr:cNvPicPr>
          <a:picLocks noChangeAspect="1"/>
        </xdr:cNvPicPr>
      </xdr:nvPicPr>
      <xdr:blipFill>
        <a:blip xmlns:r="http://schemas.openxmlformats.org/officeDocument/2006/relationships" r:embed="rId4"/>
        <a:stretch>
          <a:fillRect/>
        </a:stretch>
      </xdr:blipFill>
      <xdr:spPr>
        <a:xfrm>
          <a:off x="1" y="21793200"/>
          <a:ext cx="10385175" cy="5400000"/>
        </a:xfrm>
        <a:prstGeom prst="rect">
          <a:avLst/>
        </a:prstGeom>
      </xdr:spPr>
    </xdr:pic>
    <xdr:clientData/>
  </xdr:twoCellAnchor>
  <xdr:twoCellAnchor editAs="oneCell">
    <xdr:from>
      <xdr:col>10</xdr:col>
      <xdr:colOff>0</xdr:colOff>
      <xdr:row>130</xdr:row>
      <xdr:rowOff>0</xdr:rowOff>
    </xdr:from>
    <xdr:to>
      <xdr:col>12</xdr:col>
      <xdr:colOff>1142490</xdr:colOff>
      <xdr:row>140</xdr:row>
      <xdr:rowOff>123600</xdr:rowOff>
    </xdr:to>
    <xdr:pic>
      <xdr:nvPicPr>
        <xdr:cNvPr id="6" name="图片 5">
          <a:extLst>
            <a:ext uri="{FF2B5EF4-FFF2-40B4-BE49-F238E27FC236}">
              <a16:creationId xmlns:a16="http://schemas.microsoft.com/office/drawing/2014/main" id="{81E226A6-7675-4512-A79F-A38AA207A79F}"/>
            </a:ext>
          </a:extLst>
        </xdr:cNvPr>
        <xdr:cNvPicPr>
          <a:picLocks noChangeAspect="1"/>
        </xdr:cNvPicPr>
      </xdr:nvPicPr>
      <xdr:blipFill>
        <a:blip xmlns:r="http://schemas.openxmlformats.org/officeDocument/2006/relationships" r:embed="rId5"/>
        <a:stretch>
          <a:fillRect/>
        </a:stretch>
      </xdr:blipFill>
      <xdr:spPr>
        <a:xfrm>
          <a:off x="10431780" y="21793200"/>
          <a:ext cx="2750310" cy="1800000"/>
        </a:xfrm>
        <a:prstGeom prst="rect">
          <a:avLst/>
        </a:prstGeom>
      </xdr:spPr>
    </xdr:pic>
    <xdr:clientData/>
  </xdr:twoCellAnchor>
  <xdr:twoCellAnchor editAs="oneCell">
    <xdr:from>
      <xdr:col>10</xdr:col>
      <xdr:colOff>7620</xdr:colOff>
      <xdr:row>140</xdr:row>
      <xdr:rowOff>152400</xdr:rowOff>
    </xdr:from>
    <xdr:to>
      <xdr:col>14</xdr:col>
      <xdr:colOff>287286</xdr:colOff>
      <xdr:row>158</xdr:row>
      <xdr:rowOff>14880</xdr:rowOff>
    </xdr:to>
    <xdr:pic>
      <xdr:nvPicPr>
        <xdr:cNvPr id="7" name="图片 6">
          <a:extLst>
            <a:ext uri="{FF2B5EF4-FFF2-40B4-BE49-F238E27FC236}">
              <a16:creationId xmlns:a16="http://schemas.microsoft.com/office/drawing/2014/main" id="{4FA85393-3CB6-4D9B-A13B-223F45CE1AB7}"/>
            </a:ext>
          </a:extLst>
        </xdr:cNvPr>
        <xdr:cNvPicPr>
          <a:picLocks noChangeAspect="1"/>
        </xdr:cNvPicPr>
      </xdr:nvPicPr>
      <xdr:blipFill>
        <a:blip xmlns:r="http://schemas.openxmlformats.org/officeDocument/2006/relationships" r:embed="rId6"/>
        <a:stretch>
          <a:fillRect/>
        </a:stretch>
      </xdr:blipFill>
      <xdr:spPr>
        <a:xfrm>
          <a:off x="10439400" y="23622000"/>
          <a:ext cx="4684026" cy="2880000"/>
        </a:xfrm>
        <a:prstGeom prst="rect">
          <a:avLst/>
        </a:prstGeom>
      </xdr:spPr>
    </xdr:pic>
    <xdr:clientData/>
  </xdr:twoCellAnchor>
  <xdr:twoCellAnchor editAs="oneCell">
    <xdr:from>
      <xdr:col>0</xdr:col>
      <xdr:colOff>0</xdr:colOff>
      <xdr:row>165</xdr:row>
      <xdr:rowOff>0</xdr:rowOff>
    </xdr:from>
    <xdr:to>
      <xdr:col>6</xdr:col>
      <xdr:colOff>136458</xdr:colOff>
      <xdr:row>197</xdr:row>
      <xdr:rowOff>35520</xdr:rowOff>
    </xdr:to>
    <xdr:pic>
      <xdr:nvPicPr>
        <xdr:cNvPr id="8" name="图片 7">
          <a:extLst>
            <a:ext uri="{FF2B5EF4-FFF2-40B4-BE49-F238E27FC236}">
              <a16:creationId xmlns:a16="http://schemas.microsoft.com/office/drawing/2014/main" id="{DD5A491D-1ED9-48AD-A4A9-9BA0CDDC5611}"/>
            </a:ext>
          </a:extLst>
        </xdr:cNvPr>
        <xdr:cNvPicPr>
          <a:picLocks noChangeAspect="1"/>
        </xdr:cNvPicPr>
      </xdr:nvPicPr>
      <xdr:blipFill>
        <a:blip xmlns:r="http://schemas.openxmlformats.org/officeDocument/2006/relationships" r:embed="rId7"/>
        <a:stretch>
          <a:fillRect/>
        </a:stretch>
      </xdr:blipFill>
      <xdr:spPr>
        <a:xfrm>
          <a:off x="0" y="27660600"/>
          <a:ext cx="7588818" cy="5400000"/>
        </a:xfrm>
        <a:prstGeom prst="rect">
          <a:avLst/>
        </a:prstGeom>
      </xdr:spPr>
    </xdr:pic>
    <xdr:clientData/>
  </xdr:twoCellAnchor>
  <xdr:twoCellAnchor editAs="oneCell">
    <xdr:from>
      <xdr:col>7</xdr:col>
      <xdr:colOff>0</xdr:colOff>
      <xdr:row>165</xdr:row>
      <xdr:rowOff>0</xdr:rowOff>
    </xdr:from>
    <xdr:to>
      <xdr:col>9</xdr:col>
      <xdr:colOff>477196</xdr:colOff>
      <xdr:row>175</xdr:row>
      <xdr:rowOff>123600</xdr:rowOff>
    </xdr:to>
    <xdr:pic>
      <xdr:nvPicPr>
        <xdr:cNvPr id="9" name="图片 8">
          <a:extLst>
            <a:ext uri="{FF2B5EF4-FFF2-40B4-BE49-F238E27FC236}">
              <a16:creationId xmlns:a16="http://schemas.microsoft.com/office/drawing/2014/main" id="{31A62DD7-72F8-40E8-B7B1-91DBFE724D6C}"/>
            </a:ext>
          </a:extLst>
        </xdr:cNvPr>
        <xdr:cNvPicPr>
          <a:picLocks noChangeAspect="1"/>
        </xdr:cNvPicPr>
      </xdr:nvPicPr>
      <xdr:blipFill>
        <a:blip xmlns:r="http://schemas.openxmlformats.org/officeDocument/2006/relationships" r:embed="rId8"/>
        <a:stretch>
          <a:fillRect/>
        </a:stretch>
      </xdr:blipFill>
      <xdr:spPr>
        <a:xfrm>
          <a:off x="8069580" y="27660600"/>
          <a:ext cx="2008816" cy="1800000"/>
        </a:xfrm>
        <a:prstGeom prst="rect">
          <a:avLst/>
        </a:prstGeom>
      </xdr:spPr>
    </xdr:pic>
    <xdr:clientData/>
  </xdr:twoCellAnchor>
  <xdr:twoCellAnchor editAs="oneCell">
    <xdr:from>
      <xdr:col>7</xdr:col>
      <xdr:colOff>0</xdr:colOff>
      <xdr:row>176</xdr:row>
      <xdr:rowOff>76200</xdr:rowOff>
    </xdr:from>
    <xdr:to>
      <xdr:col>12</xdr:col>
      <xdr:colOff>588932</xdr:colOff>
      <xdr:row>193</xdr:row>
      <xdr:rowOff>106320</xdr:rowOff>
    </xdr:to>
    <xdr:pic>
      <xdr:nvPicPr>
        <xdr:cNvPr id="10" name="图片 9">
          <a:extLst>
            <a:ext uri="{FF2B5EF4-FFF2-40B4-BE49-F238E27FC236}">
              <a16:creationId xmlns:a16="http://schemas.microsoft.com/office/drawing/2014/main" id="{B28D7F29-4D00-48D9-91BB-AE1CE78361CC}"/>
            </a:ext>
          </a:extLst>
        </xdr:cNvPr>
        <xdr:cNvPicPr>
          <a:picLocks noChangeAspect="1"/>
        </xdr:cNvPicPr>
      </xdr:nvPicPr>
      <xdr:blipFill>
        <a:blip xmlns:r="http://schemas.openxmlformats.org/officeDocument/2006/relationships" r:embed="rId9"/>
        <a:stretch>
          <a:fillRect/>
        </a:stretch>
      </xdr:blipFill>
      <xdr:spPr>
        <a:xfrm>
          <a:off x="8069580" y="29580840"/>
          <a:ext cx="4558952" cy="2880000"/>
        </a:xfrm>
        <a:prstGeom prst="rect">
          <a:avLst/>
        </a:prstGeom>
      </xdr:spPr>
    </xdr:pic>
    <xdr:clientData/>
  </xdr:twoCellAnchor>
  <xdr:twoCellAnchor editAs="oneCell">
    <xdr:from>
      <xdr:col>0</xdr:col>
      <xdr:colOff>0</xdr:colOff>
      <xdr:row>52</xdr:row>
      <xdr:rowOff>0</xdr:rowOff>
    </xdr:from>
    <xdr:to>
      <xdr:col>7</xdr:col>
      <xdr:colOff>82801</xdr:colOff>
      <xdr:row>88</xdr:row>
      <xdr:rowOff>41150</xdr:rowOff>
    </xdr:to>
    <xdr:pic>
      <xdr:nvPicPr>
        <xdr:cNvPr id="11" name="图片 10">
          <a:extLst>
            <a:ext uri="{FF2B5EF4-FFF2-40B4-BE49-F238E27FC236}">
              <a16:creationId xmlns:a16="http://schemas.microsoft.com/office/drawing/2014/main" id="{E1A11B43-7998-4312-A60F-136D356DE40F}"/>
            </a:ext>
          </a:extLst>
        </xdr:cNvPr>
        <xdr:cNvPicPr>
          <a:picLocks noChangeAspect="1"/>
        </xdr:cNvPicPr>
      </xdr:nvPicPr>
      <xdr:blipFill>
        <a:blip xmlns:r="http://schemas.openxmlformats.org/officeDocument/2006/relationships" r:embed="rId10"/>
        <a:stretch>
          <a:fillRect/>
        </a:stretch>
      </xdr:blipFill>
      <xdr:spPr>
        <a:xfrm>
          <a:off x="0" y="8717280"/>
          <a:ext cx="8152381" cy="6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9</xdr:col>
      <xdr:colOff>229090</xdr:colOff>
      <xdr:row>60</xdr:row>
      <xdr:rowOff>96480</xdr:rowOff>
    </xdr:to>
    <xdr:pic>
      <xdr:nvPicPr>
        <xdr:cNvPr id="2" name="图片 1">
          <a:extLst>
            <a:ext uri="{FF2B5EF4-FFF2-40B4-BE49-F238E27FC236}">
              <a16:creationId xmlns:a16="http://schemas.microsoft.com/office/drawing/2014/main" id="{60A43E17-A8CC-469F-B0E4-F7772116F973}"/>
            </a:ext>
          </a:extLst>
        </xdr:cNvPr>
        <xdr:cNvPicPr>
          <a:picLocks noChangeAspect="1"/>
        </xdr:cNvPicPr>
      </xdr:nvPicPr>
      <xdr:blipFill>
        <a:blip xmlns:r="http://schemas.openxmlformats.org/officeDocument/2006/relationships" r:embed="rId1"/>
        <a:stretch>
          <a:fillRect/>
        </a:stretch>
      </xdr:blipFill>
      <xdr:spPr>
        <a:xfrm>
          <a:off x="1" y="182880"/>
          <a:ext cx="5715489" cy="5400000"/>
        </a:xfrm>
        <a:prstGeom prst="rect">
          <a:avLst/>
        </a:prstGeom>
      </xdr:spPr>
    </xdr:pic>
    <xdr:clientData/>
  </xdr:twoCellAnchor>
  <xdr:twoCellAnchor editAs="oneCell">
    <xdr:from>
      <xdr:col>0</xdr:col>
      <xdr:colOff>60960</xdr:colOff>
      <xdr:row>60</xdr:row>
      <xdr:rowOff>152400</xdr:rowOff>
    </xdr:from>
    <xdr:to>
      <xdr:col>9</xdr:col>
      <xdr:colOff>297180</xdr:colOff>
      <xdr:row>82</xdr:row>
      <xdr:rowOff>160886</xdr:rowOff>
    </xdr:to>
    <xdr:pic>
      <xdr:nvPicPr>
        <xdr:cNvPr id="3" name="图片 2">
          <a:extLst>
            <a:ext uri="{FF2B5EF4-FFF2-40B4-BE49-F238E27FC236}">
              <a16:creationId xmlns:a16="http://schemas.microsoft.com/office/drawing/2014/main" id="{9F76CC5F-96D5-4EB4-994E-10647F430FAC}"/>
            </a:ext>
          </a:extLst>
        </xdr:cNvPr>
        <xdr:cNvPicPr>
          <a:picLocks noChangeAspect="1"/>
        </xdr:cNvPicPr>
      </xdr:nvPicPr>
      <xdr:blipFill>
        <a:blip xmlns:r="http://schemas.openxmlformats.org/officeDocument/2006/relationships" r:embed="rId2"/>
        <a:stretch>
          <a:fillRect/>
        </a:stretch>
      </xdr:blipFill>
      <xdr:spPr>
        <a:xfrm>
          <a:off x="60960" y="5638800"/>
          <a:ext cx="5722620" cy="4031846"/>
        </a:xfrm>
        <a:prstGeom prst="rect">
          <a:avLst/>
        </a:prstGeom>
      </xdr:spPr>
    </xdr:pic>
    <xdr:clientData/>
  </xdr:twoCellAnchor>
  <xdr:twoCellAnchor editAs="oneCell">
    <xdr:from>
      <xdr:col>0</xdr:col>
      <xdr:colOff>1</xdr:colOff>
      <xdr:row>83</xdr:row>
      <xdr:rowOff>0</xdr:rowOff>
    </xdr:from>
    <xdr:to>
      <xdr:col>9</xdr:col>
      <xdr:colOff>312421</xdr:colOff>
      <xdr:row>86</xdr:row>
      <xdr:rowOff>133161</xdr:rowOff>
    </xdr:to>
    <xdr:pic>
      <xdr:nvPicPr>
        <xdr:cNvPr id="4" name="图片 3">
          <a:extLst>
            <a:ext uri="{FF2B5EF4-FFF2-40B4-BE49-F238E27FC236}">
              <a16:creationId xmlns:a16="http://schemas.microsoft.com/office/drawing/2014/main" id="{13405037-76A0-4EF5-B4F5-CB8BE6030B15}"/>
            </a:ext>
          </a:extLst>
        </xdr:cNvPr>
        <xdr:cNvPicPr>
          <a:picLocks noChangeAspect="1"/>
        </xdr:cNvPicPr>
      </xdr:nvPicPr>
      <xdr:blipFill>
        <a:blip xmlns:r="http://schemas.openxmlformats.org/officeDocument/2006/relationships" r:embed="rId3"/>
        <a:stretch>
          <a:fillRect/>
        </a:stretch>
      </xdr:blipFill>
      <xdr:spPr>
        <a:xfrm>
          <a:off x="1" y="9692640"/>
          <a:ext cx="5798820" cy="681801"/>
        </a:xfrm>
        <a:prstGeom prst="rect">
          <a:avLst/>
        </a:prstGeom>
      </xdr:spPr>
    </xdr:pic>
    <xdr:clientData/>
  </xdr:twoCellAnchor>
  <xdr:twoCellAnchor editAs="oneCell">
    <xdr:from>
      <xdr:col>10</xdr:col>
      <xdr:colOff>0</xdr:colOff>
      <xdr:row>31</xdr:row>
      <xdr:rowOff>0</xdr:rowOff>
    </xdr:from>
    <xdr:to>
      <xdr:col>19</xdr:col>
      <xdr:colOff>14535</xdr:colOff>
      <xdr:row>60</xdr:row>
      <xdr:rowOff>96480</xdr:rowOff>
    </xdr:to>
    <xdr:pic>
      <xdr:nvPicPr>
        <xdr:cNvPr id="5" name="图片 4">
          <a:extLst>
            <a:ext uri="{FF2B5EF4-FFF2-40B4-BE49-F238E27FC236}">
              <a16:creationId xmlns:a16="http://schemas.microsoft.com/office/drawing/2014/main" id="{B987B5F6-A772-4177-9716-42AAE79A947A}"/>
            </a:ext>
          </a:extLst>
        </xdr:cNvPr>
        <xdr:cNvPicPr>
          <a:picLocks noChangeAspect="1"/>
        </xdr:cNvPicPr>
      </xdr:nvPicPr>
      <xdr:blipFill>
        <a:blip xmlns:r="http://schemas.openxmlformats.org/officeDocument/2006/relationships" r:embed="rId4"/>
        <a:stretch>
          <a:fillRect/>
        </a:stretch>
      </xdr:blipFill>
      <xdr:spPr>
        <a:xfrm>
          <a:off x="6096000" y="182880"/>
          <a:ext cx="5500935" cy="5400000"/>
        </a:xfrm>
        <a:prstGeom prst="rect">
          <a:avLst/>
        </a:prstGeom>
      </xdr:spPr>
    </xdr:pic>
    <xdr:clientData/>
  </xdr:twoCellAnchor>
  <xdr:twoCellAnchor editAs="oneCell">
    <xdr:from>
      <xdr:col>10</xdr:col>
      <xdr:colOff>0</xdr:colOff>
      <xdr:row>60</xdr:row>
      <xdr:rowOff>182879</xdr:rowOff>
    </xdr:from>
    <xdr:to>
      <xdr:col>18</xdr:col>
      <xdr:colOff>525779</xdr:colOff>
      <xdr:row>81</xdr:row>
      <xdr:rowOff>11218</xdr:rowOff>
    </xdr:to>
    <xdr:pic>
      <xdr:nvPicPr>
        <xdr:cNvPr id="6" name="图片 5">
          <a:extLst>
            <a:ext uri="{FF2B5EF4-FFF2-40B4-BE49-F238E27FC236}">
              <a16:creationId xmlns:a16="http://schemas.microsoft.com/office/drawing/2014/main" id="{917585EF-0363-4A79-A7A5-37873757CD43}"/>
            </a:ext>
          </a:extLst>
        </xdr:cNvPr>
        <xdr:cNvPicPr>
          <a:picLocks noChangeAspect="1"/>
        </xdr:cNvPicPr>
      </xdr:nvPicPr>
      <xdr:blipFill>
        <a:blip xmlns:r="http://schemas.openxmlformats.org/officeDocument/2006/relationships" r:embed="rId5"/>
        <a:stretch>
          <a:fillRect/>
        </a:stretch>
      </xdr:blipFill>
      <xdr:spPr>
        <a:xfrm>
          <a:off x="6096000" y="5669279"/>
          <a:ext cx="5402579" cy="3668819"/>
        </a:xfrm>
        <a:prstGeom prst="rect">
          <a:avLst/>
        </a:prstGeom>
      </xdr:spPr>
    </xdr:pic>
    <xdr:clientData/>
  </xdr:twoCellAnchor>
  <xdr:twoCellAnchor editAs="oneCell">
    <xdr:from>
      <xdr:col>19</xdr:col>
      <xdr:colOff>15240</xdr:colOff>
      <xdr:row>30</xdr:row>
      <xdr:rowOff>15241</xdr:rowOff>
    </xdr:from>
    <xdr:to>
      <xdr:col>24</xdr:col>
      <xdr:colOff>550680</xdr:colOff>
      <xdr:row>43</xdr:row>
      <xdr:rowOff>45721</xdr:rowOff>
    </xdr:to>
    <xdr:pic>
      <xdr:nvPicPr>
        <xdr:cNvPr id="10" name="图片 9">
          <a:extLst>
            <a:ext uri="{FF2B5EF4-FFF2-40B4-BE49-F238E27FC236}">
              <a16:creationId xmlns:a16="http://schemas.microsoft.com/office/drawing/2014/main" id="{8F5809EB-88FF-466E-BEE1-69A1F2A09068}"/>
            </a:ext>
          </a:extLst>
        </xdr:cNvPr>
        <xdr:cNvPicPr>
          <a:picLocks noChangeAspect="1"/>
        </xdr:cNvPicPr>
      </xdr:nvPicPr>
      <xdr:blipFill>
        <a:blip xmlns:r="http://schemas.openxmlformats.org/officeDocument/2006/relationships" r:embed="rId6"/>
        <a:stretch>
          <a:fillRect/>
        </a:stretch>
      </xdr:blipFill>
      <xdr:spPr>
        <a:xfrm>
          <a:off x="11597640" y="5501641"/>
          <a:ext cx="3583440" cy="2407920"/>
        </a:xfrm>
        <a:prstGeom prst="rect">
          <a:avLst/>
        </a:prstGeom>
      </xdr:spPr>
    </xdr:pic>
    <xdr:clientData/>
  </xdr:twoCellAnchor>
  <xdr:twoCellAnchor editAs="oneCell">
    <xdr:from>
      <xdr:col>19</xdr:col>
      <xdr:colOff>0</xdr:colOff>
      <xdr:row>43</xdr:row>
      <xdr:rowOff>129540</xdr:rowOff>
    </xdr:from>
    <xdr:to>
      <xdr:col>25</xdr:col>
      <xdr:colOff>31621</xdr:colOff>
      <xdr:row>77</xdr:row>
      <xdr:rowOff>83820</xdr:rowOff>
    </xdr:to>
    <xdr:pic>
      <xdr:nvPicPr>
        <xdr:cNvPr id="11" name="图片 10">
          <a:extLst>
            <a:ext uri="{FF2B5EF4-FFF2-40B4-BE49-F238E27FC236}">
              <a16:creationId xmlns:a16="http://schemas.microsoft.com/office/drawing/2014/main" id="{FCFA9B76-6E92-4A13-96C7-840910FCA13D}"/>
            </a:ext>
          </a:extLst>
        </xdr:cNvPr>
        <xdr:cNvPicPr>
          <a:picLocks noChangeAspect="1"/>
        </xdr:cNvPicPr>
      </xdr:nvPicPr>
      <xdr:blipFill>
        <a:blip xmlns:r="http://schemas.openxmlformats.org/officeDocument/2006/relationships" r:embed="rId7"/>
        <a:stretch>
          <a:fillRect/>
        </a:stretch>
      </xdr:blipFill>
      <xdr:spPr>
        <a:xfrm>
          <a:off x="11582400" y="7993380"/>
          <a:ext cx="3689221" cy="6172200"/>
        </a:xfrm>
        <a:prstGeom prst="rect">
          <a:avLst/>
        </a:prstGeom>
      </xdr:spPr>
    </xdr:pic>
    <xdr:clientData/>
  </xdr:twoCellAnchor>
  <xdr:twoCellAnchor editAs="oneCell">
    <xdr:from>
      <xdr:col>0</xdr:col>
      <xdr:colOff>0</xdr:colOff>
      <xdr:row>0</xdr:row>
      <xdr:rowOff>0</xdr:rowOff>
    </xdr:from>
    <xdr:to>
      <xdr:col>9</xdr:col>
      <xdr:colOff>584489</xdr:colOff>
      <xdr:row>29</xdr:row>
      <xdr:rowOff>96480</xdr:rowOff>
    </xdr:to>
    <xdr:pic>
      <xdr:nvPicPr>
        <xdr:cNvPr id="12" name="图片 11">
          <a:extLst>
            <a:ext uri="{FF2B5EF4-FFF2-40B4-BE49-F238E27FC236}">
              <a16:creationId xmlns:a16="http://schemas.microsoft.com/office/drawing/2014/main" id="{39BBFF54-A1B2-4BE6-A3FA-C56F2B5C17CA}"/>
            </a:ext>
          </a:extLst>
        </xdr:cNvPr>
        <xdr:cNvPicPr>
          <a:picLocks noChangeAspect="1"/>
        </xdr:cNvPicPr>
      </xdr:nvPicPr>
      <xdr:blipFill>
        <a:blip xmlns:r="http://schemas.openxmlformats.org/officeDocument/2006/relationships" r:embed="rId8"/>
        <a:stretch>
          <a:fillRect/>
        </a:stretch>
      </xdr:blipFill>
      <xdr:spPr>
        <a:xfrm>
          <a:off x="0" y="0"/>
          <a:ext cx="6070889" cy="5400000"/>
        </a:xfrm>
        <a:prstGeom prst="rect">
          <a:avLst/>
        </a:prstGeom>
      </xdr:spPr>
    </xdr:pic>
    <xdr:clientData/>
  </xdr:twoCellAnchor>
  <xdr:twoCellAnchor editAs="oneCell">
    <xdr:from>
      <xdr:col>9</xdr:col>
      <xdr:colOff>594361</xdr:colOff>
      <xdr:row>0</xdr:row>
      <xdr:rowOff>0</xdr:rowOff>
    </xdr:from>
    <xdr:to>
      <xdr:col>19</xdr:col>
      <xdr:colOff>517926</xdr:colOff>
      <xdr:row>29</xdr:row>
      <xdr:rowOff>96480</xdr:rowOff>
    </xdr:to>
    <xdr:pic>
      <xdr:nvPicPr>
        <xdr:cNvPr id="13" name="图片 12">
          <a:extLst>
            <a:ext uri="{FF2B5EF4-FFF2-40B4-BE49-F238E27FC236}">
              <a16:creationId xmlns:a16="http://schemas.microsoft.com/office/drawing/2014/main" id="{27AE0B49-3813-482A-A241-D850350580FC}"/>
            </a:ext>
          </a:extLst>
        </xdr:cNvPr>
        <xdr:cNvPicPr>
          <a:picLocks noChangeAspect="1"/>
        </xdr:cNvPicPr>
      </xdr:nvPicPr>
      <xdr:blipFill>
        <a:blip xmlns:r="http://schemas.openxmlformats.org/officeDocument/2006/relationships" r:embed="rId9"/>
        <a:stretch>
          <a:fillRect/>
        </a:stretch>
      </xdr:blipFill>
      <xdr:spPr>
        <a:xfrm>
          <a:off x="6080761" y="0"/>
          <a:ext cx="6019565"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393351</xdr:colOff>
      <xdr:row>20</xdr:row>
      <xdr:rowOff>136800</xdr:rowOff>
    </xdr:to>
    <xdr:pic>
      <xdr:nvPicPr>
        <xdr:cNvPr id="2" name="图片 1">
          <a:extLst>
            <a:ext uri="{FF2B5EF4-FFF2-40B4-BE49-F238E27FC236}">
              <a16:creationId xmlns:a16="http://schemas.microsoft.com/office/drawing/2014/main" id="{0C11BDBB-2ECB-4E45-AADC-EF4475A8992B}"/>
            </a:ext>
          </a:extLst>
        </xdr:cNvPr>
        <xdr:cNvPicPr>
          <a:picLocks noChangeAspect="1"/>
        </xdr:cNvPicPr>
      </xdr:nvPicPr>
      <xdr:blipFill>
        <a:blip xmlns:r="http://schemas.openxmlformats.org/officeDocument/2006/relationships" r:embed="rId1"/>
        <a:stretch>
          <a:fillRect/>
        </a:stretch>
      </xdr:blipFill>
      <xdr:spPr>
        <a:xfrm>
          <a:off x="0" y="914400"/>
          <a:ext cx="5879751" cy="2880000"/>
        </a:xfrm>
        <a:prstGeom prst="rect">
          <a:avLst/>
        </a:prstGeom>
      </xdr:spPr>
    </xdr:pic>
    <xdr:clientData/>
  </xdr:twoCellAnchor>
  <xdr:twoCellAnchor editAs="oneCell">
    <xdr:from>
      <xdr:col>0</xdr:col>
      <xdr:colOff>0</xdr:colOff>
      <xdr:row>38</xdr:row>
      <xdr:rowOff>106680</xdr:rowOff>
    </xdr:from>
    <xdr:to>
      <xdr:col>9</xdr:col>
      <xdr:colOff>594360</xdr:colOff>
      <xdr:row>48</xdr:row>
      <xdr:rowOff>167763</xdr:rowOff>
    </xdr:to>
    <xdr:pic>
      <xdr:nvPicPr>
        <xdr:cNvPr id="4" name="图片 3">
          <a:extLst>
            <a:ext uri="{FF2B5EF4-FFF2-40B4-BE49-F238E27FC236}">
              <a16:creationId xmlns:a16="http://schemas.microsoft.com/office/drawing/2014/main" id="{F8AB951A-472B-49D7-9E47-55A66AA0A88D}"/>
            </a:ext>
          </a:extLst>
        </xdr:cNvPr>
        <xdr:cNvPicPr>
          <a:picLocks noChangeAspect="1"/>
        </xdr:cNvPicPr>
      </xdr:nvPicPr>
      <xdr:blipFill>
        <a:blip xmlns:r="http://schemas.openxmlformats.org/officeDocument/2006/relationships" r:embed="rId2"/>
        <a:stretch>
          <a:fillRect/>
        </a:stretch>
      </xdr:blipFill>
      <xdr:spPr>
        <a:xfrm>
          <a:off x="0" y="4678680"/>
          <a:ext cx="6080760" cy="1889883"/>
        </a:xfrm>
        <a:prstGeom prst="rect">
          <a:avLst/>
        </a:prstGeom>
      </xdr:spPr>
    </xdr:pic>
    <xdr:clientData/>
  </xdr:twoCellAnchor>
  <xdr:twoCellAnchor editAs="oneCell">
    <xdr:from>
      <xdr:col>0</xdr:col>
      <xdr:colOff>1</xdr:colOff>
      <xdr:row>50</xdr:row>
      <xdr:rowOff>1</xdr:rowOff>
    </xdr:from>
    <xdr:to>
      <xdr:col>9</xdr:col>
      <xdr:colOff>501099</xdr:colOff>
      <xdr:row>61</xdr:row>
      <xdr:rowOff>152401</xdr:rowOff>
    </xdr:to>
    <xdr:pic>
      <xdr:nvPicPr>
        <xdr:cNvPr id="5" name="图片 4">
          <a:extLst>
            <a:ext uri="{FF2B5EF4-FFF2-40B4-BE49-F238E27FC236}">
              <a16:creationId xmlns:a16="http://schemas.microsoft.com/office/drawing/2014/main" id="{DF346D11-9C72-4044-A9F8-D73F28BE05C6}"/>
            </a:ext>
          </a:extLst>
        </xdr:cNvPr>
        <xdr:cNvPicPr>
          <a:picLocks noChangeAspect="1"/>
        </xdr:cNvPicPr>
      </xdr:nvPicPr>
      <xdr:blipFill>
        <a:blip xmlns:r="http://schemas.openxmlformats.org/officeDocument/2006/relationships" r:embed="rId3"/>
        <a:stretch>
          <a:fillRect/>
        </a:stretch>
      </xdr:blipFill>
      <xdr:spPr>
        <a:xfrm>
          <a:off x="1" y="6766561"/>
          <a:ext cx="5987498" cy="2164080"/>
        </a:xfrm>
        <a:prstGeom prst="rect">
          <a:avLst/>
        </a:prstGeom>
      </xdr:spPr>
    </xdr:pic>
    <xdr:clientData/>
  </xdr:twoCellAnchor>
  <xdr:twoCellAnchor editAs="oneCell">
    <xdr:from>
      <xdr:col>10</xdr:col>
      <xdr:colOff>114300</xdr:colOff>
      <xdr:row>5</xdr:row>
      <xdr:rowOff>53340</xdr:rowOff>
    </xdr:from>
    <xdr:to>
      <xdr:col>21</xdr:col>
      <xdr:colOff>218224</xdr:colOff>
      <xdr:row>32</xdr:row>
      <xdr:rowOff>115580</xdr:rowOff>
    </xdr:to>
    <xdr:pic>
      <xdr:nvPicPr>
        <xdr:cNvPr id="6" name="图片 5">
          <a:extLst>
            <a:ext uri="{FF2B5EF4-FFF2-40B4-BE49-F238E27FC236}">
              <a16:creationId xmlns:a16="http://schemas.microsoft.com/office/drawing/2014/main" id="{338E73E6-81E9-4F1D-8705-1BA450757C83}"/>
            </a:ext>
          </a:extLst>
        </xdr:cNvPr>
        <xdr:cNvPicPr>
          <a:picLocks noChangeAspect="1"/>
        </xdr:cNvPicPr>
      </xdr:nvPicPr>
      <xdr:blipFill>
        <a:blip xmlns:r="http://schemas.openxmlformats.org/officeDocument/2006/relationships" r:embed="rId4"/>
        <a:stretch>
          <a:fillRect/>
        </a:stretch>
      </xdr:blipFill>
      <xdr:spPr>
        <a:xfrm>
          <a:off x="6210300" y="967740"/>
          <a:ext cx="6809524" cy="5000000"/>
        </a:xfrm>
        <a:prstGeom prst="rect">
          <a:avLst/>
        </a:prstGeom>
      </xdr:spPr>
    </xdr:pic>
    <xdr:clientData/>
  </xdr:twoCellAnchor>
  <xdr:twoCellAnchor editAs="oneCell">
    <xdr:from>
      <xdr:col>0</xdr:col>
      <xdr:colOff>0</xdr:colOff>
      <xdr:row>22</xdr:row>
      <xdr:rowOff>7620</xdr:rowOff>
    </xdr:from>
    <xdr:to>
      <xdr:col>9</xdr:col>
      <xdr:colOff>518522</xdr:colOff>
      <xdr:row>32</xdr:row>
      <xdr:rowOff>60960</xdr:rowOff>
    </xdr:to>
    <xdr:pic>
      <xdr:nvPicPr>
        <xdr:cNvPr id="8" name="图片 7">
          <a:extLst>
            <a:ext uri="{FF2B5EF4-FFF2-40B4-BE49-F238E27FC236}">
              <a16:creationId xmlns:a16="http://schemas.microsoft.com/office/drawing/2014/main" id="{DAD5B71F-300E-42BC-A5AD-8934D1913CD3}"/>
            </a:ext>
          </a:extLst>
        </xdr:cNvPr>
        <xdr:cNvPicPr>
          <a:picLocks noChangeAspect="1"/>
        </xdr:cNvPicPr>
      </xdr:nvPicPr>
      <xdr:blipFill>
        <a:blip xmlns:r="http://schemas.openxmlformats.org/officeDocument/2006/relationships" r:embed="rId5"/>
        <a:stretch>
          <a:fillRect/>
        </a:stretch>
      </xdr:blipFill>
      <xdr:spPr>
        <a:xfrm>
          <a:off x="0" y="4030980"/>
          <a:ext cx="6004922" cy="18821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B58" sqref="B58"/>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2652</v>
      </c>
      <c r="B1" s="2845" t="s">
        <v>2749</v>
      </c>
    </row>
    <row r="2" spans="1:55" s="2849" customFormat="1" ht="16.2" thickTop="1">
      <c r="A2" s="2847" t="s">
        <v>2656</v>
      </c>
      <c r="B2" s="2848" t="str">
        <f>'预评函-封皮'!B37</f>
        <v>天山路以东，赤水河街以南，嘉陵江路以北等6宗住宅、商业用地出让国有建设用地使用权抵押价格预评估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
      </c>
    </row>
    <row r="5" spans="1:55" s="2846" customFormat="1" ht="16.2" thickBot="1">
      <c r="A5" s="2853" t="s">
        <v>2659</v>
      </c>
      <c r="B5" s="2854" t="str">
        <f>'预评函-封皮'!B49</f>
        <v>康正预评字号</v>
      </c>
    </row>
    <row r="6" spans="1:55" s="2855" customFormat="1" ht="16.2" thickTop="1">
      <c r="A6" s="2847" t="s">
        <v>2701</v>
      </c>
      <c r="B6" s="2848" t="str">
        <f>'预评函-1'!A4</f>
        <v>受贵公司委托，我公司对天山路以东，赤水河街以南，嘉陵江路以北等6宗住宅、商业用地出让国有建设用地使用权抵押价格进行了预评估。</v>
      </c>
      <c r="AM6" s="2856"/>
    </row>
    <row r="7" spans="1:55" s="2830" customFormat="1">
      <c r="A7" s="2831" t="s">
        <v>2653</v>
      </c>
      <c r="B7" s="2832" t="str">
        <f>'预评函-1'!A6</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拟使用天山路以东，赤水河街以南，嘉陵江路以北等6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2020年3月15日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根据《国有土地使用证》[]，估价对象（分摊）出让国有建设用地使用权面积为40851.83平方米。根据《建设工程规划许可证》[]、《出让合同》[]，估价对象规划建筑面积为61277.75平方米。</v>
      </c>
    </row>
    <row r="16" spans="1:55" s="2830" customFormat="1">
      <c r="A16" s="2831" t="s">
        <v>2665</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2670</v>
      </c>
      <c r="B21" s="2854" t="str">
        <f>'预评函-1'!A28</f>
        <v/>
      </c>
    </row>
    <row r="22" spans="1:48" ht="16.2"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估价期日：2020年3月15日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40851.83</v>
      </c>
    </row>
    <row r="44" spans="1:2">
      <c r="A44" s="2831" t="s">
        <v>2736</v>
      </c>
      <c r="B44" s="2832" t="str">
        <f>'预评函-2'!O3</f>
        <v>规划建筑面积/㎡</v>
      </c>
    </row>
    <row r="45" spans="1:2">
      <c r="A45" s="2831" t="s">
        <v>2718</v>
      </c>
      <c r="B45" s="2832">
        <f>'预评函-2'!O5</f>
        <v>61277.75</v>
      </c>
    </row>
    <row r="46" spans="1:2">
      <c r="A46" s="2831" t="s">
        <v>2719</v>
      </c>
      <c r="B46" s="2832">
        <f ca="1">'预评函-2'!P5</f>
        <v>3718</v>
      </c>
    </row>
    <row r="47" spans="1:2">
      <c r="A47" s="2831" t="s">
        <v>2720</v>
      </c>
      <c r="B47" s="2832">
        <f ca="1">'预评函-2'!Q5</f>
        <v>2479</v>
      </c>
    </row>
    <row r="48" spans="1:2">
      <c r="A48" s="2831" t="s">
        <v>2721</v>
      </c>
      <c r="B48" s="2832">
        <f ca="1">'预评函-2'!R5</f>
        <v>15190</v>
      </c>
    </row>
    <row r="49" spans="1:2">
      <c r="A49" s="2831" t="s">
        <v>2737</v>
      </c>
      <c r="B49" s="2832" t="str">
        <f>'预评函-2'!A6</f>
        <v>抵押价格</v>
      </c>
    </row>
    <row r="50" spans="1:2">
      <c r="A50" s="2831" t="s">
        <v>2722</v>
      </c>
      <c r="B50" s="2832">
        <f ca="1">'预评函-2'!R6</f>
        <v>15190</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6.2" thickBot="1">
      <c r="A54" s="2853" t="s">
        <v>2724</v>
      </c>
      <c r="B54" s="2854" t="str">
        <f>'预评函-2'!R8</f>
        <v>——</v>
      </c>
    </row>
    <row r="55" spans="1:2" ht="16.2" thickTop="1">
      <c r="A55" s="2842" t="s">
        <v>2674</v>
      </c>
      <c r="B55" s="2843" t="str">
        <f>'预评函-3'!A2</f>
        <v>1.权利限制：根据估价对象《不动产权证书》原件、《国有土地使用权》复印件，截至估价期日，估价对象抵押权未见登记。未设定租赁等其他他项权利。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6.2" thickBot="1">
      <c r="A58" s="2853" t="s">
        <v>2725</v>
      </c>
      <c r="B58" s="2854" t="str">
        <f>'预评函-3'!A5</f>
        <v>4.影响价格的其他限定条件：无。</v>
      </c>
    </row>
    <row r="59" spans="1:2" ht="16.2"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2688</v>
      </c>
      <c r="B68" s="2857">
        <f>'预评函-3'!D30</f>
        <v>42558</v>
      </c>
    </row>
    <row r="69" spans="1:2" ht="16.2"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6.2" thickBot="1">
      <c r="A72" s="2853" t="s">
        <v>2687</v>
      </c>
      <c r="B72" s="2859">
        <f>'预评函-3'!B21</f>
        <v>0</v>
      </c>
    </row>
    <row r="73" spans="1:2" ht="16.2"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K18" sqref="K18"/>
    </sheetView>
  </sheetViews>
  <sheetFormatPr defaultColWidth="10" defaultRowHeight="15.6"/>
  <cols>
    <col min="1" max="1" width="15.33203125" style="1673" customWidth="1"/>
    <col min="2" max="2" width="11.33203125" style="1673" customWidth="1"/>
    <col min="3" max="3" width="12.6640625" style="1673" customWidth="1"/>
    <col min="4" max="4" width="11"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3" t="s">
        <v>1934</v>
      </c>
      <c r="B1" s="3227" t="str">
        <f>IF(B10="北京市","北京市",C10)&amp;F10&amp;B16&amp;"国有建设用地使用权"&amp;B9&amp;"预评估"</f>
        <v>天山路以东，赤水河街以南，嘉陵江路以北等6宗住宅、商业用地出让国有建设用地使用权抵押价格预评估</v>
      </c>
      <c r="C1" s="3228"/>
      <c r="D1" s="3228"/>
      <c r="E1" s="3228"/>
      <c r="F1" s="3228"/>
      <c r="G1" s="3228"/>
      <c r="H1" s="3228"/>
      <c r="I1" s="3229"/>
      <c r="J1" s="1676"/>
      <c r="K1" s="2417" t="str">
        <f>IF(B10="北京市","北京市",C10)&amp;F10&amp;B16&amp;"国有建设用地使用权"&amp;B9</f>
        <v>天山路以东，赤水河街以南，嘉陵江路以北等6宗住宅、商业用地出让国有建设用地使用权抵押价格</v>
      </c>
      <c r="L1" s="1705"/>
      <c r="M1" s="1705"/>
      <c r="N1" s="1676"/>
      <c r="O1" s="1677"/>
      <c r="P1" s="1676"/>
      <c r="Q1" s="1676"/>
      <c r="R1" s="1676"/>
      <c r="S1" s="1676"/>
      <c r="T1" s="1676"/>
      <c r="U1" s="1676"/>
    </row>
    <row r="2" spans="1:21">
      <c r="A2" s="1644" t="s">
        <v>1935</v>
      </c>
      <c r="B2" s="1824"/>
      <c r="D2" s="1676"/>
      <c r="E2" s="1676"/>
      <c r="F2" s="1676"/>
      <c r="G2" s="1676"/>
      <c r="H2" s="1644"/>
      <c r="I2" s="1677"/>
      <c r="J2" s="1676"/>
      <c r="K2" s="2417" t="str">
        <f>IF(B10="北京市","北京市",C10)&amp;F10&amp;B16&amp;"国有建设用地使用权"</f>
        <v>天山路以东，赤水河街以南，嘉陵江路以北等6宗住宅、商业用地出让国有建设用地使用权</v>
      </c>
      <c r="L2" s="1705"/>
      <c r="M2" s="1705"/>
      <c r="N2" s="1676"/>
      <c r="O2" s="1677"/>
      <c r="P2" s="1676"/>
      <c r="Q2" s="1676"/>
      <c r="R2" s="1676"/>
      <c r="S2" s="1676"/>
      <c r="T2" s="1676"/>
      <c r="U2" s="1676"/>
    </row>
    <row r="3" spans="1:21">
      <c r="A3" s="1645" t="s">
        <v>1936</v>
      </c>
      <c r="B3" s="1646"/>
      <c r="C3" s="1647" t="s">
        <v>1992</v>
      </c>
      <c r="D3" s="1646">
        <v>43905</v>
      </c>
      <c r="E3" s="1676"/>
      <c r="F3" s="1676"/>
      <c r="G3" s="1676"/>
      <c r="H3" s="1644"/>
      <c r="I3" s="1677"/>
      <c r="J3" s="1676"/>
      <c r="K3" s="1756"/>
      <c r="L3" s="1705"/>
      <c r="M3" s="1705"/>
      <c r="N3" s="1676"/>
      <c r="O3" s="1677"/>
      <c r="P3" s="1676"/>
      <c r="Q3" s="1676"/>
      <c r="R3" s="1676"/>
      <c r="S3" s="1676"/>
      <c r="T3" s="1676"/>
      <c r="U3" s="1676"/>
    </row>
    <row r="4" spans="1:21" ht="31.8" thickBot="1">
      <c r="A4" s="1648" t="s">
        <v>1937</v>
      </c>
      <c r="B4" s="1825" t="s">
        <v>2885</v>
      </c>
      <c r="C4" s="1828">
        <f>SUMIF(土地估价师,B4,估价师及机构信息!E3:E24)</f>
        <v>0</v>
      </c>
      <c r="D4" s="1825" t="s">
        <v>2885</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9" t="s">
        <v>1938</v>
      </c>
      <c r="B5" s="1771"/>
      <c r="C5" s="1650"/>
      <c r="D5" s="1651"/>
      <c r="E5" s="1676"/>
      <c r="F5" s="1676"/>
      <c r="G5" s="1676"/>
      <c r="H5" s="1644"/>
      <c r="I5" s="1677"/>
      <c r="J5" s="1676"/>
      <c r="K5" s="1756"/>
      <c r="L5" s="1705"/>
      <c r="M5" s="1705"/>
      <c r="N5" s="1676"/>
      <c r="O5" s="1677"/>
      <c r="P5" s="1676"/>
      <c r="Q5" s="1676"/>
      <c r="R5" s="1676"/>
      <c r="S5" s="1676"/>
      <c r="T5" s="1676"/>
      <c r="U5" s="1676"/>
    </row>
    <row r="6" spans="1:21" ht="27.6">
      <c r="A6" s="1647" t="s">
        <v>2702</v>
      </c>
      <c r="B6" s="1771"/>
      <c r="C6" s="1743"/>
      <c r="D6" s="1652"/>
      <c r="E6" s="1676"/>
      <c r="F6" s="1676"/>
      <c r="G6" s="1676"/>
      <c r="H6" s="1644"/>
      <c r="I6" s="1677"/>
      <c r="J6" s="1676"/>
      <c r="K6" s="3005" t="str">
        <f>IF(COUNTIF(B6,"*上海银行*"),"上海银行","")</f>
        <v/>
      </c>
      <c r="L6" s="1705"/>
      <c r="M6" s="1705"/>
      <c r="N6" s="1676"/>
      <c r="O6" s="1677"/>
      <c r="P6" s="1676"/>
      <c r="Q6" s="1676"/>
      <c r="R6" s="1676"/>
      <c r="S6" s="1676"/>
      <c r="T6" s="1676"/>
      <c r="U6" s="1676"/>
    </row>
    <row r="7" spans="1:21">
      <c r="A7" s="1653" t="s">
        <v>2703</v>
      </c>
      <c r="B7" s="1771"/>
      <c r="C7" s="1743"/>
      <c r="D7" s="1652"/>
      <c r="E7" s="1676"/>
      <c r="F7" s="1676"/>
      <c r="G7" s="1676"/>
      <c r="H7" s="1644"/>
      <c r="I7" s="1677"/>
      <c r="J7" s="1676"/>
      <c r="K7" s="1756"/>
      <c r="L7" s="1705"/>
      <c r="M7" s="1705"/>
      <c r="N7" s="1676"/>
      <c r="O7" s="1677"/>
      <c r="P7" s="1676"/>
      <c r="Q7" s="1676"/>
      <c r="R7" s="1676"/>
      <c r="S7" s="1676"/>
      <c r="T7" s="1676"/>
      <c r="U7" s="1676"/>
    </row>
    <row r="8" spans="1:21">
      <c r="A8" s="1653" t="s">
        <v>1939</v>
      </c>
      <c r="B8" s="1654" t="s">
        <v>2984</v>
      </c>
      <c r="C8" s="1655"/>
      <c r="D8" s="3233" t="s">
        <v>1941</v>
      </c>
      <c r="E8" s="1826" t="s">
        <v>3014</v>
      </c>
      <c r="F8" s="1656"/>
      <c r="G8" s="1644"/>
      <c r="H8" s="1644"/>
      <c r="I8" s="1689"/>
      <c r="J8" s="1676"/>
      <c r="K8" s="1756"/>
      <c r="L8" s="1705"/>
      <c r="M8" s="1705"/>
      <c r="N8" s="1676"/>
      <c r="O8" s="1677"/>
      <c r="P8" s="1676"/>
      <c r="Q8" s="1676"/>
      <c r="R8" s="1676"/>
      <c r="S8" s="1676"/>
      <c r="T8" s="1676"/>
      <c r="U8" s="1676"/>
    </row>
    <row r="9" spans="1:21" ht="16.2" thickBot="1">
      <c r="A9" s="1657" t="s">
        <v>1940</v>
      </c>
      <c r="B9" s="1658" t="s">
        <v>3014</v>
      </c>
      <c r="C9" s="1659"/>
      <c r="D9" s="3234"/>
      <c r="E9" s="1658" t="s">
        <v>951</v>
      </c>
      <c r="F9" s="1729"/>
      <c r="G9" s="1724"/>
      <c r="H9" s="1724"/>
      <c r="I9" s="1725"/>
      <c r="J9" s="1676"/>
      <c r="K9" s="1756"/>
      <c r="L9" s="1705"/>
      <c r="M9" s="1705"/>
      <c r="N9" s="1676"/>
      <c r="O9" s="1677"/>
      <c r="P9" s="1676"/>
      <c r="Q9" s="1676"/>
      <c r="R9" s="1676"/>
      <c r="S9" s="1676"/>
      <c r="T9" s="1676"/>
      <c r="U9" s="1676"/>
    </row>
    <row r="10" spans="1:21" ht="16.2" thickTop="1">
      <c r="A10" s="1726" t="s">
        <v>1996</v>
      </c>
      <c r="B10" s="1701" t="s">
        <v>3015</v>
      </c>
      <c r="C10" s="1660"/>
      <c r="D10" s="1651"/>
      <c r="E10" s="1661" t="s">
        <v>1943</v>
      </c>
      <c r="F10" s="3183" t="s">
        <v>3016</v>
      </c>
      <c r="G10" s="1727"/>
      <c r="H10" s="1728"/>
      <c r="I10" s="1651"/>
      <c r="J10" s="1676"/>
      <c r="K10" s="1756"/>
      <c r="L10" s="1705"/>
      <c r="M10" s="1705"/>
      <c r="N10" s="1676"/>
      <c r="O10" s="1677"/>
      <c r="P10" s="1676"/>
      <c r="Q10" s="1676"/>
      <c r="R10" s="1676"/>
      <c r="S10" s="1676"/>
      <c r="T10" s="1676"/>
      <c r="U10" s="1676"/>
    </row>
    <row r="11" spans="1:21">
      <c r="A11" s="1679" t="s">
        <v>1997</v>
      </c>
      <c r="B11" s="1680" t="s">
        <v>3017</v>
      </c>
      <c r="C11" s="3184" t="s">
        <v>3019</v>
      </c>
      <c r="D11" s="1744"/>
      <c r="E11" s="1644"/>
      <c r="F11" s="1644"/>
      <c r="G11" s="1644"/>
      <c r="H11" s="1644"/>
      <c r="I11" s="1644"/>
      <c r="J11" s="1676"/>
      <c r="K11" s="1756"/>
      <c r="L11" s="1705"/>
      <c r="M11" s="1705"/>
      <c r="N11" s="1676"/>
      <c r="O11" s="1677"/>
      <c r="P11" s="1676"/>
      <c r="Q11" s="1676"/>
      <c r="R11" s="1676"/>
      <c r="S11" s="1676"/>
      <c r="T11" s="1676"/>
      <c r="U11" s="1676"/>
    </row>
    <row r="12" spans="1:21">
      <c r="A12" s="1767" t="s">
        <v>2055</v>
      </c>
      <c r="B12" s="3230"/>
      <c r="C12" s="3231"/>
      <c r="D12" s="3232"/>
      <c r="E12" s="1681" t="s">
        <v>2058</v>
      </c>
      <c r="F12" s="3248" t="s">
        <v>2886</v>
      </c>
      <c r="G12" s="3249"/>
      <c r="H12" s="3249"/>
      <c r="I12" s="3250"/>
      <c r="J12" s="1676"/>
      <c r="K12" s="1756"/>
      <c r="L12" s="1705"/>
      <c r="M12" s="1705"/>
      <c r="N12" s="1676"/>
      <c r="O12" s="1677"/>
      <c r="P12" s="1676"/>
      <c r="Q12" s="1676"/>
      <c r="R12" s="1676"/>
      <c r="S12" s="1676"/>
      <c r="T12" s="1676"/>
      <c r="U12" s="1676"/>
    </row>
    <row r="13" spans="1:21">
      <c r="A13" s="1669" t="s">
        <v>2056</v>
      </c>
      <c r="B13" s="3230"/>
      <c r="C13" s="3231"/>
      <c r="D13" s="3232"/>
      <c r="E13" s="1681" t="s">
        <v>2058</v>
      </c>
      <c r="F13" s="3248" t="s">
        <v>2887</v>
      </c>
      <c r="G13" s="3249"/>
      <c r="H13" s="3249"/>
      <c r="I13" s="3250"/>
      <c r="J13" s="1676"/>
      <c r="K13" s="1756"/>
      <c r="L13" s="1705"/>
      <c r="M13" s="1705"/>
      <c r="N13" s="1676"/>
      <c r="O13" s="1677"/>
      <c r="P13" s="1676"/>
      <c r="Q13" s="1676"/>
      <c r="R13" s="1676"/>
      <c r="S13" s="1676"/>
      <c r="T13" s="1676"/>
      <c r="U13" s="1676"/>
    </row>
    <row r="14" spans="1:21">
      <c r="A14" s="1645" t="s">
        <v>2059</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7"/>
      <c r="C15" s="1647"/>
      <c r="D15" s="1748" t="s">
        <v>1946</v>
      </c>
      <c r="E15" s="1748" t="s">
        <v>1947</v>
      </c>
      <c r="F15" s="1748" t="s">
        <v>1948</v>
      </c>
      <c r="G15" s="1668" t="s">
        <v>1949</v>
      </c>
      <c r="H15" s="1668" t="s">
        <v>1950</v>
      </c>
      <c r="I15" s="1668" t="s">
        <v>1951</v>
      </c>
      <c r="J15" s="1676"/>
      <c r="K15" s="1756"/>
      <c r="L15" s="1705"/>
      <c r="M15" s="1705"/>
      <c r="N15" s="1676"/>
      <c r="O15" s="1677"/>
      <c r="P15" s="1676"/>
      <c r="Q15" s="1676"/>
      <c r="R15" s="1676"/>
      <c r="S15" s="1676"/>
      <c r="T15" s="1676"/>
      <c r="U15" s="1676"/>
    </row>
    <row r="16" spans="1:21" ht="46.8">
      <c r="A16" s="1662" t="s">
        <v>1944</v>
      </c>
      <c r="B16" s="1663" t="s">
        <v>2979</v>
      </c>
      <c r="C16" s="1681" t="s">
        <v>1945</v>
      </c>
      <c r="D16" s="2608" t="s">
        <v>1946</v>
      </c>
      <c r="E16" s="1704" t="s">
        <v>3020</v>
      </c>
      <c r="F16" s="1704"/>
      <c r="G16" s="1704"/>
      <c r="H16" s="1704"/>
      <c r="I16" s="1668" t="s">
        <v>1951</v>
      </c>
      <c r="J16" s="1676"/>
      <c r="K16" s="2418" t="str">
        <f>IF(D17="","",D16&amp;TEXT(D17,"yyyy年m月d日;;"))</f>
        <v>住宅2089年10月24日</v>
      </c>
      <c r="L16" s="1681" t="str">
        <f>IF(OR(K16="",M16=""),"","、")</f>
        <v>、</v>
      </c>
      <c r="M16" s="2418" t="str">
        <f>IF(E17="","",E16&amp;TEXT(E17,"yyyy年m月d日;;"))</f>
        <v>商业2059年10月24日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1952</v>
      </c>
      <c r="D17" s="1682">
        <v>69330</v>
      </c>
      <c r="E17" s="1682">
        <v>58372</v>
      </c>
      <c r="F17" s="1682"/>
      <c r="G17" s="1682"/>
      <c r="H17" s="1682"/>
      <c r="I17" s="1682"/>
      <c r="J17" s="1676"/>
      <c r="K17" s="2417" t="str">
        <f>CONCATENATE(K16,L16,M16,N16,O16,P16,Q16,R16,S16,T16,,U16)</f>
        <v>住宅2089年10月24日、商业2059年10月24日</v>
      </c>
      <c r="L17" s="1705"/>
      <c r="M17" s="1705"/>
      <c r="N17" s="1676"/>
      <c r="O17" s="1677"/>
      <c r="P17" s="1676"/>
      <c r="Q17" s="1676"/>
      <c r="R17" s="1676"/>
      <c r="S17" s="1676"/>
      <c r="T17" s="1676"/>
      <c r="U17" s="1676"/>
    </row>
    <row r="18" spans="1:21">
      <c r="A18" s="1745"/>
      <c r="B18" s="1664"/>
      <c r="C18" s="1665" t="s">
        <v>1953</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4" t="s">
        <v>1954</v>
      </c>
      <c r="D19" s="1740">
        <f>IF(B16="出让",IF(D17="","",ROUNDDOWN(MIN((D17-$D$3)/365,D18),2)),D18)</f>
        <v>69.650000000000006</v>
      </c>
      <c r="E19" s="1667">
        <f>IF(B16="出让",IF(E17="","",ROUNDDOWN(MIN((E17-$D$3)/365,E18),2)),E18)</f>
        <v>39.630000000000003</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45"/>
      <c r="E20" s="3246"/>
      <c r="F20" s="3246"/>
      <c r="G20" s="3246"/>
      <c r="H20" s="3246"/>
      <c r="I20" s="3247"/>
      <c r="J20" s="1676"/>
      <c r="K20" s="1756"/>
      <c r="L20" s="1705"/>
      <c r="M20" s="1705"/>
      <c r="N20" s="1676"/>
      <c r="O20" s="1677"/>
      <c r="P20" s="1676"/>
      <c r="Q20" s="1676"/>
      <c r="R20" s="1676"/>
      <c r="S20" s="1676"/>
      <c r="T20" s="1676"/>
      <c r="U20" s="1676"/>
    </row>
    <row r="21" spans="1:21">
      <c r="A21" s="1745" t="s">
        <v>1955</v>
      </c>
      <c r="B21" s="1746" t="s">
        <v>1956</v>
      </c>
      <c r="C21" s="1741">
        <f>'数据-汇总表'!E3</f>
        <v>61277.75</v>
      </c>
      <c r="D21" s="1742" t="s">
        <v>1957</v>
      </c>
      <c r="E21" s="3235" t="s">
        <v>1995</v>
      </c>
      <c r="F21" s="3236"/>
      <c r="G21" s="3236"/>
      <c r="H21" s="3236"/>
      <c r="I21" s="3237"/>
      <c r="J21" s="1676"/>
      <c r="K21" s="1756"/>
      <c r="L21" s="1705"/>
      <c r="M21" s="1705"/>
      <c r="N21" s="1676"/>
      <c r="O21" s="1677"/>
      <c r="P21" s="1676"/>
      <c r="Q21" s="1676"/>
      <c r="R21" s="1676"/>
      <c r="S21" s="1676"/>
      <c r="T21" s="1676"/>
      <c r="U21" s="1676"/>
    </row>
    <row r="22" spans="1:21">
      <c r="A22" s="3094" t="s">
        <v>951</v>
      </c>
      <c r="B22" s="1645" t="s">
        <v>1958</v>
      </c>
      <c r="C22" s="1668">
        <f>'数据-汇总表'!D3</f>
        <v>40851.83</v>
      </c>
      <c r="D22" s="1669" t="s">
        <v>1957</v>
      </c>
      <c r="E22" s="3235" t="s">
        <v>2888</v>
      </c>
      <c r="F22" s="3236"/>
      <c r="G22" s="3236"/>
      <c r="H22" s="3236"/>
      <c r="I22" s="3237"/>
      <c r="J22" s="1676"/>
      <c r="K22" s="1756"/>
      <c r="L22" s="1705"/>
      <c r="M22" s="1705"/>
      <c r="N22" s="1676"/>
      <c r="O22" s="1677"/>
      <c r="P22" s="1676"/>
      <c r="Q22" s="1676"/>
      <c r="R22" s="1676"/>
      <c r="S22" s="1676"/>
      <c r="T22" s="1676"/>
      <c r="U22" s="1676"/>
    </row>
    <row r="23" spans="1:21" ht="47.4" thickBot="1">
      <c r="A23" s="1747" t="s">
        <v>1959</v>
      </c>
      <c r="B23" s="1683" t="s">
        <v>1960</v>
      </c>
      <c r="C23" s="1684"/>
      <c r="D23" s="1685" t="s">
        <v>1961</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1962</v>
      </c>
      <c r="B24" s="3238" t="s">
        <v>1963</v>
      </c>
      <c r="C24" s="3239"/>
      <c r="D24" s="3240" t="s">
        <v>1964</v>
      </c>
      <c r="E24" s="3241"/>
      <c r="F24" s="1690" t="s">
        <v>1965</v>
      </c>
      <c r="G24" s="1676"/>
      <c r="H24" s="1676"/>
      <c r="I24" s="1689"/>
      <c r="J24" s="1676"/>
      <c r="K24" s="3226" t="s">
        <v>1966</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2322</v>
      </c>
      <c r="C25" s="1691" t="s">
        <v>1967</v>
      </c>
      <c r="D25" s="1692"/>
      <c r="E25" s="1693" t="s">
        <v>951</v>
      </c>
      <c r="F25" s="1694"/>
      <c r="G25" s="1676"/>
      <c r="H25" s="1676"/>
      <c r="I25" s="1689"/>
      <c r="J25" s="1676"/>
      <c r="K25" s="322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1968</v>
      </c>
      <c r="C26" s="1691" t="s">
        <v>2323</v>
      </c>
      <c r="D26" s="1644"/>
      <c r="E26" s="1644"/>
      <c r="F26" s="1670"/>
      <c r="G26" s="1676"/>
      <c r="H26" s="1676"/>
      <c r="I26" s="1689"/>
      <c r="J26" s="1676"/>
      <c r="K26" s="322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6.2" thickTop="1">
      <c r="A31" s="3253" t="s">
        <v>1998</v>
      </c>
      <c r="B31" s="1746" t="s">
        <v>1999</v>
      </c>
      <c r="C31" s="3251"/>
      <c r="D31" s="3252"/>
      <c r="E31" s="1676"/>
      <c r="F31" s="1676"/>
      <c r="G31" s="1676"/>
      <c r="H31" s="1676"/>
      <c r="I31" s="1689"/>
      <c r="J31" s="1676"/>
      <c r="K31" s="2420"/>
      <c r="L31" s="1676"/>
      <c r="M31" s="1676"/>
      <c r="N31" s="1676"/>
      <c r="O31" s="1676"/>
      <c r="P31" s="1676"/>
      <c r="Q31" s="1676"/>
      <c r="R31" s="1676"/>
      <c r="S31" s="1676"/>
      <c r="T31" s="1676"/>
      <c r="U31" s="1676"/>
    </row>
    <row r="32" spans="1:21">
      <c r="A32" s="3253"/>
      <c r="B32" s="1645" t="s">
        <v>2000</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3"/>
      <c r="B33" s="1645" t="s">
        <v>2001</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4"/>
      <c r="B34" s="1645" t="s">
        <v>2002</v>
      </c>
      <c r="C34" s="3255"/>
      <c r="D34" s="3256"/>
      <c r="E34" s="1676"/>
      <c r="F34" s="1676"/>
      <c r="G34" s="1676"/>
      <c r="H34" s="1676"/>
      <c r="I34" s="1689"/>
      <c r="J34" s="1676"/>
      <c r="K34" s="2420"/>
      <c r="L34" s="1676"/>
      <c r="M34" s="1676"/>
      <c r="N34" s="1676"/>
      <c r="O34" s="1676"/>
      <c r="P34" s="1676"/>
      <c r="Q34" s="1676"/>
      <c r="R34" s="1676"/>
      <c r="S34" s="1676"/>
      <c r="T34" s="1676"/>
      <c r="U34" s="1676"/>
    </row>
    <row r="35" spans="1:21">
      <c r="A35" s="3257" t="s">
        <v>846</v>
      </c>
      <c r="B35" s="1704"/>
      <c r="C35" s="1758" t="str">
        <f>IF(B35="场地平整","——","具体情况：")</f>
        <v>具体情况：</v>
      </c>
      <c r="D35" s="3259"/>
      <c r="E35" s="3260"/>
      <c r="F35" s="3260"/>
      <c r="G35" s="3260"/>
      <c r="H35" s="3260"/>
      <c r="I35" s="3261"/>
      <c r="J35" s="1676"/>
      <c r="K35" s="1757"/>
      <c r="L35" s="1705"/>
      <c r="M35" s="1705"/>
      <c r="N35" s="1676"/>
      <c r="O35" s="1677"/>
      <c r="P35" s="1676"/>
      <c r="Q35" s="1676"/>
      <c r="R35" s="1676"/>
      <c r="S35" s="1676"/>
      <c r="T35" s="1676"/>
      <c r="U35" s="1676"/>
    </row>
    <row r="36" spans="1:21">
      <c r="A36" s="3253"/>
      <c r="B36" s="3262" t="s">
        <v>2051</v>
      </c>
      <c r="C36" s="3263"/>
      <c r="D36" s="1774"/>
      <c r="E36" s="3264"/>
      <c r="F36" s="3264"/>
      <c r="G36" s="1669" t="str">
        <f>IF(B35="场地未平整","估价结果处理","")</f>
        <v/>
      </c>
      <c r="H36" s="3265"/>
      <c r="I36" s="3265"/>
      <c r="J36" s="1676"/>
      <c r="K36" s="1757"/>
      <c r="L36" s="1705"/>
      <c r="M36" s="1705"/>
      <c r="N36" s="1676"/>
      <c r="O36" s="1677"/>
      <c r="P36" s="1676"/>
      <c r="Q36" s="1676"/>
      <c r="R36" s="1676"/>
      <c r="S36" s="1676"/>
      <c r="T36" s="1676"/>
      <c r="U36" s="1676"/>
    </row>
    <row r="37" spans="1:21" ht="31.2">
      <c r="A37" s="3253"/>
      <c r="B37" s="3242"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53"/>
      <c r="B38" s="3243"/>
      <c r="C38" s="1653" t="s">
        <v>849</v>
      </c>
      <c r="D38" s="1773">
        <f>ROUNDDOWN(MIN(('数据-取费表'!$B$2-D37)/365,D34),1)</f>
        <v>120.2</v>
      </c>
      <c r="E38" s="1709" t="s">
        <v>850</v>
      </c>
      <c r="F38" s="1676"/>
      <c r="G38" s="1676"/>
      <c r="H38" s="1676"/>
      <c r="I38" s="1689"/>
      <c r="J38" s="1676"/>
      <c r="K38" s="1757"/>
      <c r="L38" s="1676"/>
      <c r="M38" s="1676"/>
      <c r="N38" s="1676"/>
      <c r="O38" s="1676"/>
      <c r="P38" s="1676"/>
      <c r="Q38" s="1676"/>
      <c r="R38" s="1676"/>
      <c r="S38" s="1676"/>
      <c r="T38" s="1676"/>
      <c r="U38" s="1676"/>
    </row>
    <row r="39" spans="1:21">
      <c r="A39" s="3254"/>
      <c r="B39" s="324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c r="C40" s="1672"/>
      <c r="D40" s="1672"/>
      <c r="E40" s="1672"/>
      <c r="F40" s="1672"/>
      <c r="G40" s="1672"/>
      <c r="H40" s="1672"/>
      <c r="I40" s="1689"/>
      <c r="J40" s="1676"/>
      <c r="K40" s="1712">
        <f>COUNTIF(B40:H40,"——")</f>
        <v>0</v>
      </c>
      <c r="L40" s="1681" t="s">
        <v>1975</v>
      </c>
      <c r="M40" s="1678" t="s">
        <v>1976</v>
      </c>
      <c r="N40" s="1678" t="s">
        <v>1977</v>
      </c>
      <c r="O40" s="1678" t="s">
        <v>1978</v>
      </c>
      <c r="P40" s="1678" t="s">
        <v>1979</v>
      </c>
      <c r="Q40" s="1678" t="s">
        <v>1980</v>
      </c>
      <c r="R40" s="1678" t="s">
        <v>1981</v>
      </c>
      <c r="S40" s="3225" t="s">
        <v>1982</v>
      </c>
      <c r="T40" s="1713" t="str">
        <f>NUMBERSTRING(7-K40,1)&amp;"通"</f>
        <v>七通</v>
      </c>
      <c r="U40" s="1676"/>
    </row>
    <row r="41" spans="1:21">
      <c r="A41" s="1647"/>
      <c r="B41" s="3258" t="s">
        <v>1720</v>
      </c>
      <c r="C41" s="3258"/>
      <c r="D41" s="3258"/>
      <c r="E41" s="3258"/>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5"/>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面积表!D5</f>
        <v>40851.83</v>
      </c>
      <c r="B3" s="22">
        <f>IF(C3="否",G5-AT5,G5)</f>
        <v>61277.75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61277.75</v>
      </c>
      <c r="H5" s="27">
        <f t="shared" ref="H5:AT5" si="0">SUM(H13:H641)</f>
        <v>61277.75</v>
      </c>
      <c r="I5" s="27">
        <f t="shared" si="0"/>
        <v>58213.86</v>
      </c>
      <c r="J5" s="27">
        <f t="shared" si="0"/>
        <v>0</v>
      </c>
      <c r="K5" s="27">
        <f t="shared" si="0"/>
        <v>3063.89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61277.75</v>
      </c>
      <c r="BA5" s="29">
        <f t="shared" si="1"/>
        <v>61277.75</v>
      </c>
      <c r="BB5" s="29">
        <f t="shared" si="1"/>
        <v>58213.86</v>
      </c>
      <c r="BC5" s="29">
        <f t="shared" si="1"/>
        <v>3063.89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40851.829999999994</v>
      </c>
      <c r="F6" s="27" t="s">
        <v>1</v>
      </c>
      <c r="G6" s="27" t="s">
        <v>2</v>
      </c>
      <c r="H6" s="33">
        <f>SUMIF(I$12:AB$12,"总值",I6:AB6)</f>
        <v>40851.829999999994</v>
      </c>
      <c r="I6" s="27">
        <f t="shared" ref="I6:AB6" si="2">ROUND($A$3*I5/$B$3,2)</f>
        <v>38809.24</v>
      </c>
      <c r="J6" s="27">
        <f t="shared" si="2"/>
        <v>0</v>
      </c>
      <c r="K6" s="27">
        <f t="shared" si="2"/>
        <v>2042.59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40851.83</v>
      </c>
      <c r="AZ6" s="27" t="s">
        <v>3</v>
      </c>
      <c r="BA6" s="27">
        <f>ROUND($AY$6*BA5/$AZ$5,2)</f>
        <v>40851.83</v>
      </c>
      <c r="BB6" s="27">
        <f>ROUND($AY$6*BB5/$AZ$5,2)</f>
        <v>38809.24</v>
      </c>
      <c r="BC6" s="27">
        <f t="shared" ref="BC6:BH6" si="4">ROUND($AY$6*BC5/$AZ$5,2)</f>
        <v>2042.59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69" t="s">
        <v>3021</v>
      </c>
      <c r="J9" s="51"/>
      <c r="K9" s="2969" t="s">
        <v>3021</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69" t="s">
        <v>922</v>
      </c>
      <c r="J10" s="51"/>
      <c r="K10" s="2971" t="s">
        <v>3020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4">
        <f>ROUND(A3*1.5,2)</f>
        <v>61277.75</v>
      </c>
      <c r="B13" s="2964"/>
      <c r="C13" s="2964" t="str">
        <f>面积表!B5</f>
        <v>2019-006</v>
      </c>
      <c r="D13" s="2965" t="s">
        <v>1677</v>
      </c>
      <c r="E13" s="27">
        <f t="shared" ref="E13:E20" si="6">IF($C$3="是",ROUND($A$3*G13/$B$3,2),ROUND($A$3*(G13-AT13)/$B$3,2))</f>
        <v>40851.83</v>
      </c>
      <c r="F13" s="81"/>
      <c r="G13" s="82">
        <f t="shared" ref="G13:G20" si="7">H13+AC13+AT13</f>
        <v>61277.75</v>
      </c>
      <c r="H13" s="33">
        <f t="shared" ref="H13:H20" si="8">SUMIF(I$12:AB$12,"总值",I13:AB13)</f>
        <v>61277.75</v>
      </c>
      <c r="I13" s="2968">
        <f>ROUND(A3*1.5*0.95,2)</f>
        <v>58213.86</v>
      </c>
      <c r="J13" s="2968"/>
      <c r="K13" s="2968">
        <f>ROUND(A3*1.5-I13,2)</f>
        <v>3063.89</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61277.75</v>
      </c>
      <c r="AW13" s="17">
        <f t="shared" si="10"/>
        <v>0</v>
      </c>
      <c r="AX13" s="17" t="str">
        <f t="shared" si="10"/>
        <v>2019-006</v>
      </c>
      <c r="AY13" s="996">
        <f t="shared" ref="AY13:AY20" si="11">ROUND($AY$6*AZ13/$AZ$5,2)</f>
        <v>40851.83</v>
      </c>
      <c r="AZ13" s="27">
        <f t="shared" ref="AZ13:AZ20" si="12">BA13+BL13</f>
        <v>61277.75</v>
      </c>
      <c r="BA13" s="27">
        <f t="shared" ref="BA13:BA20" si="13">SUM(BB13:BK13)</f>
        <v>61277.75</v>
      </c>
      <c r="BB13" s="27">
        <f t="shared" ref="BB13:BB20" si="14">IF($D13="是",I13-J13,0)</f>
        <v>58213.86</v>
      </c>
      <c r="BC13" s="27">
        <f t="shared" ref="BC13:BC20" si="15">IF($D13="是",K13-L13,0)</f>
        <v>3063.89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46.8">
      <c r="A3" s="3266"/>
      <c r="B3" s="3266"/>
      <c r="C3" s="3266"/>
      <c r="D3" s="3267"/>
      <c r="E3" s="326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10C6-8F92-4F83-A96B-238DFF682FDC}">
  <dimension ref="B4:K13"/>
  <sheetViews>
    <sheetView workbookViewId="0">
      <selection activeCell="C25" sqref="C25"/>
    </sheetView>
  </sheetViews>
  <sheetFormatPr defaultRowHeight="14.4"/>
  <cols>
    <col min="1" max="1" width="8.88671875" style="1777"/>
    <col min="2" max="2" width="13.5546875" style="1777" customWidth="1"/>
    <col min="3" max="3" width="52.21875" style="1777" customWidth="1"/>
    <col min="4" max="4" width="11.88671875" style="1777" customWidth="1"/>
    <col min="5" max="5" width="12.6640625" style="1777" customWidth="1"/>
    <col min="6" max="7" width="8.88671875" style="1777"/>
    <col min="8" max="8" width="10.5546875" style="1777" bestFit="1" customWidth="1"/>
    <col min="9" max="10" width="9.88671875" style="1777" customWidth="1"/>
    <col min="11" max="16384" width="8.88671875" style="1777"/>
  </cols>
  <sheetData>
    <row r="4" spans="2:11">
      <c r="B4" s="3180" t="s">
        <v>2993</v>
      </c>
      <c r="C4" s="3180" t="s">
        <v>2995</v>
      </c>
      <c r="D4" s="3180" t="s">
        <v>2994</v>
      </c>
      <c r="E4" s="3180" t="s">
        <v>2999</v>
      </c>
      <c r="F4" s="3180" t="s">
        <v>3000</v>
      </c>
      <c r="G4" s="3180" t="s">
        <v>3003</v>
      </c>
      <c r="H4" s="3180" t="s">
        <v>2997</v>
      </c>
      <c r="I4" s="3180" t="s">
        <v>2998</v>
      </c>
      <c r="J4" s="3180" t="s">
        <v>3164</v>
      </c>
      <c r="K4" s="3180" t="s">
        <v>3005</v>
      </c>
    </row>
    <row r="5" spans="2:11">
      <c r="B5" s="3180" t="s">
        <v>2992</v>
      </c>
      <c r="C5" s="3180" t="s">
        <v>2996</v>
      </c>
      <c r="D5" s="3181">
        <v>40851.83</v>
      </c>
      <c r="E5" s="3181">
        <f>ROUND(D5*1.5,2)</f>
        <v>61277.75</v>
      </c>
      <c r="F5" s="3181">
        <v>1.5</v>
      </c>
      <c r="G5" s="3182" t="s">
        <v>3004</v>
      </c>
      <c r="H5" s="3181">
        <v>133284000</v>
      </c>
      <c r="I5" s="3181">
        <f t="shared" ref="I5:I12" si="0">ROUND(H5/D5,2)</f>
        <v>3262.62</v>
      </c>
      <c r="J5" s="3181">
        <f>ROUND(H5/E5,2)</f>
        <v>2175.08</v>
      </c>
      <c r="K5" s="3181"/>
    </row>
    <row r="6" spans="2:11">
      <c r="B6" s="3180" t="s">
        <v>3001</v>
      </c>
      <c r="C6" s="3180" t="s">
        <v>3002</v>
      </c>
      <c r="D6" s="3181">
        <v>54141.7</v>
      </c>
      <c r="E6" s="3181">
        <f>ROUND(D6*1.5,2)</f>
        <v>81212.55</v>
      </c>
      <c r="F6" s="3181">
        <v>1.5</v>
      </c>
      <c r="G6" s="3182" t="s">
        <v>3004</v>
      </c>
      <c r="H6" s="3181">
        <v>176631800</v>
      </c>
      <c r="I6" s="3181">
        <f t="shared" si="0"/>
        <v>3262.4</v>
      </c>
      <c r="J6" s="3181">
        <f t="shared" ref="J6:J12" si="1">ROUND(H6/E6,2)</f>
        <v>2174.9299999999998</v>
      </c>
      <c r="K6" s="3180">
        <v>9</v>
      </c>
    </row>
    <row r="7" spans="2:11">
      <c r="B7" s="3180" t="s">
        <v>3006</v>
      </c>
      <c r="C7" s="3180" t="s">
        <v>3007</v>
      </c>
      <c r="D7" s="3181">
        <v>46040.5</v>
      </c>
      <c r="E7" s="3181">
        <f>ROUND(D7*1.5,2)</f>
        <v>69060.75</v>
      </c>
      <c r="F7" s="3181">
        <v>1.5</v>
      </c>
      <c r="G7" s="3182" t="s">
        <v>3004</v>
      </c>
      <c r="H7" s="3181">
        <v>151586700</v>
      </c>
      <c r="I7" s="3181">
        <f t="shared" si="0"/>
        <v>3292.46</v>
      </c>
      <c r="J7" s="3181">
        <f t="shared" si="1"/>
        <v>2194.98</v>
      </c>
      <c r="K7" s="3181"/>
    </row>
    <row r="8" spans="2:11">
      <c r="B8" s="3180" t="s">
        <v>3008</v>
      </c>
      <c r="C8" s="3180" t="s">
        <v>3011</v>
      </c>
      <c r="D8" s="3181">
        <v>56518.48</v>
      </c>
      <c r="E8" s="3181">
        <f>ROUND(D8*1.5,2)</f>
        <v>84777.72</v>
      </c>
      <c r="F8" s="3181">
        <v>1.5</v>
      </c>
      <c r="G8" s="3182" t="s">
        <v>3004</v>
      </c>
      <c r="H8" s="3181">
        <v>185668200</v>
      </c>
      <c r="I8" s="3181">
        <f t="shared" si="0"/>
        <v>3285.09</v>
      </c>
      <c r="J8" s="3181">
        <f t="shared" si="1"/>
        <v>2190.06</v>
      </c>
      <c r="K8" s="3180">
        <v>9</v>
      </c>
    </row>
    <row r="9" spans="2:11">
      <c r="B9" s="3180" t="s">
        <v>3009</v>
      </c>
      <c r="C9" s="3180" t="s">
        <v>3012</v>
      </c>
      <c r="D9" s="3181">
        <v>34966.17</v>
      </c>
      <c r="E9" s="3181">
        <f>ROUND(D9*2,2)</f>
        <v>69932.34</v>
      </c>
      <c r="F9" s="3181">
        <v>2</v>
      </c>
      <c r="G9" s="3182" t="s">
        <v>3004</v>
      </c>
      <c r="H9" s="3181">
        <v>121946300</v>
      </c>
      <c r="I9" s="3181">
        <f t="shared" si="0"/>
        <v>3487.55</v>
      </c>
      <c r="J9" s="3181">
        <f t="shared" si="1"/>
        <v>1743.78</v>
      </c>
      <c r="K9" s="3181"/>
    </row>
    <row r="10" spans="2:11">
      <c r="B10" s="3180" t="s">
        <v>3010</v>
      </c>
      <c r="C10" s="3180" t="s">
        <v>3013</v>
      </c>
      <c r="D10" s="3181">
        <v>35608.080000000002</v>
      </c>
      <c r="E10" s="3181">
        <f>ROUND(D10*2,2)</f>
        <v>71216.160000000003</v>
      </c>
      <c r="F10" s="3181">
        <v>2</v>
      </c>
      <c r="G10" s="3182" t="s">
        <v>3004</v>
      </c>
      <c r="H10" s="3181">
        <v>124445300</v>
      </c>
      <c r="I10" s="3181">
        <f t="shared" si="0"/>
        <v>3494.86</v>
      </c>
      <c r="J10" s="3181">
        <f t="shared" si="1"/>
        <v>1747.43</v>
      </c>
      <c r="K10" s="3181"/>
    </row>
    <row r="11" spans="2:11">
      <c r="B11" s="3180" t="s">
        <v>3159</v>
      </c>
      <c r="C11" s="3180" t="s">
        <v>3160</v>
      </c>
      <c r="D11" s="3181">
        <v>49937.25</v>
      </c>
      <c r="E11" s="3181">
        <f>ROUND(D11*2,2)</f>
        <v>99874.5</v>
      </c>
      <c r="F11" s="3181">
        <v>2</v>
      </c>
      <c r="G11" s="3181">
        <v>1</v>
      </c>
      <c r="H11" s="3181">
        <v>163303800</v>
      </c>
      <c r="I11" s="3181">
        <f t="shared" si="0"/>
        <v>3270.18</v>
      </c>
      <c r="J11" s="3181">
        <f t="shared" si="1"/>
        <v>1635.09</v>
      </c>
      <c r="K11" s="3181"/>
    </row>
    <row r="12" spans="2:11">
      <c r="B12" s="3180" t="s">
        <v>3161</v>
      </c>
      <c r="C12" s="3180" t="s">
        <v>3160</v>
      </c>
      <c r="D12" s="3181">
        <v>26984.86</v>
      </c>
      <c r="E12" s="3181">
        <f>ROUND(D12*2,2)</f>
        <v>53969.72</v>
      </c>
      <c r="F12" s="3181">
        <v>2</v>
      </c>
      <c r="G12" s="3181">
        <v>1</v>
      </c>
      <c r="H12" s="3181">
        <v>88044000</v>
      </c>
      <c r="I12" s="3181">
        <f t="shared" si="0"/>
        <v>3262.72</v>
      </c>
      <c r="J12" s="3181">
        <f t="shared" si="1"/>
        <v>1631.36</v>
      </c>
      <c r="K12" s="3181"/>
    </row>
    <row r="13" spans="2:11">
      <c r="B13" s="3268" t="s">
        <v>3162</v>
      </c>
      <c r="C13" s="3269"/>
      <c r="D13" s="3181">
        <f>SUM(D5:D12)</f>
        <v>345048.87</v>
      </c>
      <c r="E13" s="3181">
        <f>SUM(E5:E12)</f>
        <v>591321.49</v>
      </c>
      <c r="F13" s="3180" t="s">
        <v>3163</v>
      </c>
      <c r="G13" s="3180" t="s">
        <v>3163</v>
      </c>
      <c r="H13" s="3180" t="s">
        <v>3163</v>
      </c>
      <c r="I13" s="3180" t="s">
        <v>3163</v>
      </c>
      <c r="J13" s="3180" t="s">
        <v>3165</v>
      </c>
      <c r="K13" s="3180" t="s">
        <v>3163</v>
      </c>
    </row>
  </sheetData>
  <mergeCells count="1">
    <mergeCell ref="B13:C1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F25" sqref="F25"/>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9" t="s">
        <v>203</v>
      </c>
      <c r="B2" s="3279"/>
      <c r="C2" s="3279"/>
      <c r="D2" s="1958" t="s">
        <v>204</v>
      </c>
      <c r="E2" s="106" t="s">
        <v>205</v>
      </c>
      <c r="F2" s="1967"/>
      <c r="G2" s="1194"/>
      <c r="H2" s="1195"/>
      <c r="I2" s="1196" t="s">
        <v>856</v>
      </c>
      <c r="J2" s="1967"/>
      <c r="K2" s="1967"/>
      <c r="L2" s="1967"/>
    </row>
    <row r="3" spans="1:16" ht="15" thickBot="1">
      <c r="A3" s="3280" t="s">
        <v>206</v>
      </c>
      <c r="B3" s="3280"/>
      <c r="C3" s="3280"/>
      <c r="D3" s="107">
        <f>'数据-基础表'!AY6</f>
        <v>40851.83</v>
      </c>
      <c r="E3" s="107">
        <f>'数据-基础表'!AZ5</f>
        <v>61277.75</v>
      </c>
      <c r="F3" s="1967"/>
      <c r="G3" s="280" t="s">
        <v>857</v>
      </c>
      <c r="H3" s="275" t="s">
        <v>858</v>
      </c>
      <c r="I3" s="1959">
        <f>ROUND('数据-基础表'!B3/'数据-基础表'!A3,2)</f>
        <v>1.5</v>
      </c>
      <c r="J3" s="1967"/>
      <c r="K3" s="1967"/>
      <c r="L3" s="1967"/>
    </row>
    <row r="4" spans="1:16" ht="14.4">
      <c r="A4" s="3281"/>
      <c r="B4" s="3282"/>
      <c r="C4" s="3283"/>
      <c r="D4" s="108" t="s">
        <v>204</v>
      </c>
      <c r="E4" s="109" t="s">
        <v>205</v>
      </c>
      <c r="F4" s="1967"/>
      <c r="G4" s="1197"/>
      <c r="H4" s="275" t="s">
        <v>859</v>
      </c>
      <c r="I4" s="1959">
        <f>ROUND(SUMIF('数据-基础表'!I9:AS9,"地上",'数据-基础表'!I5:AS5)/'数据-基础表'!A3,2)</f>
        <v>1.5</v>
      </c>
      <c r="J4" s="1967"/>
      <c r="K4" s="1967"/>
      <c r="L4" s="1967"/>
    </row>
    <row r="5" spans="1:16" ht="14.4">
      <c r="A5" s="110" t="s">
        <v>207</v>
      </c>
      <c r="B5" s="3284" t="s">
        <v>230</v>
      </c>
      <c r="C5" s="3284"/>
      <c r="D5" s="111">
        <f>ROUND($D$3*E5/$E$3,2)</f>
        <v>38809.24</v>
      </c>
      <c r="E5" s="112">
        <f>SUMIF('数据-基础表'!$11:$11,"住宅",'数据-基础表'!$5:$5)</f>
        <v>58213.86</v>
      </c>
      <c r="F5" s="1967"/>
      <c r="G5" s="280" t="s">
        <v>860</v>
      </c>
      <c r="H5" s="275" t="s">
        <v>858</v>
      </c>
      <c r="I5" s="1959">
        <f>ROUND(E31/D31,2)</f>
        <v>1.5</v>
      </c>
      <c r="J5" s="1967"/>
      <c r="K5" s="1967"/>
      <c r="L5" s="1967"/>
    </row>
    <row r="6" spans="1:16" ht="15" thickBot="1">
      <c r="A6" s="113"/>
      <c r="B6" s="3284" t="s">
        <v>208</v>
      </c>
      <c r="C6" s="3284"/>
      <c r="D6" s="111">
        <f>ROUND($D$3*E6/$E$3,2)</f>
        <v>2042.59</v>
      </c>
      <c r="E6" s="112">
        <f>E3-E5</f>
        <v>3063.8899999999994</v>
      </c>
      <c r="F6" s="1967"/>
      <c r="G6" s="1197"/>
      <c r="H6" s="275" t="s">
        <v>859</v>
      </c>
      <c r="I6" s="1959">
        <f>ROUND(F31/D31,2)</f>
        <v>1.5</v>
      </c>
      <c r="J6" s="1967"/>
      <c r="K6" s="1967"/>
      <c r="L6" s="1967"/>
    </row>
    <row r="7" spans="1:16" ht="14.4">
      <c r="A7" s="3276"/>
      <c r="B7" s="3277"/>
      <c r="C7" s="3278"/>
      <c r="D7" s="108" t="s">
        <v>204</v>
      </c>
      <c r="E7" s="114" t="s">
        <v>231</v>
      </c>
      <c r="F7" s="1967"/>
      <c r="G7" s="1152" t="s">
        <v>1644</v>
      </c>
      <c r="H7" s="1153"/>
      <c r="I7" s="1829">
        <v>1.5</v>
      </c>
      <c r="J7" s="1967"/>
      <c r="K7" s="1967"/>
      <c r="L7" s="1967"/>
    </row>
    <row r="8" spans="1:16" ht="14.4">
      <c r="A8" s="110" t="s">
        <v>209</v>
      </c>
      <c r="B8" s="115" t="s">
        <v>210</v>
      </c>
      <c r="C8" s="111" t="s">
        <v>211</v>
      </c>
      <c r="D8" s="111">
        <f t="shared" ref="D8:D15" si="0">ROUND($D$3*E8/$E$3,2)</f>
        <v>40851.83</v>
      </c>
      <c r="E8" s="116">
        <f>SUMIF('数据-基础表'!BB10:BK10,"地上",'数据-基础表'!BB5:BK5)</f>
        <v>61277.75</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40851.83</v>
      </c>
      <c r="E16" s="120">
        <f>SUM(E8:E15)</f>
        <v>61277.75</v>
      </c>
      <c r="F16" s="1967"/>
      <c r="G16" s="1969"/>
      <c r="H16" s="968" t="s">
        <v>219</v>
      </c>
      <c r="I16" s="969"/>
      <c r="J16" s="1967"/>
      <c r="K16" s="3270" t="s">
        <v>2563</v>
      </c>
      <c r="L16" s="3271"/>
      <c r="M16" s="3271"/>
      <c r="N16" s="3271"/>
      <c r="O16" s="3271"/>
      <c r="P16" s="3272"/>
    </row>
    <row r="17" spans="1:19" ht="14.4">
      <c r="A17" s="121" t="s">
        <v>216</v>
      </c>
      <c r="B17" s="122" t="s">
        <v>217</v>
      </c>
      <c r="C17" s="2281" t="s">
        <v>2310</v>
      </c>
      <c r="D17" s="108" t="s">
        <v>204</v>
      </c>
      <c r="E17" s="124" t="s">
        <v>205</v>
      </c>
      <c r="F17" s="125"/>
      <c r="G17" s="1362"/>
      <c r="H17" s="970" t="s">
        <v>218</v>
      </c>
      <c r="I17" s="971" t="s">
        <v>2309</v>
      </c>
      <c r="J17" s="1967"/>
      <c r="K17" s="3273" t="s">
        <v>2564</v>
      </c>
      <c r="L17" s="3274"/>
      <c r="M17" s="3275"/>
      <c r="N17" s="3273" t="s">
        <v>2565</v>
      </c>
      <c r="O17" s="3274"/>
      <c r="P17" s="3275"/>
      <c r="R17" s="2282" t="s">
        <v>2308</v>
      </c>
      <c r="S17" s="144"/>
    </row>
    <row r="18" spans="1:19" ht="14.4">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ht="14.4">
      <c r="A19" s="133"/>
      <c r="B19" s="115" t="s">
        <v>225</v>
      </c>
      <c r="C19" s="3185" t="s">
        <v>3022</v>
      </c>
      <c r="D19" s="111">
        <f t="shared" ref="D19:D26" si="1">ROUND($D$3*E19/$E$3,2)</f>
        <v>38809.24</v>
      </c>
      <c r="E19" s="134">
        <f t="shared" ref="E19:E26" si="2">SUM(F19:G19)</f>
        <v>58213.86</v>
      </c>
      <c r="F19" s="135">
        <f>'数据-基础表'!I13</f>
        <v>58213.86</v>
      </c>
      <c r="G19" s="1364"/>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38809.24</v>
      </c>
      <c r="S19" s="2284">
        <f t="shared" si="5"/>
        <v>58213.86</v>
      </c>
    </row>
    <row r="20" spans="1:19" ht="14.4">
      <c r="A20" s="138"/>
      <c r="B20" s="115" t="s">
        <v>226</v>
      </c>
      <c r="C20" s="3185" t="s">
        <v>3023</v>
      </c>
      <c r="D20" s="111">
        <f t="shared" si="1"/>
        <v>2042.59</v>
      </c>
      <c r="E20" s="134">
        <f t="shared" si="2"/>
        <v>3063.89</v>
      </c>
      <c r="F20" s="135">
        <f>'数据-基础表'!K13</f>
        <v>3063.89</v>
      </c>
      <c r="G20" s="1364"/>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2042.59</v>
      </c>
      <c r="S20" s="2284">
        <f t="shared" si="5"/>
        <v>3063.89</v>
      </c>
    </row>
    <row r="21" spans="1:19" ht="14.4">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40851.829999999994</v>
      </c>
      <c r="E27" s="143">
        <f>IF(SUM(E19:E26)='数据-基础表'!BA5,SUM(E19:E26),IF(F27="地上面积有误","面积有误","地下面积有误"))</f>
        <v>61277.75</v>
      </c>
      <c r="F27" s="134">
        <f>IF(SUM(F19:F26)=E8,SUM(F19:F26),"地上面积有误")</f>
        <v>61277.75</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40851.829999999994</v>
      </c>
      <c r="S27" s="275">
        <f>IF(SUM(S19:S26)=$E$3,SUM(S19:S26),SUM(S19:S26)&amp;"误差"&amp;ROUND(SUM(S19:S26)-E3,2))</f>
        <v>61277.75</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2317</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6"/>
      <c r="B31" s="1367" t="s">
        <v>229</v>
      </c>
      <c r="C31" s="2313" t="s">
        <v>2319</v>
      </c>
      <c r="D31" s="1368">
        <f>D27+D30</f>
        <v>40851.829999999994</v>
      </c>
      <c r="E31" s="1368">
        <f>E27+E30</f>
        <v>61277.75</v>
      </c>
      <c r="F31" s="1369">
        <f>F27+F30</f>
        <v>61277.75</v>
      </c>
      <c r="G31" s="1370">
        <f>G27+G30</f>
        <v>0</v>
      </c>
      <c r="H31" s="1967"/>
      <c r="I31" s="1967"/>
      <c r="J31" s="1967"/>
      <c r="K31" s="1967"/>
      <c r="L31" s="1967"/>
    </row>
    <row r="32" spans="1:19" ht="14.4">
      <c r="A32" s="1967"/>
      <c r="B32" s="2325" t="s">
        <v>2318</v>
      </c>
      <c r="C32" s="2609"/>
      <c r="D32" s="1197"/>
      <c r="E32" s="1197">
        <f>SUMIF(C19:C26,"*住宅*",E19:E26)</f>
        <v>58213.86</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AG19" sqref="AG19"/>
    </sheetView>
  </sheetViews>
  <sheetFormatPr defaultColWidth="13.77734375" defaultRowHeight="13.2"/>
  <cols>
    <col min="1" max="1" width="20.88671875" style="1212" customWidth="1"/>
    <col min="2" max="3" width="12" style="1199" customWidth="1"/>
    <col min="4" max="4" width="9.109375" style="1213" customWidth="1"/>
    <col min="5" max="5" width="16"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1"/>
    <col min="42" max="42" width="0" style="1981" hidden="1" customWidth="1"/>
    <col min="43" max="83" width="13.77734375" style="1981"/>
    <col min="84" max="16384" width="13.77734375" style="1199"/>
  </cols>
  <sheetData>
    <row r="1" spans="1:83" ht="18"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 thickBot="1">
      <c r="A2" s="149" t="s">
        <v>235</v>
      </c>
      <c r="B2" s="2321">
        <f>项目基本情况!D3</f>
        <v>43905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4.4"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7.6">
      <c r="A5" s="2287"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4">
      <c r="A6" s="2285" t="str">
        <f>'数据-汇总表'!C19</f>
        <v>住宅</v>
      </c>
      <c r="B6" s="2320" t="str">
        <f>IF(A6=0,"","经营性")</f>
        <v>经营性</v>
      </c>
      <c r="C6" s="173" t="s">
        <v>922</v>
      </c>
      <c r="D6" s="2291">
        <f>SUMIF(项目基本情况!D$15:I$15,C6,项目基本情况!D$18:I$18)</f>
        <v>70</v>
      </c>
      <c r="E6" s="2292">
        <f>IF(B6="","",SUMIF(项目基本情况!D$15:I$15,C6,项目基本情况!D$17:I$17))</f>
        <v>69330</v>
      </c>
      <c r="F6" s="174">
        <f>SUMIF(项目基本情况!D$15:I$15,C6,项目基本情况!D$19:I$19)</f>
        <v>69.650000000000006</v>
      </c>
      <c r="G6" s="175">
        <f>IF(ISERROR(ROUND(POWER(1+H6,D6-F6)*(POWER(1+H6,F6)-1)/(POWER(1+H6,D6)-1),3)),0,ROUND(POWER(1+H6,D6-F6)*(POWER(1+H6,F6)-1)/(POWER(1+H6,D6)-1),3))</f>
        <v>0.999</v>
      </c>
      <c r="H6" s="2976">
        <v>0.04</v>
      </c>
      <c r="I6" s="2976">
        <v>4.4999999999999998E-2</v>
      </c>
      <c r="J6" s="176">
        <v>0.08</v>
      </c>
      <c r="K6" s="179">
        <f>SUMIF('数据-汇总表'!C$19:C$33,'数据-取费表'!A6,'数据-汇总表'!E$19:E$33)</f>
        <v>58213.86</v>
      </c>
      <c r="L6" s="2977">
        <v>2000</v>
      </c>
      <c r="M6" s="177">
        <f t="shared" ref="M6:M14" si="0">ROUND(K6*L6/10000,0)</f>
        <v>11643</v>
      </c>
      <c r="N6" s="2978">
        <v>0</v>
      </c>
      <c r="O6" s="177">
        <f>IF($N$5="成新度","——",ROUND(M6*N6,0))</f>
        <v>0</v>
      </c>
      <c r="P6" s="178">
        <f>IF($N$5="成新度","——",M6-O6)</f>
        <v>11643</v>
      </c>
      <c r="Q6" s="2979">
        <v>0.15</v>
      </c>
      <c r="R6" s="179">
        <f>SUMIF('数据-汇总表'!C$19:C$33,A6,'数据-汇总表'!R$19:R$33)</f>
        <v>38809.24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4">
      <c r="A7" s="2285" t="str">
        <f>'数据-汇总表'!C20</f>
        <v>商业</v>
      </c>
      <c r="B7" s="2320" t="str">
        <f t="shared" ref="B7:B13" si="1">IF(A7=0,"","经营性")</f>
        <v>经营性</v>
      </c>
      <c r="C7" s="173" t="s">
        <v>3020</v>
      </c>
      <c r="D7" s="2291">
        <f>SUMIF(项目基本情况!D$15:I$15,C7,项目基本情况!D$18:I$18)</f>
        <v>40</v>
      </c>
      <c r="E7" s="2292">
        <f>IF(B7="","",SUMIF(项目基本情况!D$15:I$15,C7,项目基本情况!D$17:I$17))</f>
        <v>58372</v>
      </c>
      <c r="F7" s="174">
        <f>SUMIF(项目基本情况!D$15:I$15,C7,项目基本情况!D$19:I$19)</f>
        <v>39.630000000000003</v>
      </c>
      <c r="G7" s="175">
        <f t="shared" ref="G7:G11" si="2">IF(ISERROR(ROUND(POWER(1+H7,D7-F7)*(POWER(1+H7,F7)-1)/(POWER(1+H7,D7)-1),3)),0,ROUND(POWER(1+H7,D7-F7)*(POWER(1+H7,F7)-1)/(POWER(1+H7,D7)-1),3))</f>
        <v>0.997</v>
      </c>
      <c r="H7" s="2976">
        <v>4.4999999999999998E-2</v>
      </c>
      <c r="I7" s="2976">
        <v>0.05</v>
      </c>
      <c r="J7" s="176">
        <f>J6</f>
        <v>0.08</v>
      </c>
      <c r="K7" s="179">
        <f>SUMIF('数据-汇总表'!C$19:C$33,'数据-取费表'!A7,'数据-汇总表'!E$19:E$33)</f>
        <v>3063.89</v>
      </c>
      <c r="L7" s="2977">
        <v>2200</v>
      </c>
      <c r="M7" s="177">
        <f t="shared" si="0"/>
        <v>674</v>
      </c>
      <c r="N7" s="2978">
        <f>N6</f>
        <v>0</v>
      </c>
      <c r="O7" s="177">
        <f t="shared" ref="O7:O14" si="3">IF($N$5="成新度","——",ROUND(M7*N7,0))</f>
        <v>0</v>
      </c>
      <c r="P7" s="178">
        <f t="shared" ref="P7:P14" si="4">IF($N$5="成新度","——",M7-O7)</f>
        <v>674</v>
      </c>
      <c r="Q7" s="2979">
        <v>0.2</v>
      </c>
      <c r="R7" s="179">
        <f>SUMIF('数据-汇总表'!C$19:C$33,A7,'数据-汇总表'!R$19:R$33)</f>
        <v>2042.59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1.6</v>
      </c>
      <c r="V7" s="181">
        <v>0.02</v>
      </c>
      <c r="W7" s="181">
        <v>0.15</v>
      </c>
      <c r="X7" s="2304"/>
      <c r="Y7" s="182">
        <v>1</v>
      </c>
      <c r="Z7" s="183"/>
      <c r="AA7" s="176"/>
      <c r="AB7" s="176"/>
      <c r="AC7" s="2307"/>
      <c r="AD7" s="184"/>
      <c r="AE7" s="972">
        <f t="shared" ref="AE7:AE13" ca="1" si="6">IF(AN7="",0,SUMIF(INDIRECT("'"&amp;AN7&amp;"'"&amp;"!E:E"),$AE$5,INDIRECT("'"&amp;AN7&amp;"'"&amp;"!F:F")))</f>
        <v>37.630000000000003</v>
      </c>
      <c r="AF7" s="141"/>
      <c r="AG7" s="1209">
        <f t="shared" ref="AG7:AG13" si="7">IF(AF7="",0,AE7-AF7)</f>
        <v>0</v>
      </c>
      <c r="AH7" s="141"/>
      <c r="AI7" s="187">
        <v>365</v>
      </c>
      <c r="AJ7" s="188"/>
      <c r="AK7" s="189">
        <v>1.4999999999999999E-2</v>
      </c>
      <c r="AL7" s="190">
        <v>1.5E-3</v>
      </c>
      <c r="AM7" s="2352">
        <v>0.01</v>
      </c>
      <c r="AN7" s="2354" t="s">
        <v>3024</v>
      </c>
      <c r="AO7" s="1983"/>
      <c r="AP7" s="1200">
        <f t="shared" ref="AP7:AP13" si="8">ROUND(1-1/(1+H7)^F7,3)</f>
        <v>0.82499999999999996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3.8">
      <c r="A14" s="2286" t="s">
        <v>2311</v>
      </c>
      <c r="B14" s="2289" t="s">
        <v>1678</v>
      </c>
      <c r="C14" s="2290" t="s">
        <v>2311</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8.8">
      <c r="A15" s="2295" t="s">
        <v>2313</v>
      </c>
      <c r="B15" s="2289" t="s">
        <v>1678</v>
      </c>
      <c r="C15" s="2290" t="s">
        <v>2312</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61277.75</v>
      </c>
      <c r="L16" s="206">
        <f>ROUND(M16*10000/SUM(K6:K14),0)</f>
        <v>2010</v>
      </c>
      <c r="M16" s="206">
        <f>SUM(M6:M14)</f>
        <v>12317</v>
      </c>
      <c r="N16" s="207">
        <f>ROUND(SUMPRODUCT(M6:M14,N6:N14)/M16,3)</f>
        <v>0</v>
      </c>
      <c r="O16" s="206">
        <f>SUM(O6:O14)</f>
        <v>0</v>
      </c>
      <c r="P16" s="206">
        <f>SUM(P6:P14)</f>
        <v>12317</v>
      </c>
      <c r="Q16" s="208">
        <f>ROUND(SUMPRODUCT(Q6:Q13,K6:K13)/SUMPRODUCT((Q6:Q13&gt;0)*(K6:K13)),2)</f>
        <v>0.15</v>
      </c>
      <c r="R16" s="2294">
        <f>SUM(R6:R13)</f>
        <v>40851.829999999994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0.92900000000000005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v>1</v>
      </c>
      <c r="V19" s="1972">
        <v>1</v>
      </c>
      <c r="W19" s="1972">
        <v>2</v>
      </c>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2332</v>
      </c>
      <c r="D20" s="1976"/>
      <c r="E20" s="1975"/>
      <c r="F20" s="1975"/>
      <c r="G20" s="1975"/>
      <c r="H20" s="1975"/>
      <c r="I20" s="1975"/>
      <c r="J20" s="1975"/>
      <c r="K20" s="1974"/>
      <c r="L20" s="1974"/>
      <c r="M20" s="1972"/>
      <c r="N20" s="1972"/>
      <c r="O20" s="1972"/>
      <c r="P20" s="1972"/>
      <c r="Q20" s="1972"/>
      <c r="R20" s="1972"/>
      <c r="S20" s="1972"/>
      <c r="T20" s="1972"/>
      <c r="U20" s="1972">
        <v>2</v>
      </c>
      <c r="V20" s="1972">
        <v>0.6</v>
      </c>
      <c r="W20" s="1972">
        <f>W19*V20</f>
        <v>1.2</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f>ROUND((W19+W20)/2,2)</f>
        <v>1.6</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8.8">
      <c r="A27" s="226" t="s">
        <v>2335</v>
      </c>
      <c r="B27" s="227">
        <v>120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8.8">
      <c r="A28" s="228" t="s">
        <v>2336</v>
      </c>
      <c r="B28" s="229">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9.4" thickBot="1">
      <c r="A29" s="231" t="s">
        <v>2334</v>
      </c>
      <c r="B29" s="232"/>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8.8">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9.4" thickBot="1">
      <c r="A32" s="237" t="s">
        <v>275</v>
      </c>
      <c r="B32" s="1374">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4">
      <c r="A33" s="226" t="s">
        <v>278</v>
      </c>
      <c r="B33" s="1375">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9"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1095</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2903</v>
      </c>
      <c r="B54" s="186">
        <v>15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2904</v>
      </c>
      <c r="B55" s="186">
        <v>10</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2905</v>
      </c>
      <c r="B56" s="186">
        <v>6</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2906</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2907</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2908</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5" t="s">
        <v>1662</v>
      </c>
      <c r="B1" s="3286"/>
      <c r="C1" s="3286"/>
      <c r="D1" s="3286"/>
      <c r="E1" s="3286"/>
      <c r="F1" s="3286"/>
      <c r="G1" s="3286"/>
      <c r="H1" s="1985"/>
      <c r="I1" s="1986"/>
      <c r="J1" s="1987"/>
      <c r="K1" s="1985"/>
      <c r="L1" s="1986"/>
      <c r="M1" s="1987"/>
      <c r="N1" s="1985"/>
      <c r="O1" s="1986"/>
      <c r="P1" s="1987"/>
      <c r="Q1" s="1988"/>
      <c r="R1" s="1989"/>
    </row>
    <row r="2" spans="1:18" ht="15" thickBot="1">
      <c r="A2" s="1217"/>
      <c r="B2" s="1218"/>
      <c r="C2" s="1219" t="s">
        <v>1663</v>
      </c>
      <c r="D2" s="1220"/>
      <c r="E2" s="1221"/>
      <c r="F2" s="1222"/>
      <c r="G2" s="1219" t="s">
        <v>1664</v>
      </c>
      <c r="H2" s="1991"/>
      <c r="I2" s="1991"/>
      <c r="J2" s="1991"/>
      <c r="K2" s="1991"/>
      <c r="L2" s="1991"/>
      <c r="M2" s="1991"/>
      <c r="N2" s="1991"/>
      <c r="O2" s="1991"/>
      <c r="P2" s="1991"/>
      <c r="Q2" s="1991"/>
      <c r="R2" s="1991"/>
    </row>
    <row r="3" spans="1:18" ht="43.2">
      <c r="A3" s="1223" t="s">
        <v>1665</v>
      </c>
      <c r="B3" s="1224" t="s">
        <v>1652</v>
      </c>
      <c r="C3" s="3186" t="s">
        <v>3026</v>
      </c>
      <c r="D3" s="1992"/>
      <c r="E3" s="1225" t="s">
        <v>1665</v>
      </c>
      <c r="F3" s="1226" t="s">
        <v>1653</v>
      </c>
      <c r="G3" s="3034" t="s">
        <v>2917</v>
      </c>
      <c r="H3" s="1991"/>
      <c r="I3" s="1991"/>
      <c r="J3" s="1991"/>
      <c r="K3" s="1991"/>
      <c r="L3" s="1991"/>
      <c r="M3" s="1991"/>
      <c r="N3" s="1991"/>
      <c r="O3" s="1991"/>
      <c r="P3" s="1991"/>
      <c r="Q3" s="1991"/>
      <c r="R3" s="1991"/>
    </row>
    <row r="4" spans="1:18" ht="43.2">
      <c r="A4" s="1225"/>
      <c r="B4" s="1227" t="s">
        <v>1666</v>
      </c>
      <c r="C4" s="3187" t="s">
        <v>3026</v>
      </c>
      <c r="D4" s="1992"/>
      <c r="E4" s="1228"/>
      <c r="F4" s="1229" t="s">
        <v>1667</v>
      </c>
      <c r="G4" s="3032" t="s">
        <v>2914</v>
      </c>
      <c r="H4" s="1991"/>
      <c r="I4" s="1991"/>
      <c r="J4" s="1991"/>
      <c r="K4" s="1991"/>
      <c r="L4" s="1991"/>
      <c r="M4" s="1991"/>
      <c r="N4" s="1991"/>
      <c r="O4" s="1991"/>
      <c r="P4" s="1991"/>
      <c r="Q4" s="1991"/>
      <c r="R4" s="1991"/>
    </row>
    <row r="5" spans="1:18" ht="28.8">
      <c r="A5" s="1225"/>
      <c r="B5" s="1227" t="s">
        <v>1668</v>
      </c>
      <c r="C5" s="3031"/>
      <c r="D5" s="1992"/>
      <c r="E5" s="1228"/>
      <c r="F5" s="1227" t="s">
        <v>2543</v>
      </c>
      <c r="G5" s="3032" t="s">
        <v>2915</v>
      </c>
      <c r="H5" s="1991"/>
      <c r="I5" s="1991"/>
      <c r="J5" s="1991"/>
      <c r="K5" s="1991"/>
      <c r="L5" s="1991"/>
      <c r="M5" s="1991"/>
      <c r="N5" s="1991"/>
      <c r="O5" s="1991"/>
      <c r="P5" s="1991"/>
      <c r="Q5" s="1991"/>
      <c r="R5" s="1991"/>
    </row>
    <row r="6" spans="1:18" ht="28.8">
      <c r="A6" s="1225"/>
      <c r="B6" s="1227" t="s">
        <v>1654</v>
      </c>
      <c r="C6" s="3188" t="s">
        <v>3026</v>
      </c>
      <c r="D6" s="1992"/>
      <c r="E6" s="1228"/>
      <c r="F6" s="1227" t="s">
        <v>2544</v>
      </c>
      <c r="G6" s="3032" t="s">
        <v>2913</v>
      </c>
      <c r="H6" s="1991"/>
      <c r="I6" s="1991"/>
      <c r="J6" s="1991"/>
      <c r="K6" s="1991"/>
      <c r="L6" s="1991"/>
      <c r="M6" s="1991"/>
      <c r="N6" s="1991"/>
      <c r="O6" s="1991"/>
      <c r="P6" s="1991"/>
      <c r="Q6" s="1991"/>
      <c r="R6" s="1991"/>
    </row>
    <row r="7" spans="1:18" ht="43.8" thickBot="1">
      <c r="A7" s="1225"/>
      <c r="B7" s="1227" t="s">
        <v>2543</v>
      </c>
      <c r="C7" s="3189" t="s">
        <v>3026</v>
      </c>
      <c r="D7" s="1993"/>
      <c r="E7" s="1230"/>
      <c r="F7" s="1231" t="s">
        <v>1669</v>
      </c>
      <c r="G7" s="3035" t="s">
        <v>2916</v>
      </c>
      <c r="H7" s="1991"/>
      <c r="I7" s="1991"/>
      <c r="J7" s="1991"/>
      <c r="K7" s="1991"/>
      <c r="L7" s="1991"/>
      <c r="M7" s="1991"/>
      <c r="N7" s="1991"/>
      <c r="O7" s="1991"/>
      <c r="P7" s="1991"/>
      <c r="Q7" s="1991"/>
      <c r="R7" s="1991"/>
    </row>
    <row r="8" spans="1:18">
      <c r="A8" s="1225"/>
      <c r="B8" s="1227" t="s">
        <v>2544</v>
      </c>
      <c r="C8" s="3189" t="s">
        <v>1981</v>
      </c>
      <c r="D8" s="1993"/>
      <c r="E8" s="1993"/>
      <c r="F8" s="1540"/>
      <c r="G8" s="1540"/>
      <c r="H8" s="1991"/>
      <c r="I8" s="1991"/>
      <c r="J8" s="1991"/>
      <c r="K8" s="1991"/>
      <c r="L8" s="1991"/>
      <c r="M8" s="1991"/>
      <c r="N8" s="1991"/>
      <c r="O8" s="1991"/>
      <c r="P8" s="1991"/>
      <c r="Q8" s="1991"/>
      <c r="R8" s="1991"/>
    </row>
    <row r="9" spans="1:18">
      <c r="A9" s="1225"/>
      <c r="B9" s="1227" t="s">
        <v>1655</v>
      </c>
      <c r="C9" s="3187" t="s">
        <v>3026</v>
      </c>
      <c r="D9" s="1992"/>
      <c r="E9" s="1993"/>
      <c r="F9" s="1540"/>
      <c r="G9" s="1540"/>
      <c r="H9" s="1991"/>
      <c r="I9" s="1991"/>
      <c r="J9" s="1991"/>
      <c r="K9" s="1991"/>
      <c r="L9" s="1991"/>
      <c r="M9" s="1991"/>
      <c r="N9" s="1991"/>
      <c r="O9" s="1991"/>
      <c r="P9" s="1991"/>
      <c r="Q9" s="1991"/>
      <c r="R9" s="1991"/>
    </row>
    <row r="10" spans="1:18" s="1999" customFormat="1" ht="15" thickBot="1">
      <c r="A10" s="1232"/>
      <c r="B10" s="1233" t="s">
        <v>1670</v>
      </c>
      <c r="C10" s="3033"/>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20"/>
      <c r="E13" s="2540"/>
      <c r="F13" s="2540"/>
      <c r="G13" s="2540"/>
    </row>
    <row r="14" spans="1:18" ht="15" thickBot="1">
      <c r="A14" s="1234"/>
      <c r="B14" s="1235"/>
      <c r="C14" s="1236" t="s">
        <v>1663</v>
      </c>
      <c r="D14" s="1992"/>
      <c r="E14" s="1237"/>
      <c r="F14" s="1237"/>
      <c r="G14" s="1219" t="s">
        <v>1664</v>
      </c>
    </row>
    <row r="15" spans="1:18" ht="43.2">
      <c r="A15" s="2550" t="s">
        <v>1656</v>
      </c>
      <c r="B15" s="1238" t="s">
        <v>1652</v>
      </c>
      <c r="C15" s="1239" t="str">
        <f>C3</f>
        <v>一般</v>
      </c>
      <c r="D15" s="1992"/>
      <c r="E15" s="2547" t="s">
        <v>1657</v>
      </c>
      <c r="F15" s="1238" t="s">
        <v>1672</v>
      </c>
      <c r="G15" s="1240" t="str">
        <f>G3</f>
        <v>估价对象位于XX开发区，园区建设成熟度XX，产业集聚程度XX</v>
      </c>
    </row>
    <row r="16" spans="1:18" ht="43.2">
      <c r="A16" s="2551"/>
      <c r="B16" s="1241" t="s">
        <v>1666</v>
      </c>
      <c r="C16" s="1242" t="str">
        <f>C4</f>
        <v>一般</v>
      </c>
      <c r="D16" s="1992"/>
      <c r="E16" s="2548"/>
      <c r="F16" s="1243" t="s">
        <v>1667</v>
      </c>
      <c r="G16" s="1005" t="str">
        <f>G4</f>
        <v>估价对象周边道路状况、公共交通通达情况、停车便捷程度，综合评价交通便捷度较好</v>
      </c>
    </row>
    <row r="17" spans="1:7">
      <c r="A17" s="2551"/>
      <c r="B17" s="1241" t="s">
        <v>1668</v>
      </c>
      <c r="C17" s="1242">
        <f>C5</f>
        <v>0</v>
      </c>
      <c r="D17" s="1993"/>
      <c r="E17" s="2548"/>
      <c r="F17" s="1243" t="s">
        <v>1673</v>
      </c>
      <c r="G17" s="2748"/>
    </row>
    <row r="18" spans="1:7" ht="43.2">
      <c r="A18" s="2551"/>
      <c r="B18" s="1243" t="s">
        <v>1654</v>
      </c>
      <c r="C18" s="1005" t="str">
        <f>C6</f>
        <v>一般</v>
      </c>
      <c r="D18" s="1993"/>
      <c r="E18" s="2548"/>
      <c r="F18" s="1243" t="s">
        <v>1669</v>
      </c>
      <c r="G18" s="1005" t="str">
        <f>G7</f>
        <v>该园区内是否有污染型企业，绿化情况，卫生条件，整体环境状况判断</v>
      </c>
    </row>
    <row r="19" spans="1:7" ht="28.8">
      <c r="A19" s="2551"/>
      <c r="B19" s="1243" t="s">
        <v>1658</v>
      </c>
      <c r="C19" s="2748"/>
      <c r="D19" s="1992"/>
      <c r="E19" s="2548"/>
      <c r="F19" s="1227" t="s">
        <v>2543</v>
      </c>
      <c r="G19" s="1005" t="str">
        <f>G5</f>
        <v>估价对象所在区域公共配套设施齐备情况</v>
      </c>
    </row>
    <row r="20" spans="1:7" ht="28.8">
      <c r="A20" s="2551"/>
      <c r="B20" s="1243" t="s">
        <v>1659</v>
      </c>
      <c r="C20" s="1242" t="str">
        <f>C9</f>
        <v>一般</v>
      </c>
      <c r="D20" s="1993"/>
      <c r="E20" s="2548"/>
      <c r="F20" s="1227" t="s">
        <v>2544</v>
      </c>
      <c r="G20" s="1005" t="str">
        <f>G6</f>
        <v>估价对象所在区域基础设施水平</v>
      </c>
    </row>
    <row r="21" spans="1:7">
      <c r="A21" s="2551"/>
      <c r="B21" s="1227" t="s">
        <v>2543</v>
      </c>
      <c r="C21" s="1005" t="str">
        <f>C7</f>
        <v>一般</v>
      </c>
      <c r="D21" s="1992"/>
      <c r="E21" s="2548"/>
      <c r="F21" s="1243" t="s">
        <v>1660</v>
      </c>
      <c r="G21" s="3036"/>
    </row>
    <row r="22" spans="1:7">
      <c r="A22" s="2551"/>
      <c r="B22" s="1227" t="s">
        <v>2544</v>
      </c>
      <c r="C22" s="1005" t="str">
        <f>C8</f>
        <v>七通</v>
      </c>
      <c r="D22" s="1992"/>
      <c r="E22" s="2548"/>
      <c r="F22" s="1243" t="s">
        <v>1670</v>
      </c>
      <c r="G22" s="2748"/>
    </row>
    <row r="23" spans="1:7" ht="15" thickBot="1">
      <c r="A23" s="2551"/>
      <c r="B23" s="1243" t="s">
        <v>1660</v>
      </c>
      <c r="C23" s="3036"/>
      <c r="E23" s="2549"/>
      <c r="F23" s="1244" t="s">
        <v>1674</v>
      </c>
      <c r="G23" s="3037"/>
    </row>
    <row r="24" spans="1:7" ht="1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H20" sqref="H20"/>
    </sheetView>
  </sheetViews>
  <sheetFormatPr defaultColWidth="14.6640625" defaultRowHeight="14.4"/>
  <cols>
    <col min="1" max="1" width="24.33203125" customWidth="1"/>
  </cols>
  <sheetData>
    <row r="1" spans="1:9" ht="15.6">
      <c r="A1" s="2995" t="s">
        <v>2840</v>
      </c>
      <c r="B1" s="2995">
        <f>SUM(B14:B23)</f>
        <v>591321.49</v>
      </c>
      <c r="C1" s="2996"/>
      <c r="D1" s="2996"/>
      <c r="E1" s="2996"/>
      <c r="F1" s="2996"/>
    </row>
    <row r="2" spans="1:9" ht="15.6">
      <c r="A2" s="2995" t="s">
        <v>2841</v>
      </c>
      <c r="B2" s="2995">
        <f>SUM(C14:C23)</f>
        <v>345048.87</v>
      </c>
      <c r="C2" s="2996"/>
      <c r="D2" s="2996"/>
      <c r="E2" s="2996"/>
      <c r="F2" s="2996"/>
    </row>
    <row r="3" spans="1:9" ht="15.6">
      <c r="A3" s="2995" t="s">
        <v>2842</v>
      </c>
      <c r="B3" s="2997">
        <f>项目基本情况!D3</f>
        <v>43905</v>
      </c>
      <c r="C3" s="2996"/>
      <c r="D3" s="2996"/>
      <c r="E3" s="2996"/>
      <c r="F3" s="2996"/>
    </row>
    <row r="4" spans="1:9" ht="31.2">
      <c r="A4" s="2995" t="s">
        <v>2843</v>
      </c>
      <c r="B4" s="2995" t="s">
        <v>2844</v>
      </c>
      <c r="C4" s="2995" t="s">
        <v>2845</v>
      </c>
      <c r="D4" s="2995" t="s">
        <v>2846</v>
      </c>
      <c r="E4" s="2996"/>
      <c r="F4" s="2996"/>
    </row>
    <row r="5" spans="1:9" ht="15.6">
      <c r="A5" s="2995" t="s">
        <v>2847</v>
      </c>
      <c r="B5" s="2995">
        <f ca="1">SUM(D14:D23)</f>
        <v>126516</v>
      </c>
      <c r="C5" s="2995">
        <f ca="1">ROUND(B5*10000/$B$1,0)</f>
        <v>2140</v>
      </c>
      <c r="D5" s="2995">
        <f ca="1">ROUND(B5*10000/$B$2,0)</f>
        <v>3667</v>
      </c>
      <c r="E5" s="2996"/>
      <c r="F5" s="2996"/>
    </row>
    <row r="6" spans="1:9" ht="15.6">
      <c r="A6" s="2995" t="s">
        <v>2848</v>
      </c>
      <c r="B6" s="2995">
        <f ca="1">SUM(G14:G23)</f>
        <v>15190</v>
      </c>
      <c r="C6" s="2995">
        <f t="shared" ref="C6:C8" ca="1" si="0">ROUND(B6*10000/$B$1,0)</f>
        <v>257</v>
      </c>
      <c r="D6" s="2995">
        <f t="shared" ref="D6:D8" ca="1" si="1">ROUND(B6*10000/$B$2,0)</f>
        <v>440</v>
      </c>
      <c r="E6" s="2996"/>
      <c r="F6" s="2996"/>
    </row>
    <row r="7" spans="1:9" ht="15.6">
      <c r="A7" s="2995" t="s">
        <v>2849</v>
      </c>
      <c r="B7" s="2995">
        <f>SUM(H14:H23)</f>
        <v>0</v>
      </c>
      <c r="C7" s="2995">
        <f t="shared" si="0"/>
        <v>0</v>
      </c>
      <c r="D7" s="2995">
        <f t="shared" si="1"/>
        <v>0</v>
      </c>
      <c r="E7" s="2996"/>
      <c r="F7" s="2996"/>
    </row>
    <row r="8" spans="1:9" ht="15.6">
      <c r="A8" s="2995" t="s">
        <v>2850</v>
      </c>
      <c r="B8" s="2995">
        <f>SUM(I14:I23)</f>
        <v>0</v>
      </c>
      <c r="C8" s="2995">
        <f t="shared" si="0"/>
        <v>0</v>
      </c>
      <c r="D8" s="2995">
        <f t="shared" si="1"/>
        <v>0</v>
      </c>
      <c r="E8" s="2996"/>
      <c r="F8" s="2996"/>
    </row>
    <row r="9" spans="1:9" ht="15.6">
      <c r="A9" s="2995" t="s">
        <v>2851</v>
      </c>
      <c r="B9" s="2998"/>
      <c r="C9" s="2996"/>
      <c r="D9" s="2996"/>
      <c r="E9" s="2996"/>
      <c r="F9" s="2996"/>
    </row>
    <row r="10" spans="1:9" ht="15.6">
      <c r="A10" s="2995" t="s">
        <v>2852</v>
      </c>
      <c r="B10" s="2998"/>
      <c r="C10" s="2996"/>
      <c r="D10" s="2996"/>
      <c r="E10" s="2996"/>
      <c r="F10" s="2996"/>
    </row>
    <row r="11" spans="1:9" ht="15.6">
      <c r="A11" s="2995" t="s">
        <v>2869</v>
      </c>
      <c r="B11" s="2998"/>
      <c r="C11" s="2996"/>
      <c r="D11" s="2996"/>
      <c r="E11" s="2996"/>
      <c r="F11" s="2996"/>
    </row>
    <row r="12" spans="1:9" ht="15.6">
      <c r="A12" s="2996"/>
      <c r="B12" s="2996"/>
      <c r="C12" s="2996"/>
      <c r="D12" s="2996"/>
      <c r="E12" s="2996"/>
      <c r="F12" s="2996"/>
    </row>
    <row r="13" spans="1:9" ht="31.2">
      <c r="A13" s="3001" t="s">
        <v>2868</v>
      </c>
      <c r="B13" s="2999" t="s">
        <v>2840</v>
      </c>
      <c r="C13" s="2999" t="s">
        <v>2841</v>
      </c>
      <c r="D13" s="2999" t="s">
        <v>2853</v>
      </c>
      <c r="E13" s="2995" t="s">
        <v>2867</v>
      </c>
      <c r="F13" s="2995" t="s">
        <v>2846</v>
      </c>
      <c r="G13" s="2999" t="s">
        <v>2854</v>
      </c>
      <c r="H13" s="2999" t="s">
        <v>2855</v>
      </c>
      <c r="I13" s="2999" t="s">
        <v>2856</v>
      </c>
    </row>
    <row r="14" spans="1:9" ht="15.6">
      <c r="A14" s="3002" t="s">
        <v>2866</v>
      </c>
      <c r="B14" s="2999">
        <f>结果表!L38</f>
        <v>61277.75</v>
      </c>
      <c r="C14" s="2999">
        <f>结果表!K38</f>
        <v>40851.83</v>
      </c>
      <c r="D14" s="2999">
        <f ca="1">结果表!C42</f>
        <v>15190</v>
      </c>
      <c r="E14" s="2999">
        <f ca="1">ROUND(D14*10000/B14,0)</f>
        <v>2479</v>
      </c>
      <c r="F14" s="2999">
        <f ca="1">ROUND(D14*10000/C14,0)</f>
        <v>3718</v>
      </c>
      <c r="G14" s="2999">
        <f ca="1">结果表!C44</f>
        <v>15190</v>
      </c>
      <c r="H14" s="2999" t="str">
        <f>结果表!C45</f>
        <v>——</v>
      </c>
      <c r="I14" s="2999" t="str">
        <f>结果表!C46</f>
        <v>——</v>
      </c>
    </row>
    <row r="15" spans="1:9" ht="15.6">
      <c r="A15" s="3002" t="s">
        <v>2857</v>
      </c>
      <c r="B15" s="3003">
        <f>面积表!E6</f>
        <v>81212.55</v>
      </c>
      <c r="C15" s="3003">
        <f>面积表!D6</f>
        <v>54141.7</v>
      </c>
      <c r="D15" s="3003">
        <f ca="1">典型户型修正!S25</f>
        <v>20135</v>
      </c>
      <c r="E15" s="2999">
        <f t="shared" ref="E15:E23" ca="1" si="2">ROUND(D15*10000/B15,0)</f>
        <v>2479</v>
      </c>
      <c r="F15" s="2999">
        <f t="shared" ref="F15:F23" ca="1" si="3">ROUND(D15*10000/C15,0)</f>
        <v>3719</v>
      </c>
      <c r="G15" s="3000"/>
      <c r="H15" s="3000"/>
      <c r="I15" s="3003"/>
    </row>
    <row r="16" spans="1:9" ht="15.6">
      <c r="A16" s="3002" t="s">
        <v>2858</v>
      </c>
      <c r="B16" s="3003">
        <f>面积表!E7</f>
        <v>69060.75</v>
      </c>
      <c r="C16" s="3003">
        <f>面积表!D7</f>
        <v>46040.5</v>
      </c>
      <c r="D16" s="3003">
        <f ca="1">典型户型修正!S26</f>
        <v>17122</v>
      </c>
      <c r="E16" s="2999">
        <f t="shared" ca="1" si="2"/>
        <v>2479</v>
      </c>
      <c r="F16" s="2999">
        <f t="shared" ca="1" si="3"/>
        <v>3719</v>
      </c>
      <c r="G16" s="3000"/>
      <c r="H16" s="3000"/>
      <c r="I16" s="3003"/>
    </row>
    <row r="17" spans="1:9" ht="15.6">
      <c r="A17" s="3002" t="s">
        <v>2859</v>
      </c>
      <c r="B17" s="3003">
        <f>面积表!E8</f>
        <v>84777.72</v>
      </c>
      <c r="C17" s="3003">
        <f>面积表!D8</f>
        <v>56518.48</v>
      </c>
      <c r="D17" s="3003">
        <f ca="1">典型户型修正!S27</f>
        <v>21019</v>
      </c>
      <c r="E17" s="2999">
        <f t="shared" ca="1" si="2"/>
        <v>2479</v>
      </c>
      <c r="F17" s="2999">
        <f t="shared" ca="1" si="3"/>
        <v>3719</v>
      </c>
      <c r="G17" s="3000"/>
      <c r="H17" s="3000"/>
      <c r="I17" s="3003"/>
    </row>
    <row r="18" spans="1:9" ht="15.6">
      <c r="A18" s="3002" t="s">
        <v>2860</v>
      </c>
      <c r="B18" s="3003">
        <f>面积表!E9</f>
        <v>69932.34</v>
      </c>
      <c r="C18" s="3003">
        <f>面积表!D9</f>
        <v>34966.17</v>
      </c>
      <c r="D18" s="3003">
        <f ca="1">典型户型修正!S28</f>
        <v>12490</v>
      </c>
      <c r="E18" s="2999">
        <f t="shared" ca="1" si="2"/>
        <v>1786</v>
      </c>
      <c r="F18" s="2999">
        <f t="shared" ca="1" si="3"/>
        <v>3572</v>
      </c>
      <c r="G18" s="3003"/>
      <c r="H18" s="3003"/>
      <c r="I18" s="3003"/>
    </row>
    <row r="19" spans="1:9" ht="15.6">
      <c r="A19" s="3002" t="s">
        <v>2861</v>
      </c>
      <c r="B19" s="3003">
        <f>面积表!E10</f>
        <v>71216.160000000003</v>
      </c>
      <c r="C19" s="3003">
        <f>面积表!D10</f>
        <v>35608.080000000002</v>
      </c>
      <c r="D19" s="3003">
        <f ca="1">典型户型修正!S29</f>
        <v>12719</v>
      </c>
      <c r="E19" s="2999">
        <f t="shared" ca="1" si="2"/>
        <v>1786</v>
      </c>
      <c r="F19" s="2999">
        <f t="shared" ca="1" si="3"/>
        <v>3572</v>
      </c>
      <c r="G19" s="3003"/>
      <c r="H19" s="3003"/>
      <c r="I19" s="3003"/>
    </row>
    <row r="20" spans="1:9" ht="15.6">
      <c r="A20" s="3002" t="s">
        <v>2862</v>
      </c>
      <c r="B20" s="3003">
        <f>面积表!E11</f>
        <v>99874.5</v>
      </c>
      <c r="C20" s="3003">
        <f>面积表!D11</f>
        <v>49937.25</v>
      </c>
      <c r="D20" s="3003">
        <f ca="1">典型户型修正!S30</f>
        <v>18202</v>
      </c>
      <c r="E20" s="2999">
        <f t="shared" ca="1" si="2"/>
        <v>1822</v>
      </c>
      <c r="F20" s="2999">
        <f t="shared" ca="1" si="3"/>
        <v>3645</v>
      </c>
      <c r="G20" s="3003"/>
      <c r="H20" s="3003"/>
      <c r="I20" s="3003"/>
    </row>
    <row r="21" spans="1:9" ht="15.6">
      <c r="A21" s="3002" t="s">
        <v>2863</v>
      </c>
      <c r="B21" s="3003">
        <f>面积表!E12</f>
        <v>53969.72</v>
      </c>
      <c r="C21" s="3003">
        <f>面积表!D12</f>
        <v>26984.86</v>
      </c>
      <c r="D21" s="3003">
        <f ca="1">典型户型修正!S31</f>
        <v>9639</v>
      </c>
      <c r="E21" s="2999">
        <f t="shared" ca="1" si="2"/>
        <v>1786</v>
      </c>
      <c r="F21" s="2999">
        <f t="shared" ca="1" si="3"/>
        <v>3572</v>
      </c>
      <c r="G21" s="3003"/>
      <c r="H21" s="3003"/>
      <c r="I21" s="3003"/>
    </row>
    <row r="22" spans="1:9" ht="15.6">
      <c r="A22" s="3002" t="s">
        <v>2864</v>
      </c>
      <c r="B22" s="3003"/>
      <c r="C22" s="3003"/>
      <c r="D22" s="3003"/>
      <c r="E22" s="2999" t="e">
        <f t="shared" si="2"/>
        <v>#DIV/0!</v>
      </c>
      <c r="F22" s="2999" t="e">
        <f t="shared" si="3"/>
        <v>#DIV/0!</v>
      </c>
      <c r="G22" s="3003"/>
      <c r="H22" s="3003"/>
      <c r="I22" s="3003"/>
    </row>
    <row r="23" spans="1:9" ht="15.6">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3" zoomScaleNormal="100" zoomScaleSheetLayoutView="100" zoomScalePageLayoutView="80" workbookViewId="0">
      <selection activeCell="F27" sqref="F2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9" t="s">
        <v>2052</v>
      </c>
      <c r="B1" s="1760"/>
      <c r="C1" s="1788" t="s">
        <v>2053</v>
      </c>
      <c r="D1" s="1789"/>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332" t="str">
        <f>项目基本情况!K2</f>
        <v>天山路以东，赤水河街以南，嘉陵江路以北等6宗住宅、商业用地出让国有建设用地使用权</v>
      </c>
      <c r="B2" s="3333"/>
      <c r="C2" s="3334"/>
      <c r="D2" s="3334"/>
      <c r="E2" s="3334"/>
      <c r="F2" s="3334"/>
      <c r="G2" s="3333"/>
      <c r="H2" s="3333"/>
      <c r="I2" s="3335"/>
      <c r="J2" s="2013"/>
      <c r="K2" s="2012"/>
      <c r="L2" s="2012"/>
      <c r="M2" s="2012"/>
      <c r="N2" s="2012"/>
      <c r="O2" s="2012"/>
      <c r="P2" s="2012"/>
      <c r="Q2" s="2012"/>
      <c r="R2" s="2012"/>
      <c r="S2" s="2012"/>
      <c r="T2" s="2012"/>
      <c r="U2" s="2012"/>
      <c r="V2" s="2012"/>
    </row>
    <row r="3" spans="1:22" ht="13.8">
      <c r="A3" s="3343" t="s">
        <v>298</v>
      </c>
      <c r="B3" s="3344"/>
      <c r="C3" s="3344"/>
      <c r="D3" s="3344"/>
      <c r="E3" s="3344"/>
      <c r="F3" s="3344"/>
      <c r="G3" s="3344"/>
      <c r="H3" s="3344"/>
      <c r="I3" s="3344"/>
      <c r="J3" s="2013"/>
      <c r="K3" s="2012"/>
      <c r="L3" s="2012"/>
      <c r="M3" s="2012"/>
      <c r="N3" s="2012"/>
      <c r="O3" s="2012"/>
      <c r="P3" s="2012"/>
      <c r="Q3" s="2012"/>
      <c r="R3" s="2012"/>
      <c r="S3" s="2012"/>
      <c r="T3" s="2012"/>
      <c r="U3" s="2012"/>
      <c r="V3" s="2012"/>
    </row>
    <row r="4" spans="1:22" ht="14.4">
      <c r="A4" s="258" t="s">
        <v>299</v>
      </c>
      <c r="B4" s="259" t="s">
        <v>300</v>
      </c>
      <c r="C4" s="260" t="s">
        <v>3028</v>
      </c>
      <c r="D4" s="260" t="s">
        <v>3029</v>
      </c>
      <c r="E4" s="3307" t="s">
        <v>301</v>
      </c>
      <c r="F4" s="3349"/>
      <c r="G4" s="3349"/>
      <c r="H4" s="3349"/>
      <c r="I4" s="3308"/>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36" t="s">
        <v>302</v>
      </c>
      <c r="B5" s="3337">
        <v>25</v>
      </c>
      <c r="C5" s="3345"/>
      <c r="D5" s="3348"/>
      <c r="E5" s="261" t="s">
        <v>303</v>
      </c>
      <c r="F5" s="262"/>
      <c r="G5" s="262"/>
      <c r="H5" s="262"/>
      <c r="I5" s="263"/>
      <c r="J5" s="2013"/>
      <c r="K5" s="2012"/>
      <c r="L5" s="2012"/>
      <c r="M5" s="2012"/>
      <c r="N5" s="2012"/>
      <c r="O5" s="2012"/>
      <c r="P5" s="2012"/>
      <c r="Q5" s="2012"/>
      <c r="R5" s="2012"/>
      <c r="S5" s="2012"/>
      <c r="T5" s="2012"/>
      <c r="U5" s="2012"/>
      <c r="V5" s="2012"/>
    </row>
    <row r="6" spans="1:22" ht="13.8">
      <c r="A6" s="3336"/>
      <c r="B6" s="3337"/>
      <c r="C6" s="3346"/>
      <c r="D6" s="3348"/>
      <c r="E6" s="261" t="s">
        <v>304</v>
      </c>
      <c r="F6" s="262"/>
      <c r="G6" s="262"/>
      <c r="H6" s="262"/>
      <c r="I6" s="263"/>
      <c r="J6" s="2013"/>
      <c r="K6" s="2012"/>
      <c r="L6" s="2012"/>
      <c r="M6" s="2012"/>
      <c r="N6" s="2012"/>
      <c r="O6" s="2012"/>
      <c r="P6" s="2012"/>
      <c r="Q6" s="2012"/>
      <c r="R6" s="2012"/>
      <c r="S6" s="2012"/>
      <c r="T6" s="2012"/>
      <c r="U6" s="2012"/>
      <c r="V6" s="2012"/>
    </row>
    <row r="7" spans="1:22" ht="13.8">
      <c r="A7" s="3336"/>
      <c r="B7" s="3337"/>
      <c r="C7" s="3347"/>
      <c r="D7" s="3348"/>
      <c r="E7" s="261" t="s">
        <v>305</v>
      </c>
      <c r="F7" s="262"/>
      <c r="G7" s="262"/>
      <c r="H7" s="262"/>
      <c r="I7" s="263"/>
      <c r="J7" s="2013"/>
      <c r="K7" s="2012"/>
      <c r="L7" s="2012"/>
      <c r="M7" s="2012"/>
      <c r="N7" s="2012"/>
      <c r="O7" s="2012"/>
      <c r="P7" s="2012"/>
      <c r="Q7" s="2012"/>
      <c r="R7" s="2012"/>
      <c r="S7" s="2012"/>
      <c r="T7" s="2012"/>
      <c r="U7" s="2012"/>
      <c r="V7" s="2012"/>
    </row>
    <row r="8" spans="1:22" ht="13.8">
      <c r="A8" s="3336" t="s">
        <v>306</v>
      </c>
      <c r="B8" s="3337">
        <v>15</v>
      </c>
      <c r="C8" s="3345"/>
      <c r="D8" s="3348"/>
      <c r="E8" s="261" t="s">
        <v>307</v>
      </c>
      <c r="F8" s="262"/>
      <c r="G8" s="262"/>
      <c r="H8" s="262"/>
      <c r="I8" s="263"/>
      <c r="J8" s="2013"/>
      <c r="K8" s="2012"/>
      <c r="L8" s="2012"/>
      <c r="M8" s="2012"/>
      <c r="N8" s="2012"/>
      <c r="O8" s="2012"/>
      <c r="P8" s="2012"/>
      <c r="Q8" s="2012"/>
      <c r="R8" s="2012"/>
      <c r="S8" s="2012"/>
      <c r="T8" s="2012"/>
      <c r="U8" s="2012"/>
      <c r="V8" s="2012"/>
    </row>
    <row r="9" spans="1:22" ht="13.8">
      <c r="A9" s="3336"/>
      <c r="B9" s="3337"/>
      <c r="C9" s="3347"/>
      <c r="D9" s="3348"/>
      <c r="E9" s="261" t="s">
        <v>308</v>
      </c>
      <c r="F9" s="262"/>
      <c r="G9" s="262"/>
      <c r="H9" s="262"/>
      <c r="I9" s="263"/>
      <c r="J9" s="2013"/>
      <c r="K9" s="2012"/>
      <c r="L9" s="2012"/>
      <c r="M9" s="2012"/>
      <c r="N9" s="2012"/>
      <c r="O9" s="2012"/>
      <c r="P9" s="2012"/>
      <c r="Q9" s="2012"/>
      <c r="R9" s="2012"/>
      <c r="S9" s="2012"/>
      <c r="T9" s="2012"/>
      <c r="U9" s="2012"/>
      <c r="V9" s="2012"/>
    </row>
    <row r="10" spans="1:22" ht="13.8">
      <c r="A10" s="3336" t="s">
        <v>309</v>
      </c>
      <c r="B10" s="3337">
        <v>15</v>
      </c>
      <c r="C10" s="3345"/>
      <c r="D10" s="3348"/>
      <c r="E10" s="261" t="s">
        <v>310</v>
      </c>
      <c r="F10" s="262"/>
      <c r="G10" s="262"/>
      <c r="H10" s="262"/>
      <c r="I10" s="263"/>
      <c r="J10" s="2013"/>
      <c r="K10" s="2012"/>
      <c r="L10" s="2012"/>
      <c r="M10" s="2012"/>
      <c r="N10" s="2012"/>
      <c r="O10" s="2012"/>
      <c r="P10" s="2012"/>
      <c r="Q10" s="2012"/>
      <c r="R10" s="2012"/>
      <c r="S10" s="2012"/>
      <c r="T10" s="2012"/>
      <c r="U10" s="2012"/>
      <c r="V10" s="2012"/>
    </row>
    <row r="11" spans="1:22" ht="13.8">
      <c r="A11" s="3336"/>
      <c r="B11" s="3337"/>
      <c r="C11" s="3347"/>
      <c r="D11" s="3348"/>
      <c r="E11" s="261" t="s">
        <v>311</v>
      </c>
      <c r="F11" s="262"/>
      <c r="G11" s="262"/>
      <c r="H11" s="262"/>
      <c r="I11" s="263"/>
      <c r="J11" s="2013"/>
      <c r="K11" s="2012"/>
      <c r="L11" s="2012"/>
      <c r="M11" s="2012"/>
      <c r="N11" s="2012"/>
      <c r="O11" s="2012"/>
      <c r="P11" s="2012"/>
      <c r="Q11" s="2012"/>
      <c r="R11" s="2012"/>
      <c r="S11" s="2012"/>
      <c r="T11" s="2012"/>
      <c r="U11" s="2012"/>
      <c r="V11" s="2012"/>
    </row>
    <row r="12" spans="1:22" ht="13.8">
      <c r="A12" s="3336" t="s">
        <v>312</v>
      </c>
      <c r="B12" s="3337">
        <v>15</v>
      </c>
      <c r="C12" s="3345"/>
      <c r="D12" s="3348"/>
      <c r="E12" s="261" t="s">
        <v>313</v>
      </c>
      <c r="F12" s="262"/>
      <c r="G12" s="262"/>
      <c r="H12" s="262"/>
      <c r="I12" s="263"/>
      <c r="J12" s="2013"/>
      <c r="K12" s="2012"/>
      <c r="L12" s="2012"/>
      <c r="M12" s="2012"/>
      <c r="N12" s="2012"/>
      <c r="O12" s="2012"/>
      <c r="P12" s="2012"/>
      <c r="Q12" s="2012"/>
      <c r="R12" s="2012"/>
      <c r="S12" s="2012"/>
      <c r="T12" s="2012"/>
      <c r="U12" s="2012"/>
      <c r="V12" s="2012"/>
    </row>
    <row r="13" spans="1:22" ht="13.8">
      <c r="A13" s="3336"/>
      <c r="B13" s="3337"/>
      <c r="C13" s="3347"/>
      <c r="D13" s="3348"/>
      <c r="E13" s="261" t="s">
        <v>314</v>
      </c>
      <c r="F13" s="262"/>
      <c r="G13" s="262"/>
      <c r="H13" s="262"/>
      <c r="I13" s="263"/>
      <c r="J13" s="2013"/>
      <c r="K13" s="2012"/>
      <c r="L13" s="2012"/>
      <c r="M13" s="2012"/>
      <c r="N13" s="2012"/>
      <c r="O13" s="2012"/>
      <c r="P13" s="2012"/>
      <c r="Q13" s="2012"/>
      <c r="R13" s="2012"/>
      <c r="S13" s="2012"/>
      <c r="T13" s="2012"/>
      <c r="U13" s="2012"/>
      <c r="V13" s="2012"/>
    </row>
    <row r="14" spans="1:22" ht="13.8">
      <c r="A14" s="3336" t="s">
        <v>315</v>
      </c>
      <c r="B14" s="3337">
        <v>30</v>
      </c>
      <c r="C14" s="3345">
        <v>5</v>
      </c>
      <c r="D14" s="3348">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36"/>
      <c r="B15" s="3337"/>
      <c r="C15" s="3346"/>
      <c r="D15" s="3348"/>
      <c r="E15" s="261" t="s">
        <v>317</v>
      </c>
      <c r="F15" s="262"/>
      <c r="G15" s="262"/>
      <c r="H15" s="262"/>
      <c r="I15" s="263"/>
      <c r="J15" s="2013"/>
      <c r="K15" s="2012"/>
      <c r="L15" s="2012"/>
      <c r="M15" s="2012"/>
      <c r="N15" s="2012"/>
      <c r="O15" s="2012"/>
      <c r="P15" s="2012"/>
      <c r="Q15" s="2012"/>
      <c r="R15" s="2012"/>
      <c r="S15" s="2012"/>
      <c r="T15" s="2012"/>
      <c r="U15" s="2012"/>
      <c r="V15" s="2012"/>
    </row>
    <row r="16" spans="1:22" ht="13.8">
      <c r="A16" s="3336"/>
      <c r="B16" s="3337"/>
      <c r="C16" s="3347"/>
      <c r="D16" s="3348"/>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14051</v>
      </c>
      <c r="D19" s="271">
        <f ca="1">SUMIF(INDIRECT("'"&amp;D4&amp;"'"&amp;"!A:A"),结果表!B19,INDIRECT("'"&amp;D4&amp;"'"&amp;"!B:B"))</f>
        <v>16328</v>
      </c>
      <c r="E19" s="268" t="s">
        <v>323</v>
      </c>
      <c r="F19" s="269" t="s">
        <v>322</v>
      </c>
      <c r="G19" s="272">
        <f ca="1">ROUND(C19*$C$18+D19*$D$18,0)</f>
        <v>15190</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2293</v>
      </c>
      <c r="D20" s="277">
        <f ca="1">SUMIF(INDIRECT("'"&amp;D4&amp;"'"&amp;"!A:A"),结果表!B20,INDIRECT("'"&amp;D4&amp;"'"&amp;"!B:B"))</f>
        <v>2665</v>
      </c>
      <c r="E20" s="274"/>
      <c r="F20" s="275" t="s">
        <v>325</v>
      </c>
      <c r="G20" s="278">
        <f ca="1">ROUND(C20*$C$18+D20*$D$18,0)</f>
        <v>2479</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3440</v>
      </c>
      <c r="D21" s="151">
        <f ca="1">SUMIF(INDIRECT("'"&amp;D4&amp;"'"&amp;"!A:A"),结果表!B21,INDIRECT("'"&amp;D4&amp;"'"&amp;"!B:B"))</f>
        <v>3997</v>
      </c>
      <c r="E21" s="274"/>
      <c r="F21" s="280" t="s">
        <v>327</v>
      </c>
      <c r="G21" s="282">
        <f ca="1">ROUND(C21*$C$18+D21*$D$18,0)</f>
        <v>3719</v>
      </c>
      <c r="H21" s="1247" t="s">
        <v>326</v>
      </c>
      <c r="I21" s="311"/>
      <c r="J21" s="2012"/>
      <c r="K21" s="2012"/>
      <c r="L21" s="2012"/>
      <c r="M21" s="2012"/>
      <c r="N21" s="2012"/>
      <c r="O21" s="2012"/>
      <c r="P21" s="2012"/>
      <c r="Q21" s="2012"/>
      <c r="R21" s="2012"/>
      <c r="S21" s="2012"/>
      <c r="T21" s="2012"/>
      <c r="U21" s="2012"/>
      <c r="V21" s="2012"/>
    </row>
    <row r="22" spans="1:26" ht="15" thickBot="1">
      <c r="A22" s="126" t="s">
        <v>328</v>
      </c>
      <c r="B22" s="1248"/>
      <c r="C22" s="1249"/>
      <c r="D22" s="283">
        <f ca="1">IF(C19&lt;D19,D19/C19-1,C19/D19-1)</f>
        <v>0.16205252295210304</v>
      </c>
      <c r="E22" s="284"/>
      <c r="F22" s="285"/>
      <c r="G22" s="286">
        <f ca="1">ROUND(G19/('数据-汇总表'!D3/666.67),0)</f>
        <v>248</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09"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51"/>
      <c r="B25" s="1317" t="s">
        <v>331</v>
      </c>
      <c r="C25" s="290">
        <f>IF(B30=0,0,C30)</f>
        <v>0</v>
      </c>
      <c r="D25" s="291"/>
      <c r="E25" s="311"/>
      <c r="F25" s="311"/>
      <c r="G25" s="311"/>
      <c r="H25" s="311"/>
      <c r="I25" s="311"/>
      <c r="J25" s="2012"/>
      <c r="K25" s="1251" t="str">
        <f ca="1">项目基本情况!B16&amp;"国有建设用地使用权价格："&amp;O38&amp;"万元"</f>
        <v>出让国有建设用地使用权价格：15190万元</v>
      </c>
      <c r="L25" s="1252"/>
      <c r="M25" s="1252"/>
      <c r="N25" s="1252"/>
      <c r="O25" s="1253"/>
      <c r="P25" s="2012"/>
      <c r="Q25" s="2012"/>
      <c r="R25" s="2012"/>
      <c r="S25" s="2012"/>
      <c r="T25" s="2012"/>
      <c r="U25" s="2012"/>
      <c r="V25" s="2012"/>
    </row>
    <row r="26" spans="1:26" s="1250" customFormat="1" ht="17.399999999999999">
      <c r="A26" s="293" t="s">
        <v>332</v>
      </c>
      <c r="B26" s="294" t="s">
        <v>333</v>
      </c>
      <c r="C26" s="294" t="s">
        <v>334</v>
      </c>
      <c r="D26" s="295" t="s">
        <v>335</v>
      </c>
      <c r="E26" s="311"/>
      <c r="F26" s="311"/>
      <c r="G26" s="311"/>
      <c r="H26" s="311"/>
      <c r="I26" s="311"/>
      <c r="J26" s="2012"/>
      <c r="K26" s="1254" t="str">
        <f ca="1">"大写金额：人民币"&amp;NUMBERSTRING(INT(O38*10000),2)&amp;"元整"</f>
        <v>大写金额：人民币壹亿伍仟壹佰玖拾万元整</v>
      </c>
      <c r="L26" s="1248"/>
      <c r="M26" s="1248"/>
      <c r="N26" s="1248"/>
      <c r="O26" s="1247"/>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4" t="str">
        <f ca="1">"单位面积地价："&amp;M38&amp;"元/平方米"</f>
        <v>单位面积地价：3718元/平方米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楼面地价：2479元/平方米</v>
      </c>
      <c r="L28" s="1248"/>
      <c r="M28" s="1248"/>
      <c r="N28" s="1248"/>
      <c r="O28" s="1247"/>
      <c r="P28" s="2012"/>
      <c r="V28" s="2012"/>
    </row>
    <row r="29" spans="1:26" ht="17.399999999999999">
      <c r="A29" s="293"/>
      <c r="B29" s="294"/>
      <c r="C29" s="294"/>
      <c r="D29" s="295"/>
      <c r="E29" s="311"/>
      <c r="F29" s="311"/>
      <c r="G29" s="311"/>
      <c r="H29" s="311"/>
      <c r="I29" s="311"/>
      <c r="J29" s="2012"/>
      <c r="K29" s="1254" t="str">
        <f ca="1">IF(OR(项目基本情况!E8="抵押价格",项目基本情况!E8="已注销及未注销"),"抵押价格："&amp;O39&amp;"万元","——")</f>
        <v>抵押价格：15190万元</v>
      </c>
      <c r="L29" s="1248"/>
      <c r="M29" s="1248"/>
      <c r="N29" s="1248"/>
      <c r="O29" s="1247"/>
      <c r="P29" s="2012"/>
      <c r="V29" s="2012"/>
    </row>
    <row r="30" spans="1:26" ht="18" thickBot="1">
      <c r="A30" s="3079" t="s">
        <v>336</v>
      </c>
      <c r="B30" s="309"/>
      <c r="C30" s="309"/>
      <c r="D30" s="310"/>
      <c r="E30" s="3080" t="s">
        <v>2960</v>
      </c>
      <c r="F30" s="311"/>
      <c r="G30" s="311"/>
      <c r="H30" s="311"/>
      <c r="I30" s="311"/>
      <c r="J30" s="2012"/>
      <c r="K30" s="1254" t="str">
        <f ca="1">IF(K29="——","——","大写金额：人民币"&amp;NUMBERSTRING(INT(O39*10000),2)&amp;"元整")</f>
        <v>大写金额：人民币壹亿伍仟壹佰玖拾万元整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8" t="s">
        <v>1687</v>
      </c>
      <c r="C32" s="1379">
        <f ca="1">G19-C24</f>
        <v>15190</v>
      </c>
      <c r="D32" s="1380" t="s">
        <v>1688</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1" t="s">
        <v>1689</v>
      </c>
      <c r="C33" s="264">
        <f ca="1">ROUND(C32*10000/'数据-汇总表'!E3,0)</f>
        <v>2479</v>
      </c>
      <c r="D33" s="1382" t="s">
        <v>1690</v>
      </c>
      <c r="E33" s="3309"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 thickBot="1">
      <c r="A34" s="300"/>
      <c r="B34" s="1383" t="s">
        <v>1691</v>
      </c>
      <c r="C34" s="264">
        <f ca="1">ROUND(C32*10000/'数据-汇总表'!D3,0)</f>
        <v>3718</v>
      </c>
      <c r="D34" s="1384" t="s">
        <v>1690</v>
      </c>
      <c r="E34" s="3310"/>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 thickBot="1">
      <c r="A35" s="284"/>
      <c r="B35" s="1385"/>
      <c r="C35" s="1386">
        <f ca="1">ROUND(C32/('数据-汇总表'!D3/666.67),0)</f>
        <v>248</v>
      </c>
      <c r="D35" s="1387" t="s">
        <v>1692</v>
      </c>
      <c r="E35" s="3311"/>
      <c r="F35" s="301" t="s">
        <v>342</v>
      </c>
      <c r="G35" s="982"/>
      <c r="H35" s="981" t="s">
        <v>343</v>
      </c>
      <c r="I35" s="311"/>
      <c r="J35" s="2012"/>
      <c r="K35" s="3315" t="s">
        <v>350</v>
      </c>
      <c r="L35" s="3315" t="s">
        <v>351</v>
      </c>
      <c r="M35" s="1260" t="s">
        <v>352</v>
      </c>
      <c r="N35" s="3315" t="s">
        <v>353</v>
      </c>
      <c r="O35" s="3315" t="s">
        <v>354</v>
      </c>
      <c r="P35" s="2012"/>
      <c r="V35" s="2012"/>
    </row>
    <row r="36" spans="1:26" ht="16.5" customHeight="1">
      <c r="A36" s="303" t="s">
        <v>344</v>
      </c>
      <c r="B36" s="304" t="s">
        <v>333</v>
      </c>
      <c r="C36" s="305" t="s">
        <v>345</v>
      </c>
      <c r="D36" s="305" t="s">
        <v>346</v>
      </c>
      <c r="E36" s="306" t="s">
        <v>347</v>
      </c>
      <c r="F36" s="311"/>
      <c r="G36" s="311"/>
      <c r="H36" s="311"/>
      <c r="I36" s="311"/>
      <c r="J36" s="2014"/>
      <c r="K36" s="3316"/>
      <c r="L36" s="3316"/>
      <c r="M36" s="1262" t="s">
        <v>355</v>
      </c>
      <c r="N36" s="3316"/>
      <c r="O36" s="3316"/>
      <c r="P36" s="2012"/>
      <c r="V36" s="2012"/>
    </row>
    <row r="37" spans="1:26" ht="16.5" customHeight="1" thickBot="1">
      <c r="A37" s="1256" t="s">
        <v>348</v>
      </c>
      <c r="B37" s="307"/>
      <c r="C37" s="294"/>
      <c r="D37" s="294"/>
      <c r="E37" s="295"/>
      <c r="F37" s="311"/>
      <c r="G37" s="311"/>
      <c r="H37" s="311"/>
      <c r="I37" s="311"/>
      <c r="J37" s="2014"/>
      <c r="K37" s="3317"/>
      <c r="L37" s="3317"/>
      <c r="M37" s="1263"/>
      <c r="N37" s="3317"/>
      <c r="O37" s="3317"/>
      <c r="P37" s="2012"/>
      <c r="V37" s="2012"/>
    </row>
    <row r="38" spans="1:26" ht="16.5" customHeight="1" thickBot="1">
      <c r="A38" s="1256" t="s">
        <v>349</v>
      </c>
      <c r="B38" s="307"/>
      <c r="C38" s="294"/>
      <c r="D38" s="294"/>
      <c r="E38" s="295"/>
      <c r="F38" s="311"/>
      <c r="G38" s="311"/>
      <c r="H38" s="311"/>
      <c r="I38" s="311"/>
      <c r="J38" s="2014"/>
      <c r="K38" s="1264">
        <f>'数据-汇总表'!D3</f>
        <v>40851.83</v>
      </c>
      <c r="L38" s="1265">
        <f>'数据-汇总表'!E3</f>
        <v>61277.75</v>
      </c>
      <c r="M38" s="1265">
        <f ca="1">C34</f>
        <v>3718</v>
      </c>
      <c r="N38" s="1265">
        <f ca="1">C33</f>
        <v>2479</v>
      </c>
      <c r="O38" s="1266">
        <f ca="1">C32</f>
        <v>15190</v>
      </c>
      <c r="P38" s="2012"/>
      <c r="V38" s="2012"/>
    </row>
    <row r="39" spans="1:26" ht="16.5" customHeight="1" thickBot="1">
      <c r="A39" s="1261"/>
      <c r="B39" s="308"/>
      <c r="C39" s="309"/>
      <c r="D39" s="309"/>
      <c r="E39" s="310"/>
      <c r="F39" s="311"/>
      <c r="G39" s="311"/>
      <c r="H39" s="311"/>
      <c r="I39" s="311"/>
      <c r="J39" s="2014"/>
      <c r="K39" s="3292" t="str">
        <f>MID(A44,3,LEN(A44)-2)</f>
        <v>抵押价格</v>
      </c>
      <c r="L39" s="3293"/>
      <c r="M39" s="3293"/>
      <c r="N39" s="3294"/>
      <c r="O39" s="1389">
        <f ca="1">C44</f>
        <v>15190</v>
      </c>
      <c r="P39" s="2012"/>
      <c r="V39" s="2012"/>
    </row>
    <row r="40" spans="1:26" ht="18" thickBot="1">
      <c r="A40" s="104" t="s">
        <v>872</v>
      </c>
      <c r="B40" s="311"/>
      <c r="C40" s="311"/>
      <c r="D40" s="311"/>
      <c r="E40" s="311"/>
      <c r="F40" s="311"/>
      <c r="G40" s="311"/>
      <c r="H40" s="311"/>
      <c r="I40" s="311"/>
      <c r="J40" s="2014"/>
      <c r="K40" s="3292" t="str">
        <f t="shared" ref="K40:K41" si="0">MID(A45,3,LEN(A45)-2)</f>
        <v/>
      </c>
      <c r="L40" s="3293"/>
      <c r="M40" s="3293"/>
      <c r="N40" s="3294"/>
      <c r="O40" s="1389" t="str">
        <f>C45</f>
        <v>——</v>
      </c>
      <c r="P40" s="2012"/>
      <c r="V40" s="2012"/>
    </row>
    <row r="41" spans="1:26" ht="16.2" thickBot="1">
      <c r="A41" s="312" t="s">
        <v>356</v>
      </c>
      <c r="B41" s="313"/>
      <c r="C41" s="314" t="s">
        <v>357</v>
      </c>
      <c r="D41" s="315" t="s">
        <v>358</v>
      </c>
      <c r="E41" s="315" t="s">
        <v>359</v>
      </c>
      <c r="F41" s="316" t="s">
        <v>360</v>
      </c>
      <c r="G41" s="311"/>
      <c r="H41" s="311"/>
      <c r="I41" s="311"/>
      <c r="J41" s="2014"/>
      <c r="K41" s="3292" t="str">
        <f t="shared" si="0"/>
        <v/>
      </c>
      <c r="L41" s="3293"/>
      <c r="M41" s="3293"/>
      <c r="N41" s="3294"/>
      <c r="O41" s="1389" t="str">
        <f>C46</f>
        <v>——</v>
      </c>
      <c r="P41" s="2012"/>
      <c r="V41" s="2012"/>
    </row>
    <row r="42" spans="1:26" ht="31.2">
      <c r="A42" s="3352" t="s">
        <v>2064</v>
      </c>
      <c r="B42" s="3353"/>
      <c r="C42" s="264">
        <f ca="1">C32</f>
        <v>15190</v>
      </c>
      <c r="D42" s="317">
        <f ca="1">C33</f>
        <v>2479</v>
      </c>
      <c r="E42" s="317">
        <f ca="1">C34</f>
        <v>3718</v>
      </c>
      <c r="F42" s="318">
        <f ca="1">C35</f>
        <v>248</v>
      </c>
      <c r="G42" s="311"/>
      <c r="H42" s="311"/>
      <c r="I42" s="319"/>
      <c r="J42" s="2014"/>
      <c r="K42" s="1267" t="s">
        <v>361</v>
      </c>
      <c r="L42" s="2031" t="s">
        <v>362</v>
      </c>
      <c r="M42" s="1268" t="s">
        <v>363</v>
      </c>
      <c r="N42" s="2032" t="s">
        <v>364</v>
      </c>
      <c r="O42" s="2033" t="s">
        <v>365</v>
      </c>
      <c r="P42" s="2012"/>
      <c r="V42" s="2012"/>
    </row>
    <row r="43" spans="1:26" ht="30">
      <c r="A43" s="3362" t="s">
        <v>2726</v>
      </c>
      <c r="B43" s="3363"/>
      <c r="C43" s="264">
        <f>IF(H33="正常操作",G33+G34+G35,G34+G35)</f>
        <v>0</v>
      </c>
      <c r="D43" s="317" t="s">
        <v>43</v>
      </c>
      <c r="E43" s="317" t="s">
        <v>44</v>
      </c>
      <c r="F43" s="318" t="s">
        <v>44</v>
      </c>
      <c r="G43" s="2820" t="s">
        <v>951</v>
      </c>
      <c r="H43" s="311"/>
      <c r="I43" s="319"/>
      <c r="J43" s="2014"/>
      <c r="K43" s="1269" t="str">
        <f>C4</f>
        <v>比较法-住宅、综合</v>
      </c>
      <c r="L43" s="1270">
        <f ca="1">IF(L42="估价结果/万元",C19,C20)</f>
        <v>14051</v>
      </c>
      <c r="M43" s="1271">
        <f>C18</f>
        <v>0.5</v>
      </c>
      <c r="N43" s="1272">
        <f ca="1">IF(N42="测算结果/万元",G19,G20)</f>
        <v>15190</v>
      </c>
      <c r="O43" s="1273">
        <f ca="1">IF(O42="最终结果/万元",C32,C33)</f>
        <v>15190</v>
      </c>
      <c r="P43" s="2012"/>
      <c r="V43" s="2012"/>
    </row>
    <row r="44" spans="1:26" ht="30.6" thickBot="1">
      <c r="A44" s="3352" t="str">
        <f>IF(OR(项目基本情况!E8="抵押价格",项目基本情况!E8="已注销及未注销"),"3.抵押价格","——")</f>
        <v>3.抵押价格</v>
      </c>
      <c r="B44" s="3353"/>
      <c r="C44" s="264">
        <f ca="1">IF(A44="——","——",C42-C43)</f>
        <v>15190</v>
      </c>
      <c r="D44" s="317">
        <f ca="1">ROUND(C44*10000/'数据-汇总表'!E3,0)</f>
        <v>2479</v>
      </c>
      <c r="E44" s="317">
        <f ca="1">ROUND(C44*10000/'数据-汇总表'!D3,0)</f>
        <v>3718</v>
      </c>
      <c r="F44" s="318">
        <f ca="1">ROUND(C44/('数据-汇总表'!D3/666.67),0)</f>
        <v>248</v>
      </c>
      <c r="G44" s="311"/>
      <c r="H44" s="311"/>
      <c r="I44" s="319"/>
      <c r="J44" s="2014"/>
      <c r="K44" s="1274" t="str">
        <f>D4</f>
        <v>剩余法-待开发</v>
      </c>
      <c r="L44" s="1275">
        <f ca="1">IF(L42="估价结果/万元",D19,D20)</f>
        <v>16328</v>
      </c>
      <c r="M44" s="1276">
        <f>D18</f>
        <v>0.5</v>
      </c>
      <c r="N44" s="1277"/>
      <c r="O44" s="1278"/>
      <c r="P44" s="2012"/>
      <c r="V44" s="2012"/>
    </row>
    <row r="45" spans="1:26" ht="13.8">
      <c r="A45" s="3357" t="str">
        <f>IF(项目基本情况!E8="已注销及未注销","4.抵押担保权已注销时的抵押价格",IF(项目基本情况!E8="已注销","3.抵押担保权已注销时的抵押价格","——"))</f>
        <v>——</v>
      </c>
      <c r="B45" s="3358"/>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54" t="str">
        <f>IF(项目基本情况!E9="抵押净值",IF(A45="——","4.抵押净值","5.抵押净值"),"——")</f>
        <v>——</v>
      </c>
      <c r="B46" s="3355"/>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20" t="s">
        <v>374</v>
      </c>
      <c r="B63" s="3321"/>
      <c r="C63" s="3322"/>
      <c r="D63" s="341">
        <f ca="1">ROUND(C42*F63,0)</f>
        <v>9114</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59" t="s">
        <v>378</v>
      </c>
      <c r="B64" s="3360"/>
      <c r="C64" s="3360"/>
      <c r="D64" s="3360"/>
      <c r="E64" s="3360"/>
      <c r="F64" s="3360"/>
      <c r="G64" s="3361"/>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6.4">
      <c r="A66" s="3356" t="s">
        <v>386</v>
      </c>
      <c r="B66" s="3327"/>
      <c r="C66" s="3327"/>
      <c r="D66" s="261">
        <f ca="1">IF(H66="情况1",0,IF(H66="情况2",D70,IF(H66="情况3",D71,IF(H66="情况4",D72))))</f>
        <v>477</v>
      </c>
      <c r="E66" s="993" t="str">
        <f>IF(H66="情况4","(销售额-原购置价)×税（费）率","销售额×税（费）率")</f>
        <v>销售额×税（费）率</v>
      </c>
      <c r="F66" s="350">
        <f>IF(H66="情况1","免征",'数据-取费表'!B41)</f>
        <v>5.5000000000000007E-2</v>
      </c>
      <c r="G66" s="351" t="s">
        <v>387</v>
      </c>
      <c r="H66" s="191" t="s">
        <v>388</v>
      </c>
      <c r="I66" s="1284"/>
      <c r="J66" s="2018"/>
      <c r="K66" s="1287">
        <v>1</v>
      </c>
      <c r="L66" s="3296" t="s">
        <v>385</v>
      </c>
      <c r="M66" s="3297"/>
      <c r="N66" s="2421"/>
      <c r="O66" s="2422"/>
      <c r="P66" s="2423"/>
      <c r="Q66" s="2012"/>
      <c r="R66" s="2012"/>
      <c r="S66" s="2012"/>
      <c r="T66" s="2012"/>
      <c r="U66" s="2012"/>
      <c r="V66" s="2012"/>
    </row>
    <row r="67" spans="1:22" ht="25.5" customHeight="1">
      <c r="A67" s="352" t="s">
        <v>390</v>
      </c>
      <c r="B67" s="3339" t="s">
        <v>391</v>
      </c>
      <c r="C67" s="3339"/>
      <c r="D67" s="353">
        <v>0</v>
      </c>
      <c r="E67" s="41" t="s">
        <v>392</v>
      </c>
      <c r="F67" s="62" t="s">
        <v>21</v>
      </c>
      <c r="G67" s="3323"/>
      <c r="H67" s="311"/>
      <c r="I67" s="1288"/>
      <c r="J67" s="2019"/>
      <c r="K67" s="1960">
        <v>2</v>
      </c>
      <c r="L67" s="3295" t="s">
        <v>389</v>
      </c>
      <c r="M67" s="3295"/>
      <c r="N67" s="1321">
        <f>'数据-取费表'!B2</f>
        <v>43905</v>
      </c>
      <c r="O67" s="1321"/>
      <c r="P67" s="1321"/>
      <c r="Q67" s="2012"/>
      <c r="R67" s="2012"/>
      <c r="S67" s="2012"/>
      <c r="T67" s="2012"/>
      <c r="U67" s="2012"/>
      <c r="V67" s="2012"/>
    </row>
    <row r="68" spans="1:22" ht="25.5" customHeight="1">
      <c r="A68" s="354"/>
      <c r="B68" s="3339" t="s">
        <v>394</v>
      </c>
      <c r="C68" s="3339"/>
      <c r="D68" s="355"/>
      <c r="E68" s="77"/>
      <c r="F68" s="356"/>
      <c r="G68" s="3324"/>
      <c r="H68" s="311"/>
      <c r="I68" s="1288"/>
      <c r="J68" s="2019"/>
      <c r="K68" s="1960">
        <v>3</v>
      </c>
      <c r="L68" s="3295" t="s">
        <v>393</v>
      </c>
      <c r="M68" s="3295"/>
      <c r="N68" s="1289">
        <f ca="1">C42</f>
        <v>15190</v>
      </c>
      <c r="O68" s="1289"/>
      <c r="P68" s="1289"/>
      <c r="Q68" s="2012"/>
      <c r="R68" s="2012"/>
      <c r="S68" s="2012"/>
      <c r="T68" s="2012"/>
      <c r="U68" s="2012"/>
      <c r="V68" s="2012"/>
    </row>
    <row r="69" spans="1:22" ht="12" customHeight="1">
      <c r="A69" s="357"/>
      <c r="B69" s="3339" t="s">
        <v>395</v>
      </c>
      <c r="C69" s="3339"/>
      <c r="D69" s="358"/>
      <c r="E69" s="73"/>
      <c r="F69" s="356"/>
      <c r="G69" s="3325"/>
      <c r="H69" s="311"/>
      <c r="I69" s="1288"/>
      <c r="J69" s="2019"/>
      <c r="K69" s="1290">
        <v>4</v>
      </c>
      <c r="L69" s="3301" t="s">
        <v>2879</v>
      </c>
      <c r="M69" s="3302"/>
      <c r="N69" s="1291">
        <f ca="1">C44</f>
        <v>15190</v>
      </c>
      <c r="O69" s="1291"/>
      <c r="P69" s="1291"/>
      <c r="Q69" s="2012"/>
      <c r="R69" s="2012"/>
      <c r="S69" s="2012"/>
      <c r="T69" s="2012"/>
      <c r="U69" s="2012"/>
      <c r="V69" s="2012"/>
    </row>
    <row r="70" spans="1:22" ht="24" customHeight="1">
      <c r="A70" s="359" t="s">
        <v>396</v>
      </c>
      <c r="B70" s="3339" t="s">
        <v>397</v>
      </c>
      <c r="C70" s="3339"/>
      <c r="D70" s="358">
        <f ca="1">ROUND(D63*'数据-取费表'!B41/(1+'数据-取费表'!C42),0)</f>
        <v>477</v>
      </c>
      <c r="E70" s="17" t="s">
        <v>398</v>
      </c>
      <c r="F70" s="360">
        <f>'数据-取费表'!B41</f>
        <v>5.5000000000000007E-2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338" t="s">
        <v>405</v>
      </c>
      <c r="C71" s="3350"/>
      <c r="D71" s="358">
        <f ca="1">ROUND(D63*'数据-取费表'!B41/(1+'数据-取费表'!C42),0)</f>
        <v>477</v>
      </c>
      <c r="E71" s="17" t="s">
        <v>398</v>
      </c>
      <c r="F71" s="360">
        <f>'数据-取费表'!B41</f>
        <v>5.5000000000000007E-2</v>
      </c>
      <c r="G71" s="361"/>
      <c r="H71" s="311"/>
      <c r="I71" s="1288"/>
      <c r="J71" s="2019"/>
      <c r="K71" s="3011" t="s">
        <v>399</v>
      </c>
      <c r="L71" s="3303" t="s">
        <v>400</v>
      </c>
      <c r="M71" s="3303"/>
      <c r="N71" s="3011" t="s">
        <v>401</v>
      </c>
      <c r="O71" s="3011" t="s">
        <v>402</v>
      </c>
      <c r="P71" s="3011" t="s">
        <v>403</v>
      </c>
      <c r="Q71" s="2012"/>
      <c r="R71" s="2012"/>
      <c r="S71" s="2012"/>
      <c r="T71" s="2012"/>
      <c r="U71" s="2012"/>
      <c r="V71" s="2012"/>
    </row>
    <row r="72" spans="1:22" ht="12" customHeight="1">
      <c r="A72" s="359" t="s">
        <v>407</v>
      </c>
      <c r="B72" s="3338" t="s">
        <v>408</v>
      </c>
      <c r="C72" s="3350"/>
      <c r="D72" s="358">
        <f ca="1">C86</f>
        <v>367</v>
      </c>
      <c r="E72" s="73" t="s">
        <v>409</v>
      </c>
      <c r="F72" s="360">
        <f>'数据-取费表'!B41</f>
        <v>5.5000000000000007E-2</v>
      </c>
      <c r="G72" s="361"/>
      <c r="H72" s="1294"/>
      <c r="I72" s="1288"/>
      <c r="J72" s="2019"/>
      <c r="K72" s="1960">
        <v>1</v>
      </c>
      <c r="L72" s="3300" t="s">
        <v>406</v>
      </c>
      <c r="M72" s="3300"/>
      <c r="N72" s="1292">
        <f ca="1">D66</f>
        <v>477</v>
      </c>
      <c r="O72" s="1843" t="str">
        <f>E66</f>
        <v>销售额×税（费）率</v>
      </c>
      <c r="P72" s="1293">
        <f>F66</f>
        <v>5.5000000000000007E-2</v>
      </c>
      <c r="Q72" s="2012"/>
      <c r="R72" s="2012"/>
      <c r="S72" s="2012"/>
      <c r="T72" s="2012"/>
      <c r="U72" s="2012"/>
      <c r="V72" s="2012"/>
    </row>
    <row r="73" spans="1:22" ht="24" customHeight="1">
      <c r="A73" s="3326" t="s">
        <v>411</v>
      </c>
      <c r="B73" s="3327"/>
      <c r="C73" s="3327"/>
      <c r="D73" s="362">
        <f>IF(H73="个人住宅",0,ROUND(D63*I73,0))</f>
        <v>0</v>
      </c>
      <c r="E73" s="17" t="s">
        <v>412</v>
      </c>
      <c r="F73" s="360" t="str">
        <f>IF(H73="正常",I73,"免征")</f>
        <v>免征</v>
      </c>
      <c r="G73" s="361"/>
      <c r="H73" s="191" t="s">
        <v>2452</v>
      </c>
      <c r="I73" s="360">
        <f>'数据-取费表'!B49</f>
        <v>5.0000000000000001E-4</v>
      </c>
      <c r="J73" s="2019"/>
      <c r="K73" s="1960">
        <v>2</v>
      </c>
      <c r="L73" s="3300" t="s">
        <v>410</v>
      </c>
      <c r="M73" s="3300"/>
      <c r="N73" s="1292">
        <f t="shared" ref="N73:P74" si="1">D73</f>
        <v>0</v>
      </c>
      <c r="O73" s="1843" t="str">
        <f t="shared" si="1"/>
        <v>销售额×税（费）率</v>
      </c>
      <c r="P73" s="1293" t="str">
        <f t="shared" si="1"/>
        <v>免征</v>
      </c>
      <c r="Q73" s="2012"/>
      <c r="R73" s="2012"/>
      <c r="S73" s="2012"/>
      <c r="T73" s="2012"/>
      <c r="U73" s="2012"/>
      <c r="V73" s="2012"/>
    </row>
    <row r="74" spans="1:22" ht="25.2">
      <c r="A74" s="3326" t="s">
        <v>415</v>
      </c>
      <c r="B74" s="3327"/>
      <c r="C74" s="3327"/>
      <c r="D74" s="362">
        <f ca="1">IF(H74="个人住宅",D75,D76)</f>
        <v>4512</v>
      </c>
      <c r="E74" s="17" t="s">
        <v>416</v>
      </c>
      <c r="F74" s="360" t="str">
        <f>IF(H74="正常",F76,"免征")</f>
        <v>——</v>
      </c>
      <c r="G74" s="983" t="s">
        <v>417</v>
      </c>
      <c r="H74" s="363" t="s">
        <v>413</v>
      </c>
      <c r="I74" s="42"/>
      <c r="J74" s="2019"/>
      <c r="K74" s="1960">
        <v>3</v>
      </c>
      <c r="L74" s="3300" t="s">
        <v>414</v>
      </c>
      <c r="M74" s="3300"/>
      <c r="N74" s="1292">
        <f t="shared" ca="1" si="1"/>
        <v>4512</v>
      </c>
      <c r="O74" s="1843" t="str">
        <f t="shared" si="1"/>
        <v>增值额×税（费）率</v>
      </c>
      <c r="P74" s="1295" t="str">
        <f t="shared" si="1"/>
        <v>——</v>
      </c>
      <c r="Q74" s="2012"/>
      <c r="R74" s="2012"/>
      <c r="S74" s="2012"/>
      <c r="T74" s="2012"/>
      <c r="U74" s="2012"/>
      <c r="V74" s="2012"/>
    </row>
    <row r="75" spans="1:22" ht="24">
      <c r="A75" s="359" t="s">
        <v>418</v>
      </c>
      <c r="B75" s="3307" t="s">
        <v>419</v>
      </c>
      <c r="C75" s="3308"/>
      <c r="D75" s="364">
        <v>0</v>
      </c>
      <c r="E75" s="41" t="s">
        <v>420</v>
      </c>
      <c r="F75" s="365"/>
      <c r="G75" s="361"/>
      <c r="H75" s="42"/>
      <c r="I75" s="42"/>
      <c r="J75" s="2019"/>
      <c r="K75" s="3004">
        <f>IF(H77="非个人房产","",4)</f>
        <v>4</v>
      </c>
      <c r="L75" s="3300" t="str">
        <f>IF(H77="非个人房产","——","个人所得税")</f>
        <v>个人所得税</v>
      </c>
      <c r="M75" s="3300"/>
      <c r="N75" s="1296">
        <f ca="1">D77</f>
        <v>91</v>
      </c>
      <c r="O75" s="1856" t="str">
        <f>E77</f>
        <v>销售额×税（费）率</v>
      </c>
      <c r="P75" s="1297">
        <f>F77</f>
        <v>0.01</v>
      </c>
      <c r="Q75" s="2012"/>
      <c r="R75" s="2012"/>
      <c r="S75" s="2012"/>
      <c r="T75" s="2012"/>
      <c r="U75" s="2012"/>
      <c r="V75" s="2012"/>
    </row>
    <row r="76" spans="1:22" ht="25.2">
      <c r="A76" s="359" t="s">
        <v>396</v>
      </c>
      <c r="B76" s="3307" t="s">
        <v>422</v>
      </c>
      <c r="C76" s="3349"/>
      <c r="D76" s="362">
        <f ca="1">IF(H76="转让取得",C99,C115)</f>
        <v>4512</v>
      </c>
      <c r="E76" s="17" t="s">
        <v>423</v>
      </c>
      <c r="F76" s="53" t="s">
        <v>21</v>
      </c>
      <c r="G76" s="361"/>
      <c r="H76" s="363" t="s">
        <v>424</v>
      </c>
      <c r="I76" s="42"/>
      <c r="J76" s="2019"/>
      <c r="K76" s="3004" t="str">
        <f>IF(项目基本情况!K6="上海银行",IF(K75="",4,K75+1),"")</f>
        <v/>
      </c>
      <c r="L76" s="3288" t="str">
        <f>IF(项目基本情况!K6="上海银行","其他处置费用","")</f>
        <v/>
      </c>
      <c r="M76" s="3289"/>
      <c r="N76" s="1292" t="str">
        <f>IF(项目基本情况!K6="上海银行",N89,"")</f>
        <v/>
      </c>
      <c r="O76" s="3290" t="str">
        <f>IF(项目基本情况!K6="上海银行","包含处置中涉及的律师、诉讼、拍卖、评估等费用","")</f>
        <v/>
      </c>
      <c r="P76" s="3291"/>
      <c r="Q76" s="2012"/>
      <c r="R76" s="2012"/>
      <c r="S76" s="2012"/>
      <c r="T76" s="2012"/>
      <c r="U76" s="2012"/>
      <c r="V76" s="2012"/>
    </row>
    <row r="77" spans="1:22" ht="27" thickBot="1">
      <c r="A77" s="3318" t="s">
        <v>426</v>
      </c>
      <c r="B77" s="3319"/>
      <c r="C77" s="3319"/>
      <c r="D77" s="366">
        <f ca="1">IF(H77="非个人房产","——",IF(H77="个人住宅",0,ROUND(D63*I77,0)))</f>
        <v>91</v>
      </c>
      <c r="E77" s="367" t="str">
        <f>IF(H77="非个人房产","——","销售额×税（费）率")</f>
        <v>销售额×税（费）率</v>
      </c>
      <c r="F77" s="368">
        <f>IF(H77="非个人房产","——",IF(H77="个人住宅","免征",I77))</f>
        <v>0.01</v>
      </c>
      <c r="G77" s="984" t="s">
        <v>417</v>
      </c>
      <c r="H77" s="363" t="s">
        <v>2880</v>
      </c>
      <c r="I77" s="369">
        <v>0.01</v>
      </c>
      <c r="J77" s="2019"/>
      <c r="K77" s="3314">
        <f>IF(AND(K75="",K76=""),4,IF(项目基本情况!K6="上海银行",K76+1,K75+1))</f>
        <v>5</v>
      </c>
      <c r="L77" s="3300" t="s">
        <v>2881</v>
      </c>
      <c r="M77" s="3010" t="s">
        <v>421</v>
      </c>
      <c r="N77" s="1298"/>
      <c r="O77" s="1299">
        <f ca="1">SUMIF(N72:N76,"&lt;9e307")</f>
        <v>5080</v>
      </c>
      <c r="P77" s="1300"/>
      <c r="Q77" s="3008">
        <f ca="1">O77/N69</f>
        <v>0.33443054641211323</v>
      </c>
      <c r="R77" s="2012"/>
      <c r="S77" s="2012"/>
      <c r="T77" s="2012"/>
      <c r="U77" s="2012"/>
      <c r="V77" s="2012"/>
    </row>
    <row r="78" spans="1:22" ht="12" customHeight="1">
      <c r="A78" s="1301"/>
      <c r="B78" s="311"/>
      <c r="C78" s="311"/>
      <c r="D78" s="311"/>
      <c r="E78" s="42"/>
      <c r="F78" s="42"/>
      <c r="G78" s="42"/>
      <c r="H78" s="1003"/>
      <c r="I78" s="311"/>
      <c r="J78" s="2019"/>
      <c r="K78" s="3314"/>
      <c r="L78" s="3300"/>
      <c r="M78" s="3010" t="s">
        <v>425</v>
      </c>
      <c r="N78" s="1298"/>
      <c r="O78" s="1299" t="str">
        <f ca="1">NUMBERSTRING(INT(O77*10000),2)&amp;"元整"</f>
        <v>伍仟零捌拾万元整</v>
      </c>
      <c r="P78" s="1300"/>
      <c r="Q78" s="2012"/>
      <c r="R78" s="2012"/>
      <c r="S78" s="2012"/>
      <c r="T78" s="2012"/>
      <c r="U78" s="2012"/>
      <c r="V78" s="2012"/>
    </row>
    <row r="79" spans="1:22" ht="13.8" thickBot="1">
      <c r="A79" s="3304" t="s">
        <v>427</v>
      </c>
      <c r="B79" s="3304"/>
      <c r="C79" s="3304"/>
      <c r="D79" s="3304"/>
      <c r="E79" s="3304"/>
      <c r="F79" s="42"/>
      <c r="G79" s="42"/>
      <c r="H79" s="1003"/>
      <c r="I79" s="311"/>
      <c r="J79" s="2019"/>
      <c r="K79" s="3298">
        <f>K77+1</f>
        <v>6</v>
      </c>
      <c r="L79" s="3300" t="s">
        <v>2882</v>
      </c>
      <c r="M79" s="3010" t="s">
        <v>421</v>
      </c>
      <c r="N79" s="1298"/>
      <c r="O79" s="1299">
        <f ca="1">N69-O77</f>
        <v>10110</v>
      </c>
      <c r="P79" s="1300"/>
      <c r="Q79" s="2012"/>
      <c r="R79" s="2012"/>
      <c r="S79" s="2012"/>
      <c r="T79" s="2012"/>
      <c r="U79" s="2012"/>
      <c r="V79" s="2012"/>
    </row>
    <row r="80" spans="1:22" ht="26.4">
      <c r="A80" s="3305" t="s">
        <v>428</v>
      </c>
      <c r="B80" s="3306"/>
      <c r="C80" s="994"/>
      <c r="D80" s="994" t="s">
        <v>429</v>
      </c>
      <c r="E80" s="370" t="s">
        <v>430</v>
      </c>
      <c r="F80" s="42"/>
      <c r="G80" s="42"/>
      <c r="H80" s="1003"/>
      <c r="I80" s="311"/>
      <c r="J80" s="2012"/>
      <c r="K80" s="3299"/>
      <c r="L80" s="3300"/>
      <c r="M80" s="3010" t="s">
        <v>425</v>
      </c>
      <c r="N80" s="1298"/>
      <c r="O80" s="1299" t="str">
        <f ca="1">NUMBERSTRING(INT(O79*10000),2)&amp;"元整"</f>
        <v>壹亿零壹佰壹拾万元整</v>
      </c>
      <c r="P80" s="1300"/>
      <c r="Q80" s="2012"/>
      <c r="R80" s="2012"/>
      <c r="S80" s="2012"/>
      <c r="T80" s="2012"/>
      <c r="U80" s="2012"/>
      <c r="V80" s="2012"/>
    </row>
    <row r="81" spans="1:26" ht="13.8" thickBot="1">
      <c r="A81" s="381" t="s">
        <v>1822</v>
      </c>
      <c r="B81" s="371" t="s">
        <v>431</v>
      </c>
      <c r="C81" s="372">
        <f ca="1">ROUND((C82+C83)/(1+'数据-取费表'!C42),0)</f>
        <v>8680</v>
      </c>
      <c r="D81" s="373"/>
      <c r="E81" s="374"/>
      <c r="F81" s="42"/>
      <c r="G81" s="42"/>
      <c r="H81" s="1003"/>
      <c r="I81" s="311"/>
      <c r="J81" s="2012"/>
      <c r="K81" s="3004">
        <f>K79+1</f>
        <v>7</v>
      </c>
      <c r="L81" s="3312" t="s">
        <v>2883</v>
      </c>
      <c r="M81" s="3313"/>
      <c r="N81" s="1302"/>
      <c r="O81" s="1303">
        <f ca="1">ROUND(O79*10000/'数据-汇总表'!E3,0)</f>
        <v>1650</v>
      </c>
      <c r="P81" s="1304"/>
      <c r="Q81" s="2012"/>
      <c r="R81" s="2012"/>
      <c r="S81" s="2012"/>
      <c r="T81" s="2012"/>
      <c r="U81" s="2012"/>
      <c r="V81" s="2012"/>
    </row>
    <row r="82" spans="1:26" ht="13.8" thickTop="1">
      <c r="A82" s="375" t="s">
        <v>1823</v>
      </c>
      <c r="B82" s="376" t="s">
        <v>432</v>
      </c>
      <c r="C82" s="377">
        <f ca="1">D63</f>
        <v>9114</v>
      </c>
      <c r="D82" s="378" t="s">
        <v>19</v>
      </c>
      <c r="E82" s="379"/>
      <c r="F82" s="42"/>
      <c r="G82" s="42"/>
      <c r="H82" s="1003"/>
      <c r="I82" s="311"/>
      <c r="J82" s="2012"/>
      <c r="K82" s="2012"/>
      <c r="L82" s="2012"/>
      <c r="M82" s="2012"/>
      <c r="N82" s="2012"/>
      <c r="O82" s="2012"/>
      <c r="P82" s="2012"/>
      <c r="Q82" s="2012"/>
      <c r="R82" s="2012"/>
      <c r="S82" s="2012"/>
      <c r="T82" s="2012"/>
      <c r="U82" s="2012"/>
      <c r="V82" s="2012"/>
    </row>
    <row r="83" spans="1:26" ht="13.2">
      <c r="A83" s="375" t="s">
        <v>1824</v>
      </c>
      <c r="B83" s="376" t="s">
        <v>433</v>
      </c>
      <c r="C83" s="380">
        <v>0</v>
      </c>
      <c r="D83" s="378"/>
      <c r="E83" s="379"/>
      <c r="F83" s="42"/>
      <c r="G83" s="42"/>
      <c r="H83" s="1003"/>
      <c r="I83" s="311"/>
      <c r="J83" s="2012"/>
      <c r="K83" s="3287" t="s">
        <v>2870</v>
      </c>
      <c r="L83" s="3016" t="s">
        <v>2871</v>
      </c>
      <c r="M83" s="3006">
        <f ca="1">IF(N69&gt;10000,N69*0.5%,IF(AND(N69&gt;1000,N69&lt;=10000),N69*1%,IF(AND(N69&gt;100,N69&lt;=1000),N69*3%,IF(AND(N69&gt;10,N69&lt;=100),N69*5%,N69*8%))))</f>
        <v>75.95</v>
      </c>
      <c r="N83" s="53">
        <f ca="1">ROUND(M83,1)</f>
        <v>76</v>
      </c>
      <c r="O83" s="3009"/>
      <c r="P83" s="2012"/>
      <c r="Q83" s="2012"/>
      <c r="R83" s="2012"/>
      <c r="S83" s="2012"/>
      <c r="T83" s="2012"/>
      <c r="U83" s="2012"/>
      <c r="V83" s="2012"/>
    </row>
    <row r="84" spans="1:26" ht="25.2">
      <c r="A84" s="381" t="s">
        <v>1825</v>
      </c>
      <c r="B84" s="382" t="s">
        <v>434</v>
      </c>
      <c r="C84" s="383">
        <v>2000</v>
      </c>
      <c r="D84" s="384" t="s">
        <v>19</v>
      </c>
      <c r="E84" s="3050" t="s">
        <v>2933</v>
      </c>
      <c r="F84" s="42"/>
      <c r="G84" s="42"/>
      <c r="H84" s="1003"/>
      <c r="I84" s="311"/>
      <c r="J84" s="2012"/>
      <c r="K84" s="3287"/>
      <c r="L84" s="3016" t="s">
        <v>2872</v>
      </c>
      <c r="M84" s="3006">
        <f ca="1">IF(N69&gt;2000,N69*0.5%,IF(AND(N69&gt;1000,N69&lt;=2000),N69*0.6%,IF(AND(N69&gt;500,N69&lt;=1000),N69*0.7%,IF(AND(N69&gt;200,N69&lt;=500),N69*0.8%,IF(AND(N69&gt;100,N69&lt;=200),N69*0.9%,IF(AND(N69&gt;50,N69&lt;=100),N69*1%,IF(AND(N69&gt;20,N69&lt;=50),N69*1.5%,IF(AND(N69&gt;10,N69&lt;=20),N69*2%,IF(AND(N69&gt;1,N69&lt;=10),N69*2.5%)))))))))</f>
        <v>75.95</v>
      </c>
      <c r="N84" s="53">
        <f t="shared" ref="N84:N85" ca="1" si="2">ROUND(M84,1)</f>
        <v>76</v>
      </c>
      <c r="O84" s="2012" t="s">
        <v>2873</v>
      </c>
      <c r="P84" s="2012"/>
      <c r="Q84" s="2012"/>
      <c r="R84" s="2012"/>
      <c r="S84" s="2012"/>
      <c r="T84" s="2012"/>
      <c r="U84" s="2012"/>
      <c r="V84" s="2012"/>
    </row>
    <row r="85" spans="1:26" ht="13.2">
      <c r="A85" s="381" t="s">
        <v>1826</v>
      </c>
      <c r="B85" s="382" t="s">
        <v>435</v>
      </c>
      <c r="C85" s="385">
        <f ca="1">C81-C84</f>
        <v>6680</v>
      </c>
      <c r="D85" s="378" t="s">
        <v>19</v>
      </c>
      <c r="E85" s="379"/>
      <c r="F85" s="42"/>
      <c r="G85" s="42"/>
      <c r="H85" s="1003"/>
      <c r="I85" s="311"/>
      <c r="J85" s="2012"/>
      <c r="K85" s="3287"/>
      <c r="L85" s="3016" t="s">
        <v>2874</v>
      </c>
      <c r="M85" s="3006">
        <f ca="1">IF(N69&gt;1000,N69*0.1%,IF(AND(N69&gt;500,N69&lt;=1000),N69*0.5%,IF(AND(N69&gt;50,N69&lt;=500),N69*1%,IF(AND(N69&gt;1,N69&lt;=50),N69*1.5%))))</f>
        <v>15.19</v>
      </c>
      <c r="N85" s="53">
        <f t="shared" ca="1" si="2"/>
        <v>15.2</v>
      </c>
      <c r="O85" s="2012" t="s">
        <v>2873</v>
      </c>
      <c r="P85" s="2012"/>
      <c r="Q85" s="2012"/>
      <c r="R85" s="2012"/>
      <c r="S85" s="2012"/>
      <c r="T85" s="2012"/>
      <c r="U85" s="2012"/>
      <c r="V85" s="2012"/>
    </row>
    <row r="86" spans="1:26" ht="13.8" thickBot="1">
      <c r="A86" s="386" t="s">
        <v>1827</v>
      </c>
      <c r="B86" s="387" t="s">
        <v>436</v>
      </c>
      <c r="C86" s="388">
        <f ca="1">IF(C85&lt;=0,0,ROUND(C85*D86,0))</f>
        <v>367</v>
      </c>
      <c r="D86" s="389">
        <f>'数据-取费表'!B41</f>
        <v>5.5000000000000007E-2</v>
      </c>
      <c r="E86" s="390"/>
      <c r="F86" s="42"/>
      <c r="G86" s="42"/>
      <c r="H86" s="1003"/>
      <c r="I86" s="311"/>
      <c r="J86" s="2012"/>
      <c r="K86" s="3287"/>
      <c r="L86" s="3016" t="s">
        <v>2875</v>
      </c>
      <c r="M86" s="3006">
        <f ca="1">N69*0.5%</f>
        <v>75.95</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287"/>
      <c r="L87" s="3016" t="s">
        <v>2877</v>
      </c>
      <c r="M87" s="3006">
        <f ca="1">IF(N69&gt;=10000,(8.25+(N69-10000)*0.01%),IF(AND(N69&gt;=8000,N69&lt;10000),(7.85+(N69-8000)*0.02%),IF(AND(N69&gt;=5000,N69&lt;8000),(6.65+(N69-5000)*0.04%),IF(AND(N69&gt;=2000,N69&lt;5000),(4.25+(PN69-2000)*0.08%),IF(AND(N69&gt;=1000,N69&lt;2000),(2.75+(N69-1000)*0.15%),IF(AND(N69&gt;=100,N69&lt;1000),(0.5+(N69-100)*0.25%),IF(AND(N69&gt;0,N69&lt;100),N69*0.5%)))))))</f>
        <v>8.7690000000000001</v>
      </c>
      <c r="N87" s="53">
        <f ca="1">ROUND(M87*0.9,1)</f>
        <v>7.9</v>
      </c>
      <c r="O87" s="3009"/>
      <c r="P87" s="311"/>
      <c r="Q87" s="2012"/>
      <c r="R87" s="2012"/>
      <c r="S87" s="2012"/>
      <c r="T87" s="2012"/>
      <c r="U87" s="2012"/>
      <c r="V87" s="2012"/>
      <c r="W87" s="292"/>
      <c r="X87" s="292"/>
      <c r="Y87" s="292"/>
      <c r="Z87" s="292"/>
    </row>
    <row r="88" spans="1:26" s="1310" customFormat="1" ht="14.4" thickBot="1">
      <c r="A88" s="3341" t="s">
        <v>437</v>
      </c>
      <c r="B88" s="3342"/>
      <c r="C88" s="3342"/>
      <c r="D88" s="3342"/>
      <c r="E88" s="3342"/>
      <c r="F88" s="3342"/>
      <c r="G88" s="3342"/>
      <c r="H88" s="3342"/>
      <c r="I88" s="1311"/>
      <c r="J88" s="2020"/>
      <c r="K88" s="3287"/>
      <c r="L88" s="3016" t="s">
        <v>2878</v>
      </c>
      <c r="M88" s="3006">
        <f ca="1">IF(N69&gt;10000,N69*0.5%,IF(AND(N69&gt;5000,N69&lt;=10000),N69*1%,IF(AND(N69&gt;1000,N69&lt;=5000),N69*2%,IF(AND(N69&gt;200,N69&lt;=1000),N69*3%,N69*5%))))</f>
        <v>75.95</v>
      </c>
      <c r="N88" s="53">
        <f ca="1">ROUND(M88,1)</f>
        <v>76</v>
      </c>
      <c r="O88" s="3009"/>
      <c r="P88" s="11"/>
      <c r="Q88" s="2017"/>
      <c r="R88" s="2017"/>
      <c r="S88" s="2017"/>
      <c r="T88" s="2017"/>
      <c r="U88" s="2017"/>
      <c r="V88" s="2017"/>
      <c r="W88" s="2021"/>
      <c r="X88" s="2021"/>
      <c r="Y88" s="2021"/>
      <c r="Z88" s="2021"/>
    </row>
    <row r="89" spans="1:26" s="1310" customFormat="1" ht="13.8">
      <c r="A89" s="3305" t="s">
        <v>428</v>
      </c>
      <c r="B89" s="3306"/>
      <c r="C89" s="994"/>
      <c r="D89" s="994" t="s">
        <v>429</v>
      </c>
      <c r="E89" s="391" t="s">
        <v>438</v>
      </c>
      <c r="F89" s="392"/>
      <c r="G89" s="392"/>
      <c r="H89" s="393"/>
      <c r="I89" s="1312"/>
      <c r="J89" s="2022"/>
      <c r="K89" s="3287"/>
      <c r="L89" s="3016" t="s">
        <v>27</v>
      </c>
      <c r="M89" s="3007"/>
      <c r="N89" s="53">
        <f ca="1">ROUND(SUM(N83:N88),0)</f>
        <v>252</v>
      </c>
      <c r="O89" s="3017">
        <f ca="1">N89/N69</f>
        <v>1.6589861751152075E-2</v>
      </c>
      <c r="P89" s="2017"/>
      <c r="Q89" s="2017"/>
      <c r="R89" s="2017"/>
      <c r="S89" s="2017"/>
      <c r="T89" s="2017"/>
      <c r="U89" s="2017"/>
      <c r="V89" s="2017"/>
      <c r="W89" s="2021"/>
      <c r="X89" s="2021"/>
      <c r="Y89" s="2021"/>
      <c r="Z89" s="2021"/>
    </row>
    <row r="90" spans="1:26" s="1310" customFormat="1" ht="13.8">
      <c r="A90" s="381" t="s">
        <v>1822</v>
      </c>
      <c r="B90" s="382" t="s">
        <v>439</v>
      </c>
      <c r="C90" s="385">
        <f ca="1">ROUND(D63/(1+'数据-取费表'!C42),0)</f>
        <v>8680</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3.8">
      <c r="A91" s="381" t="s">
        <v>1828</v>
      </c>
      <c r="B91" s="348" t="s">
        <v>440</v>
      </c>
      <c r="C91" s="385">
        <f ca="1">C92+C96</f>
        <v>2604</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4">
      <c r="A93" s="395" t="s">
        <v>1830</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446</v>
      </c>
      <c r="C94" s="378">
        <f>IF(F93="购房发票",ROUND(C93*H93*5%,0),0)</f>
        <v>500</v>
      </c>
      <c r="D94" s="401">
        <v>0.05</v>
      </c>
      <c r="E94" s="3338" t="s">
        <v>447</v>
      </c>
      <c r="F94" s="3339"/>
      <c r="G94" s="3339"/>
      <c r="H94" s="3340"/>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450</v>
      </c>
      <c r="C96" s="405">
        <f ca="1">ROUND(D63*D96/(1+'数据-取费表'!C42),0)</f>
        <v>43</v>
      </c>
      <c r="D96" s="406">
        <f>'数据-取费表'!B43</f>
        <v>5.000000000000001E-3</v>
      </c>
      <c r="E96" s="3328" t="s">
        <v>2425</v>
      </c>
      <c r="F96" s="3329"/>
      <c r="G96" s="3329"/>
      <c r="H96" s="3330"/>
      <c r="I96" s="1313"/>
      <c r="J96" s="2023"/>
      <c r="K96" s="2017"/>
      <c r="L96" s="2017"/>
      <c r="M96" s="2017"/>
      <c r="N96" s="2017"/>
      <c r="O96" s="2017"/>
      <c r="P96" s="2017"/>
      <c r="Q96" s="2017"/>
      <c r="R96" s="2017"/>
      <c r="S96" s="2017"/>
      <c r="T96" s="2017"/>
      <c r="U96" s="2017"/>
      <c r="V96" s="2017"/>
      <c r="W96" s="2021"/>
      <c r="X96" s="2021"/>
      <c r="Y96" s="2021"/>
      <c r="Z96" s="2021"/>
    </row>
    <row r="97" spans="1:26" s="1310" customFormat="1" ht="13.8">
      <c r="A97" s="1603" t="s">
        <v>1834</v>
      </c>
      <c r="B97" s="382" t="s">
        <v>451</v>
      </c>
      <c r="C97" s="385">
        <f ca="1">C90-C91</f>
        <v>6076</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1835</v>
      </c>
      <c r="B98" s="382" t="s">
        <v>452</v>
      </c>
      <c r="C98" s="407">
        <f ca="1">IF(C97&lt;=0,0,C97/C91)</f>
        <v>2.3333333333333335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6" thickBot="1">
      <c r="A99" s="1604" t="s">
        <v>1836</v>
      </c>
      <c r="B99" s="387" t="s">
        <v>453</v>
      </c>
      <c r="C99" s="408">
        <f ca="1">ROUND(IF(C97&lt;=0,0,IF(C98&gt;=200%,C97*60%-C91*35%,IF(C98&gt;=100%,C97*50%-C91*15%,IF(C98&gt;=50%,C97*40%-C91*5%,IF(C98&lt;50%,C97*30%,0))))),0)</f>
        <v>2734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4.4" thickBot="1">
      <c r="A101" s="3341" t="s">
        <v>454</v>
      </c>
      <c r="B101" s="3342"/>
      <c r="C101" s="3342"/>
      <c r="D101" s="3342"/>
      <c r="E101" s="3342"/>
      <c r="F101" s="3342"/>
      <c r="G101" s="3342"/>
      <c r="H101" s="3342"/>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3.8">
      <c r="A102" s="3305" t="s">
        <v>428</v>
      </c>
      <c r="B102" s="3306"/>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3.8">
      <c r="A103" s="381" t="s">
        <v>1822</v>
      </c>
      <c r="B103" s="382" t="s">
        <v>439</v>
      </c>
      <c r="C103" s="385">
        <f ca="1">ROUND(D63/(1+'数据-取费表'!C42),0)</f>
        <v>8680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3.8">
      <c r="A104" s="381" t="s">
        <v>1828</v>
      </c>
      <c r="B104" s="348" t="s">
        <v>440</v>
      </c>
      <c r="C104" s="385">
        <f ca="1">IF(H106="仅含出让金",C105+C108+C109+C110+C111+C112,C105+C109+C110+C111+C112)</f>
        <v>733</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3.8">
      <c r="A105" s="395" t="s">
        <v>1829</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26.4">
      <c r="A106" s="395" t="s">
        <v>1830</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1837</v>
      </c>
      <c r="B109" s="376" t="s">
        <v>461</v>
      </c>
      <c r="C109" s="405">
        <f>IF(H109="——",IF(F1="现房",'剩余法-现房'!C18,'剩余法-待开发'!C18),I109)</f>
        <v>55</v>
      </c>
      <c r="D109" s="406"/>
      <c r="E109" s="3331" t="s">
        <v>462</v>
      </c>
      <c r="F109" s="3329"/>
      <c r="G109" s="3329"/>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1838</v>
      </c>
      <c r="B110" s="376" t="s">
        <v>463</v>
      </c>
      <c r="C110" s="405">
        <f>ROUND((C105+C108+C109)*D110,0)</f>
        <v>63</v>
      </c>
      <c r="D110" s="406">
        <v>0.1</v>
      </c>
      <c r="E110" s="3331" t="s">
        <v>464</v>
      </c>
      <c r="F110" s="3329"/>
      <c r="G110" s="3329"/>
      <c r="H110" s="3330"/>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1839</v>
      </c>
      <c r="B111" s="376" t="s">
        <v>450</v>
      </c>
      <c r="C111" s="405">
        <f ca="1">ROUND(D63*D111/(1+'数据-取费表'!C42),0)</f>
        <v>43</v>
      </c>
      <c r="D111" s="406">
        <f>'数据-取费表'!B43</f>
        <v>5.000000000000001E-3</v>
      </c>
      <c r="E111" s="3328" t="s">
        <v>2425</v>
      </c>
      <c r="F111" s="3329"/>
      <c r="G111" s="3329"/>
      <c r="H111" s="3330"/>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1840</v>
      </c>
      <c r="B112" s="376" t="s">
        <v>465</v>
      </c>
      <c r="C112" s="405">
        <f>ROUND(C108*D112,0)</f>
        <v>0</v>
      </c>
      <c r="D112" s="406">
        <v>0.2</v>
      </c>
      <c r="E112" s="3331" t="s">
        <v>2450</v>
      </c>
      <c r="F112" s="3329"/>
      <c r="G112" s="3329"/>
      <c r="H112" s="3330"/>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3.8">
      <c r="A113" s="1603" t="s">
        <v>1834</v>
      </c>
      <c r="B113" s="382" t="s">
        <v>451</v>
      </c>
      <c r="C113" s="385">
        <f ca="1">ROUND(C103-C104,0)</f>
        <v>7947</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1835</v>
      </c>
      <c r="B114" s="382" t="s">
        <v>452</v>
      </c>
      <c r="C114" s="407">
        <f ca="1">IF(C113&lt;=0,0,C113/C104)</f>
        <v>10.84174624829468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6" thickBot="1">
      <c r="A115" s="1604" t="s">
        <v>1836</v>
      </c>
      <c r="B115" s="387" t="s">
        <v>453</v>
      </c>
      <c r="C115" s="408">
        <f ca="1">ROUND(IF(C113&lt;=0,0,IF(C114&gt;=200%,C113*60%-C104*35%,IF(C114&gt;=100%,C113*50%-C104*15%,IF(C114&gt;=50%,C113*40%-C104*5%,IF(C114&lt;50%,C113*30%,0))))),0)</f>
        <v>4512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1844</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1846</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1863</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1847</v>
      </c>
      <c r="B13" s="449" t="s">
        <v>479</v>
      </c>
      <c r="C13" s="450">
        <f ca="1">IF(B1="",'数据-取费表'!M16,INDIRECT("'数据-取费表'!M"&amp;$K$1)+INDIRECT("'数据-取费表'!t"&amp;$K$1))</f>
        <v>12317</v>
      </c>
      <c r="D13" s="451"/>
      <c r="E13" s="365"/>
      <c r="F13" s="452"/>
      <c r="G13" s="444"/>
      <c r="H13" s="447"/>
      <c r="I13" s="447"/>
      <c r="J13" s="447"/>
      <c r="K13" s="448"/>
    </row>
    <row r="14" spans="1:41" s="2100" customFormat="1" ht="13.5" customHeight="1">
      <c r="A14" s="1619" t="s">
        <v>1848</v>
      </c>
      <c r="B14" s="449" t="s">
        <v>480</v>
      </c>
      <c r="C14" s="53">
        <f ca="1">ROUND(C13*F14,0)</f>
        <v>370</v>
      </c>
      <c r="D14" s="451"/>
      <c r="E14" s="365"/>
      <c r="F14" s="453">
        <f>'数据-取费表'!B33</f>
        <v>0.03</v>
      </c>
      <c r="G14" s="444" t="s">
        <v>502</v>
      </c>
      <c r="H14" s="447"/>
      <c r="I14" s="447"/>
      <c r="J14" s="447"/>
      <c r="K14" s="448"/>
    </row>
    <row r="15" spans="1:41" s="2100" customFormat="1" ht="13.5" customHeight="1">
      <c r="A15" s="1619" t="s">
        <v>1849</v>
      </c>
      <c r="B15" s="449" t="s">
        <v>482</v>
      </c>
      <c r="C15" s="53">
        <f ca="1">ROUND(IF(B1="",SUMIF('数据-取费表'!C:C,"住宅",'数据-取费表'!M:M)*F15,IF(INDIRECT("'数据-取费表'!c"&amp;$K$1)="住宅",INDIRECT("'数据-取费表'!M"&amp;$K$1)*F15,0)),0)</f>
        <v>582</v>
      </c>
      <c r="D15" s="451"/>
      <c r="E15" s="365"/>
      <c r="F15" s="453">
        <f>'数据-取费表'!B34</f>
        <v>0.05</v>
      </c>
      <c r="G15" s="444" t="s">
        <v>502</v>
      </c>
      <c r="H15" s="447"/>
      <c r="I15" s="447"/>
      <c r="J15" s="447"/>
      <c r="K15" s="448"/>
    </row>
    <row r="16" spans="1:41" s="2101" customFormat="1" ht="13.5" customHeight="1">
      <c r="A16" s="1619" t="s">
        <v>1850</v>
      </c>
      <c r="B16" s="449" t="s">
        <v>484</v>
      </c>
      <c r="C16" s="53">
        <f ca="1">ROUND(D16*E16/10000,0)</f>
        <v>1226</v>
      </c>
      <c r="D16" s="451">
        <f ca="1">IF(B1="",'数据-汇总表'!E3,INDIRECT("'数据-取费表'!K"&amp;$K$1)+INDIRECT("'数据-取费表'!S"&amp;$K$1))</f>
        <v>61277.75</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1851</v>
      </c>
      <c r="B17" s="449" t="s">
        <v>485</v>
      </c>
      <c r="C17" s="454">
        <f ca="1">ROUND(C13*F17,0)</f>
        <v>185</v>
      </c>
      <c r="D17" s="455"/>
      <c r="E17" s="454"/>
      <c r="F17" s="456">
        <f>'数据-取费表'!B36</f>
        <v>1.4999999999999999E-2</v>
      </c>
      <c r="G17" s="444" t="s">
        <v>502</v>
      </c>
      <c r="H17" s="457"/>
      <c r="I17" s="457"/>
      <c r="J17" s="457"/>
      <c r="K17" s="458"/>
    </row>
    <row r="18" spans="1:14" s="2103" customFormat="1" ht="13.5" customHeight="1">
      <c r="A18" s="1620" t="s">
        <v>1852</v>
      </c>
      <c r="B18" s="459" t="s">
        <v>487</v>
      </c>
      <c r="C18" s="460">
        <f ca="1">SUM(C13:C17)</f>
        <v>14680</v>
      </c>
      <c r="D18" s="461"/>
      <c r="E18" s="462"/>
      <c r="F18" s="462"/>
      <c r="G18" s="1323" t="s">
        <v>2429</v>
      </c>
      <c r="H18" s="447"/>
      <c r="I18" s="447"/>
      <c r="J18" s="447"/>
      <c r="K18" s="448"/>
    </row>
    <row r="19" spans="1:14" s="2103" customFormat="1" ht="13.5" customHeight="1">
      <c r="A19" s="1620" t="s">
        <v>1853</v>
      </c>
      <c r="B19" s="459" t="s">
        <v>493</v>
      </c>
      <c r="C19" s="460">
        <f ca="1">ROUND(C18*F19,0)</f>
        <v>294</v>
      </c>
      <c r="D19" s="462"/>
      <c r="E19" s="462"/>
      <c r="F19" s="466">
        <f>'数据-取费表'!B37</f>
        <v>0.02</v>
      </c>
      <c r="G19" s="444" t="s">
        <v>503</v>
      </c>
      <c r="H19" s="447"/>
      <c r="I19" s="447"/>
      <c r="J19" s="447"/>
      <c r="K19" s="448"/>
      <c r="L19" s="2105"/>
      <c r="M19" s="2105"/>
      <c r="N19" s="2105"/>
    </row>
    <row r="20" spans="1:14" s="2103" customFormat="1" ht="13.5" customHeight="1">
      <c r="A20" s="1620" t="s">
        <v>1854</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1857</v>
      </c>
      <c r="B21" s="461" t="s">
        <v>494</v>
      </c>
      <c r="C21" s="470">
        <f ca="1">C22</f>
        <v>711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2451</v>
      </c>
    </row>
    <row r="22" spans="1:14" s="2104" customFormat="1" ht="13.5" customHeight="1">
      <c r="A22" s="1619" t="s">
        <v>1847</v>
      </c>
      <c r="B22" s="1324" t="s">
        <v>2432</v>
      </c>
      <c r="C22" s="487">
        <f ca="1">ROUND(IF('数据-取费表'!B22&lt;=1,(C18+C19)*F21*'数据-取费表'!B20/2,(C18+C19)*(POWER((1+F21),'数据-取费表'!B20/2)-1)),0)</f>
        <v>711</v>
      </c>
      <c r="D22" s="472"/>
      <c r="E22" s="473"/>
      <c r="F22" s="474"/>
      <c r="G22" s="2530" t="str">
        <f>IF('数据-取费表'!B22&lt;=1,"((1)+(2))×年利率×建设期÷2","((1)+(2))×((1+年利率)^(建设期÷2)-1)")</f>
        <v>((1)+(2))×((1+年利率)^(建设期÷2)-1)</v>
      </c>
      <c r="H22" s="457"/>
      <c r="I22" s="457"/>
      <c r="J22" s="457"/>
      <c r="K22" s="458"/>
    </row>
    <row r="23" spans="1:14" s="2104" customFormat="1" ht="13.5" customHeight="1">
      <c r="A23" s="1619" t="s">
        <v>1848</v>
      </c>
      <c r="B23" s="1324"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20" t="s">
        <v>1858</v>
      </c>
      <c r="B24" s="2983" t="s">
        <v>2828</v>
      </c>
      <c r="C24" s="478">
        <f ca="1">C25</f>
        <v>2246</v>
      </c>
      <c r="D24" s="489">
        <f ca="1">C26</f>
        <v>3.0000000000000001E-3</v>
      </c>
      <c r="E24" s="469" t="s">
        <v>507</v>
      </c>
      <c r="F24" s="479">
        <f ca="1">IF(B1="",'数据-取费表'!Q16,INDIRECT("'数据-取费表'!q"&amp;$K$1))</f>
        <v>0.15</v>
      </c>
      <c r="G24" s="444"/>
      <c r="H24" s="447"/>
      <c r="I24" s="447"/>
      <c r="J24" s="447"/>
      <c r="K24" s="448"/>
    </row>
    <row r="25" spans="1:14" s="2104" customFormat="1" ht="13.5" customHeight="1">
      <c r="A25" s="1619" t="s">
        <v>1847</v>
      </c>
      <c r="B25" s="1324" t="s">
        <v>2433</v>
      </c>
      <c r="C25" s="490">
        <f ca="1">ROUND((C18+C19)*F24,0)</f>
        <v>2246</v>
      </c>
      <c r="D25" s="472"/>
      <c r="E25" s="473"/>
      <c r="F25" s="480"/>
      <c r="G25" s="1322" t="s">
        <v>2430</v>
      </c>
      <c r="H25" s="457"/>
      <c r="I25" s="457"/>
      <c r="J25" s="457"/>
      <c r="K25" s="458"/>
    </row>
    <row r="26" spans="1:14" s="2104" customFormat="1" ht="13.5" customHeight="1">
      <c r="A26" s="1619" t="s">
        <v>1848</v>
      </c>
      <c r="B26" s="1324" t="s">
        <v>509</v>
      </c>
      <c r="C26" s="491">
        <f ca="1">ROUND(F20*F24,4)</f>
        <v>3.0000000000000001E-3</v>
      </c>
      <c r="D26" s="472"/>
      <c r="E26" s="481"/>
      <c r="F26" s="480"/>
      <c r="G26" s="1322" t="s">
        <v>510</v>
      </c>
      <c r="H26" s="457"/>
      <c r="I26" s="457"/>
      <c r="J26" s="457"/>
      <c r="K26" s="458"/>
    </row>
    <row r="27" spans="1:14" s="2104" customFormat="1" ht="13.5" customHeight="1">
      <c r="A27" s="1623" t="s">
        <v>1866</v>
      </c>
      <c r="B27" s="459" t="s">
        <v>511</v>
      </c>
      <c r="C27" s="2982">
        <f>ROUND(F27/(1+'数据-取费表'!C42),4)</f>
        <v>5.2400000000000002E-2</v>
      </c>
      <c r="D27" s="462" t="s">
        <v>2826</v>
      </c>
      <c r="E27" s="462"/>
      <c r="F27" s="466">
        <f>'数据-取费表'!B41</f>
        <v>5.5000000000000007E-2</v>
      </c>
      <c r="G27" s="1944" t="s">
        <v>2288</v>
      </c>
      <c r="H27" s="447"/>
      <c r="I27" s="447"/>
      <c r="J27" s="447"/>
      <c r="K27" s="448"/>
    </row>
    <row r="28" spans="1:14" s="2105" customFormat="1" ht="13.5" customHeight="1">
      <c r="A28" s="1623" t="s">
        <v>1867</v>
      </c>
      <c r="B28" s="476" t="s">
        <v>512</v>
      </c>
      <c r="C28" s="470">
        <f ca="1">ROUND((C18+C19+C21+C24)/(1-C20-D21-D24-C27),0)</f>
        <v>19414</v>
      </c>
      <c r="D28" s="477"/>
      <c r="E28" s="469"/>
      <c r="F28" s="471"/>
      <c r="G28" s="1323" t="s">
        <v>2431</v>
      </c>
      <c r="H28" s="447"/>
      <c r="I28" s="447"/>
      <c r="J28" s="447"/>
      <c r="K28" s="448"/>
    </row>
    <row r="29" spans="1:14" s="2105"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1864</v>
      </c>
      <c r="B31" s="1326"/>
      <c r="C31" s="500">
        <f>ROUND(C6*F31/(1+'数据-取费表'!C42),0)</f>
        <v>0</v>
      </c>
      <c r="D31" s="1327"/>
      <c r="E31" s="1327"/>
      <c r="F31" s="501">
        <f>'数据-取费表'!B41</f>
        <v>5.5000000000000007E-2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58" sqref="B58"/>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197" t="str">
        <f>项目基本情况!B1</f>
        <v>天山路以东，赤水河街以南，嘉陵江路以北等6宗住宅、商业用地出让国有建设用地使用权抵押价格预评估</v>
      </c>
      <c r="C37" s="3197"/>
      <c r="D37" s="3197"/>
      <c r="E37" s="3197"/>
      <c r="F37" s="3197"/>
      <c r="G37" s="3197"/>
      <c r="H37" s="3197"/>
      <c r="I37" s="3197"/>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c r="B46" s="1640" t="str">
        <f>项目基本情况!K4</f>
        <v>土地估价师、土地估价师</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37" zoomScale="80" zoomScaleNormal="95" zoomScaleSheetLayoutView="80" workbookViewId="0">
      <selection activeCell="L53" sqref="L53"/>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14051</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2293</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3440</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229</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1">
      <c r="A6" s="512" t="s">
        <v>521</v>
      </c>
      <c r="B6" s="513"/>
      <c r="C6" s="3386" t="s">
        <v>522</v>
      </c>
      <c r="D6" s="3387"/>
      <c r="E6" s="3386" t="s">
        <v>523</v>
      </c>
      <c r="F6" s="3387"/>
      <c r="G6" s="3386" t="s">
        <v>524</v>
      </c>
      <c r="H6" s="3387"/>
      <c r="I6" s="3386" t="s">
        <v>525</v>
      </c>
      <c r="J6" s="3387"/>
      <c r="K6" s="514" t="s">
        <v>526</v>
      </c>
      <c r="L6" s="2117"/>
      <c r="M6" s="2116"/>
      <c r="N6" s="2116"/>
      <c r="O6" s="2118"/>
      <c r="P6" s="3388" t="s">
        <v>527</v>
      </c>
      <c r="Q6" s="3389"/>
      <c r="R6" s="3374" t="s">
        <v>523</v>
      </c>
      <c r="S6" s="3375"/>
      <c r="T6" s="3374" t="s">
        <v>524</v>
      </c>
      <c r="U6" s="3375"/>
      <c r="V6" s="3394" t="s">
        <v>525</v>
      </c>
      <c r="W6" s="3394"/>
      <c r="X6" s="1554"/>
      <c r="Y6" s="3374" t="s">
        <v>527</v>
      </c>
      <c r="Z6" s="3375"/>
      <c r="AA6" s="3369" t="s">
        <v>523</v>
      </c>
      <c r="AB6" s="3370" t="s">
        <v>524</v>
      </c>
      <c r="AC6" s="3369" t="s">
        <v>525</v>
      </c>
    </row>
    <row r="7" spans="1:30" ht="21">
      <c r="A7" s="515"/>
      <c r="B7" s="516"/>
      <c r="C7" s="3397" t="s">
        <v>2922</v>
      </c>
      <c r="D7" s="3398"/>
      <c r="E7" s="3397" t="str">
        <f>土地案例!$A$5</f>
        <v>秦岭路以东,赤水河街以南,规划经五路以西,嘉陵江路以北</v>
      </c>
      <c r="F7" s="3398"/>
      <c r="G7" s="3397" t="str">
        <f>土地案例!A21</f>
        <v>太行山大道以东、韶山街以西、淮河路以南、规划纬二路以北</v>
      </c>
      <c r="H7" s="3398"/>
      <c r="I7" s="3397" t="str">
        <f>土地案例!$A$26</f>
        <v>经七路以东,丹江路以南,郑新大道以西,长江大道以北</v>
      </c>
      <c r="J7" s="3398"/>
      <c r="K7" s="514"/>
      <c r="L7" s="2117"/>
      <c r="M7" s="2116"/>
      <c r="N7" s="2116"/>
      <c r="O7" s="2118"/>
      <c r="P7" s="3390"/>
      <c r="Q7" s="3391"/>
      <c r="R7" s="3376"/>
      <c r="S7" s="3377"/>
      <c r="T7" s="3376"/>
      <c r="U7" s="3377"/>
      <c r="V7" s="3394"/>
      <c r="W7" s="3394"/>
      <c r="X7" s="1554"/>
      <c r="Y7" s="3376"/>
      <c r="Z7" s="3377"/>
      <c r="AA7" s="3370"/>
      <c r="AB7" s="3370"/>
      <c r="AC7" s="3370"/>
    </row>
    <row r="8" spans="1:30" ht="21.6" thickBot="1">
      <c r="A8" s="515"/>
      <c r="B8" s="516"/>
      <c r="C8" s="3399" t="s">
        <v>2926</v>
      </c>
      <c r="D8" s="3400"/>
      <c r="E8" s="3399" t="s">
        <v>2926</v>
      </c>
      <c r="F8" s="3400"/>
      <c r="G8" s="3395" t="s">
        <v>2926</v>
      </c>
      <c r="H8" s="3396"/>
      <c r="I8" s="3395" t="s">
        <v>2926</v>
      </c>
      <c r="J8" s="3396"/>
      <c r="K8" s="514" t="s">
        <v>528</v>
      </c>
      <c r="L8" s="2117"/>
      <c r="M8" s="2116"/>
      <c r="N8" s="2116"/>
      <c r="O8" s="2118"/>
      <c r="P8" s="3392"/>
      <c r="Q8" s="3393"/>
      <c r="R8" s="3376"/>
      <c r="S8" s="3377"/>
      <c r="T8" s="3378"/>
      <c r="U8" s="3379"/>
      <c r="V8" s="3394"/>
      <c r="W8" s="3394"/>
      <c r="X8" s="1554"/>
      <c r="Y8" s="3378"/>
      <c r="Z8" s="3379"/>
      <c r="AA8" s="3371"/>
      <c r="AB8" s="3371"/>
      <c r="AC8" s="3371"/>
    </row>
    <row r="9" spans="1:30" s="1216" customFormat="1" ht="21.6" thickBot="1">
      <c r="A9" s="2866"/>
      <c r="B9" s="2873" t="s">
        <v>529</v>
      </c>
      <c r="C9" s="2865">
        <f>'数据-取费表'!B2</f>
        <v>43905</v>
      </c>
      <c r="D9" s="520">
        <v>100</v>
      </c>
      <c r="E9" s="521" t="str">
        <f>土地案例!$H$5</f>
        <v>2019-12-16</v>
      </c>
      <c r="F9" s="522">
        <f>SUMIF(72:72,YEAR(E9)&amp;"-"&amp;INT((MONTH(E9)+2)/3),73:73)</f>
        <v>99.5</v>
      </c>
      <c r="G9" s="523" t="str">
        <f>土地案例!H21</f>
        <v>2018-10-26</v>
      </c>
      <c r="H9" s="520">
        <f>SUMIF(72:72,YEAR(G9)&amp;"-"&amp;INT((MONTH(G9)+2)/3),73:73)</f>
        <v>97.5</v>
      </c>
      <c r="I9" s="523" t="str">
        <f>土地案例!$H$26</f>
        <v>2018-06-25</v>
      </c>
      <c r="J9" s="520">
        <f>SUMIF(72:72,YEAR(I9)&amp;"-"&amp;INT((MONTH(I9)+2)/3),73:73)</f>
        <v>96.5</v>
      </c>
      <c r="K9" s="524"/>
      <c r="L9" s="2119"/>
      <c r="M9" s="2116"/>
      <c r="N9" s="2116"/>
      <c r="O9" s="2120"/>
      <c r="P9" s="3372" t="s">
        <v>530</v>
      </c>
      <c r="Q9" s="3381"/>
      <c r="R9" s="1555" t="s">
        <v>8</v>
      </c>
      <c r="S9" s="1556">
        <f t="shared" ref="S9:S17" si="0">F9</f>
        <v>99.5</v>
      </c>
      <c r="T9" s="1555" t="s">
        <v>8</v>
      </c>
      <c r="U9" s="1556">
        <f t="shared" ref="U9:U17" si="1">H9</f>
        <v>97.5</v>
      </c>
      <c r="V9" s="1555" t="s">
        <v>8</v>
      </c>
      <c r="W9" s="1556">
        <f t="shared" ref="W9:W17" si="2">J9</f>
        <v>96.5</v>
      </c>
      <c r="X9" s="1557"/>
      <c r="Y9" s="3372" t="s">
        <v>530</v>
      </c>
      <c r="Z9" s="3373"/>
      <c r="AA9" s="1558">
        <f>D9/F9</f>
        <v>1.0050251256281406</v>
      </c>
      <c r="AB9" s="1558">
        <f>D9/H9</f>
        <v>1.0256410256410255</v>
      </c>
      <c r="AC9" s="1558">
        <f>D9/J9</f>
        <v>1.0362694300518134</v>
      </c>
    </row>
    <row r="10" spans="1:30" s="1216" customFormat="1" ht="21.6" thickBot="1">
      <c r="A10" s="2867"/>
      <c r="B10" s="2874" t="s">
        <v>531</v>
      </c>
      <c r="C10" s="856" t="s">
        <v>532</v>
      </c>
      <c r="D10" s="520">
        <v>100</v>
      </c>
      <c r="E10" s="525" t="s">
        <v>3149</v>
      </c>
      <c r="F10" s="522">
        <f>SUMIF(75:75,E10,76:76)-SUMIF(75:75,C10,76:76)+100</f>
        <v>100</v>
      </c>
      <c r="G10" s="525" t="s">
        <v>3149</v>
      </c>
      <c r="H10" s="520">
        <f>SUMIF(75:75,G10,76:76)-SUMIF(75:75,C10,76:76)+100</f>
        <v>100</v>
      </c>
      <c r="I10" s="525" t="s">
        <v>3149</v>
      </c>
      <c r="J10" s="520">
        <f>SUMIF(75:75,I10,76:76)-SUMIF(75:75,C10,76:76)+100</f>
        <v>100</v>
      </c>
      <c r="K10" s="524"/>
      <c r="L10" s="2119"/>
      <c r="M10" s="2116"/>
      <c r="N10" s="2116"/>
      <c r="O10" s="2120"/>
      <c r="P10" s="3372" t="s">
        <v>533</v>
      </c>
      <c r="Q10" s="3373"/>
      <c r="R10" s="1555" t="s">
        <v>8</v>
      </c>
      <c r="S10" s="1556">
        <f t="shared" si="0"/>
        <v>100</v>
      </c>
      <c r="T10" s="1555" t="s">
        <v>8</v>
      </c>
      <c r="U10" s="1556">
        <f t="shared" si="1"/>
        <v>100</v>
      </c>
      <c r="V10" s="1555" t="s">
        <v>8</v>
      </c>
      <c r="W10" s="1556">
        <f t="shared" si="2"/>
        <v>100</v>
      </c>
      <c r="X10" s="1557"/>
      <c r="Y10" s="3372" t="s">
        <v>533</v>
      </c>
      <c r="Z10" s="3373"/>
      <c r="AA10" s="1558">
        <f t="shared" ref="AA10:AA47" si="3">D10/F10</f>
        <v>1</v>
      </c>
      <c r="AB10" s="1558">
        <f t="shared" ref="AB10:AB47" si="4">D10/H10</f>
        <v>1</v>
      </c>
      <c r="AC10" s="1558">
        <f t="shared" ref="AC10:AC47" si="5">D10/J10</f>
        <v>1</v>
      </c>
    </row>
    <row r="11" spans="1:30" s="1216" customFormat="1" ht="21">
      <c r="A11" s="2868"/>
      <c r="B11" s="2875" t="s">
        <v>2752</v>
      </c>
      <c r="C11" s="2862" t="s">
        <v>922</v>
      </c>
      <c r="D11" s="254">
        <v>100</v>
      </c>
      <c r="E11" s="2862" t="s">
        <v>922</v>
      </c>
      <c r="F11" s="254">
        <f>SUMIF(77:77,E11,78:78)-SUMIF(77:77,C11,78:78)+100</f>
        <v>100</v>
      </c>
      <c r="G11" s="2862" t="s">
        <v>922</v>
      </c>
      <c r="H11" s="254">
        <f>SUMIF(77:77,G11,78:78)-SUMIF(77:77,C11,78:78)+100</f>
        <v>100</v>
      </c>
      <c r="I11" s="2862" t="s">
        <v>922</v>
      </c>
      <c r="J11" s="254">
        <f>SUMIF(77:77,I11,78:78)-SUMIF(77:77,C11,78:78)+100</f>
        <v>100</v>
      </c>
      <c r="K11" s="524"/>
      <c r="L11" s="2119"/>
      <c r="M11" s="2116"/>
      <c r="N11" s="2116"/>
      <c r="O11" s="2121"/>
      <c r="P11" s="3380" t="s">
        <v>535</v>
      </c>
      <c r="Q11" s="1147" t="str">
        <f t="shared" ref="Q11:Q17" si="6">B11</f>
        <v>用途</v>
      </c>
      <c r="R11" s="1555" t="s">
        <v>8</v>
      </c>
      <c r="S11" s="1556">
        <f t="shared" si="0"/>
        <v>100</v>
      </c>
      <c r="T11" s="1555" t="s">
        <v>8</v>
      </c>
      <c r="U11" s="1556">
        <f t="shared" si="1"/>
        <v>100</v>
      </c>
      <c r="V11" s="1555" t="s">
        <v>8</v>
      </c>
      <c r="W11" s="1556">
        <f t="shared" si="2"/>
        <v>100</v>
      </c>
      <c r="X11" s="1557"/>
      <c r="Y11" s="3337" t="s">
        <v>536</v>
      </c>
      <c r="Z11" s="1146" t="str">
        <f t="shared" ref="Z11:Z17" si="7">Q11</f>
        <v>用途</v>
      </c>
      <c r="AA11" s="1558">
        <f t="shared" si="3"/>
        <v>1</v>
      </c>
      <c r="AB11" s="1558">
        <f t="shared" si="4"/>
        <v>1</v>
      </c>
      <c r="AC11" s="1558">
        <f t="shared" si="5"/>
        <v>1</v>
      </c>
    </row>
    <row r="12" spans="1:30" s="1334" customFormat="1" ht="28.8">
      <c r="A12" s="2869"/>
      <c r="B12" s="2874" t="s">
        <v>2753</v>
      </c>
      <c r="C12" s="910">
        <f>项目基本情况!D19</f>
        <v>69.650000000000006</v>
      </c>
      <c r="D12" s="255">
        <v>100</v>
      </c>
      <c r="E12" s="529" t="s">
        <v>3157</v>
      </c>
      <c r="F12" s="255">
        <f>ROUND(100/'数据-取费表'!G16,0)</f>
        <v>100</v>
      </c>
      <c r="G12" s="529" t="s">
        <v>3157</v>
      </c>
      <c r="H12" s="255">
        <f>ROUND(100/'数据-取费表'!G16,0)</f>
        <v>100</v>
      </c>
      <c r="I12" s="529" t="s">
        <v>3157</v>
      </c>
      <c r="J12" s="255">
        <f>ROUND(100/'数据-取费表'!G16,0)</f>
        <v>100</v>
      </c>
      <c r="K12" s="531"/>
      <c r="L12" s="2122"/>
      <c r="M12" s="2116"/>
      <c r="N12" s="2116"/>
      <c r="O12" s="2123"/>
      <c r="P12" s="3380"/>
      <c r="Q12" s="1147" t="str">
        <f t="shared" si="6"/>
        <v>土地使用年限（年）</v>
      </c>
      <c r="R12" s="1555" t="s">
        <v>8</v>
      </c>
      <c r="S12" s="1556">
        <f t="shared" si="0"/>
        <v>100</v>
      </c>
      <c r="T12" s="1555" t="s">
        <v>8</v>
      </c>
      <c r="U12" s="1556">
        <f t="shared" si="1"/>
        <v>100</v>
      </c>
      <c r="V12" s="1555" t="s">
        <v>8</v>
      </c>
      <c r="W12" s="1556">
        <f t="shared" si="2"/>
        <v>100</v>
      </c>
      <c r="X12" s="1557"/>
      <c r="Y12" s="3337"/>
      <c r="Z12" s="1146" t="str">
        <f t="shared" si="7"/>
        <v>土地使用年限（年）</v>
      </c>
      <c r="AA12" s="1558">
        <f t="shared" si="3"/>
        <v>1</v>
      </c>
      <c r="AB12" s="1558">
        <f t="shared" si="4"/>
        <v>1</v>
      </c>
      <c r="AC12" s="1558">
        <f t="shared" si="5"/>
        <v>1</v>
      </c>
    </row>
    <row r="13" spans="1:30" ht="21">
      <c r="A13" s="2870"/>
      <c r="B13" s="2874" t="s">
        <v>2754</v>
      </c>
      <c r="C13" s="534">
        <v>1.5</v>
      </c>
      <c r="D13" s="255">
        <v>100</v>
      </c>
      <c r="E13" s="533">
        <v>2</v>
      </c>
      <c r="F13" s="255">
        <f>LOOKUP(E13,82:82,83:83)-LOOKUP(C13,82:82,83:83)+100</f>
        <v>98</v>
      </c>
      <c r="G13" s="534">
        <v>2</v>
      </c>
      <c r="H13" s="255">
        <f>LOOKUP(G13,82:82,83:83)-LOOKUP(C13,82:82,83:83)+100</f>
        <v>98</v>
      </c>
      <c r="I13" s="533">
        <v>2</v>
      </c>
      <c r="J13" s="255">
        <f>LOOKUP(I13,82:82,83:83)-LOOKUP(C13,82:82,83:83)+100</f>
        <v>98</v>
      </c>
      <c r="K13" s="535">
        <v>2</v>
      </c>
      <c r="L13" s="2124"/>
      <c r="M13" s="2116"/>
      <c r="N13" s="2116"/>
      <c r="O13" s="2125"/>
      <c r="P13" s="3380"/>
      <c r="Q13" s="1147" t="str">
        <f t="shared" si="6"/>
        <v>容积率</v>
      </c>
      <c r="R13" s="1555" t="s">
        <v>8</v>
      </c>
      <c r="S13" s="1556">
        <f t="shared" si="0"/>
        <v>98</v>
      </c>
      <c r="T13" s="1555" t="s">
        <v>8</v>
      </c>
      <c r="U13" s="1556">
        <f t="shared" si="1"/>
        <v>98</v>
      </c>
      <c r="V13" s="1555" t="s">
        <v>8</v>
      </c>
      <c r="W13" s="1556">
        <f t="shared" si="2"/>
        <v>98</v>
      </c>
      <c r="X13" s="1557"/>
      <c r="Y13" s="3337"/>
      <c r="Z13" s="1146" t="str">
        <f t="shared" si="7"/>
        <v>容积率</v>
      </c>
      <c r="AA13" s="1558">
        <f t="shared" si="3"/>
        <v>1.0204081632653061</v>
      </c>
      <c r="AB13" s="1558">
        <f t="shared" si="4"/>
        <v>1.0204081632653061</v>
      </c>
      <c r="AC13" s="1558">
        <f t="shared" si="5"/>
        <v>1.0204081632653061</v>
      </c>
    </row>
    <row r="14" spans="1:30" s="1216" customFormat="1" ht="21">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380"/>
      <c r="Q14" s="1147" t="str">
        <f t="shared" si="6"/>
        <v>配建</v>
      </c>
      <c r="R14" s="1555" t="s">
        <v>8</v>
      </c>
      <c r="S14" s="1556">
        <f t="shared" si="0"/>
        <v>100</v>
      </c>
      <c r="T14" s="1555" t="s">
        <v>8</v>
      </c>
      <c r="U14" s="1556">
        <f t="shared" si="1"/>
        <v>100</v>
      </c>
      <c r="V14" s="1555" t="s">
        <v>8</v>
      </c>
      <c r="W14" s="1556">
        <f t="shared" si="2"/>
        <v>100</v>
      </c>
      <c r="X14" s="1557"/>
      <c r="Y14" s="3337"/>
      <c r="Z14" s="1146" t="str">
        <f t="shared" si="7"/>
        <v>配建</v>
      </c>
      <c r="AA14" s="1558">
        <f>D14/F14</f>
        <v>1</v>
      </c>
      <c r="AB14" s="1558">
        <f>D14/H14</f>
        <v>1</v>
      </c>
      <c r="AC14" s="1558">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0"/>
      <c r="Q15" s="1147">
        <f t="shared" si="6"/>
        <v>111</v>
      </c>
      <c r="R15" s="1555" t="s">
        <v>8</v>
      </c>
      <c r="S15" s="1556">
        <f t="shared" si="0"/>
        <v>100</v>
      </c>
      <c r="T15" s="1555" t="s">
        <v>8</v>
      </c>
      <c r="U15" s="1556">
        <f t="shared" si="1"/>
        <v>100</v>
      </c>
      <c r="V15" s="1555" t="s">
        <v>8</v>
      </c>
      <c r="W15" s="1556">
        <f t="shared" si="2"/>
        <v>100</v>
      </c>
      <c r="X15" s="1557"/>
      <c r="Y15" s="3337"/>
      <c r="Z15" s="1146">
        <f t="shared" si="7"/>
        <v>111</v>
      </c>
      <c r="AA15" s="1558">
        <f>D15/F15</f>
        <v>1</v>
      </c>
      <c r="AB15" s="1558">
        <f>D15/H15</f>
        <v>1</v>
      </c>
      <c r="AC15" s="1558">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0"/>
      <c r="Q16" s="1147">
        <f t="shared" si="6"/>
        <v>111</v>
      </c>
      <c r="R16" s="1555" t="s">
        <v>8</v>
      </c>
      <c r="S16" s="1556">
        <f t="shared" si="0"/>
        <v>100</v>
      </c>
      <c r="T16" s="1555" t="s">
        <v>8</v>
      </c>
      <c r="U16" s="1556">
        <f t="shared" si="1"/>
        <v>100</v>
      </c>
      <c r="V16" s="1555" t="s">
        <v>8</v>
      </c>
      <c r="W16" s="1556">
        <f t="shared" si="2"/>
        <v>100</v>
      </c>
      <c r="X16" s="1557"/>
      <c r="Y16" s="3337"/>
      <c r="Z16" s="1146">
        <f t="shared" si="7"/>
        <v>111</v>
      </c>
      <c r="AA16" s="1558">
        <f>D16/F16</f>
        <v>1</v>
      </c>
      <c r="AB16" s="1558">
        <f>D16/H16</f>
        <v>1</v>
      </c>
      <c r="AC16" s="1558">
        <f>D16/J16</f>
        <v>1</v>
      </c>
    </row>
    <row r="17" spans="1:29" ht="21">
      <c r="A17" s="2864"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6"/>
      <c r="M17" s="2116"/>
      <c r="N17" s="2116"/>
      <c r="O17" s="2125"/>
      <c r="P17" s="3382" t="s">
        <v>540</v>
      </c>
      <c r="Q17" s="1559" t="str">
        <f t="shared" si="6"/>
        <v>居住社区成熟度</v>
      </c>
      <c r="R17" s="1560" t="s">
        <v>8</v>
      </c>
      <c r="S17" s="1561">
        <f t="shared" si="0"/>
        <v>100</v>
      </c>
      <c r="T17" s="1560" t="s">
        <v>8</v>
      </c>
      <c r="U17" s="1561">
        <f t="shared" si="1"/>
        <v>100</v>
      </c>
      <c r="V17" s="1560" t="s">
        <v>8</v>
      </c>
      <c r="W17" s="1561">
        <f t="shared" si="2"/>
        <v>100</v>
      </c>
      <c r="X17" s="1554"/>
      <c r="Y17" s="3382" t="s">
        <v>540</v>
      </c>
      <c r="Z17" s="1562" t="str">
        <f t="shared" si="7"/>
        <v>居住社区成熟度</v>
      </c>
      <c r="AA17" s="1563">
        <f t="shared" si="3"/>
        <v>1</v>
      </c>
      <c r="AB17" s="1563">
        <f t="shared" si="4"/>
        <v>1</v>
      </c>
      <c r="AC17" s="1563">
        <f t="shared" si="5"/>
        <v>1</v>
      </c>
    </row>
    <row r="18" spans="1:29" ht="21">
      <c r="A18" s="532"/>
      <c r="B18" s="553"/>
      <c r="C18" s="554" t="s">
        <v>3025</v>
      </c>
      <c r="D18" s="557"/>
      <c r="E18" s="554" t="s">
        <v>3025</v>
      </c>
      <c r="F18" s="555"/>
      <c r="G18" s="554" t="s">
        <v>3025</v>
      </c>
      <c r="H18" s="559"/>
      <c r="I18" s="554" t="s">
        <v>3025</v>
      </c>
      <c r="J18" s="555"/>
      <c r="K18" s="531"/>
      <c r="L18" s="2126"/>
      <c r="M18" s="2116"/>
      <c r="N18" s="2116"/>
      <c r="O18" s="2125"/>
      <c r="P18" s="3383"/>
      <c r="Q18" s="1559"/>
      <c r="R18" s="1560"/>
      <c r="S18" s="1561"/>
      <c r="T18" s="1560"/>
      <c r="U18" s="1561"/>
      <c r="V18" s="1560"/>
      <c r="W18" s="1561"/>
      <c r="X18" s="1554"/>
      <c r="Y18" s="3383"/>
      <c r="Z18" s="1562"/>
      <c r="AA18" s="1563">
        <v>1</v>
      </c>
      <c r="AB18" s="1563">
        <v>1</v>
      </c>
      <c r="AC18" s="1563">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6"/>
      <c r="M19" s="2116"/>
      <c r="N19" s="2116"/>
      <c r="O19" s="2125"/>
      <c r="P19" s="3383"/>
      <c r="Q19" s="1559" t="str">
        <f>B19</f>
        <v>商业繁华度</v>
      </c>
      <c r="R19" s="1560" t="s">
        <v>8</v>
      </c>
      <c r="S19" s="1561">
        <f>F19</f>
        <v>100</v>
      </c>
      <c r="T19" s="1560" t="s">
        <v>8</v>
      </c>
      <c r="U19" s="1561">
        <f>H19</f>
        <v>100</v>
      </c>
      <c r="V19" s="1560" t="s">
        <v>8</v>
      </c>
      <c r="W19" s="1561">
        <f>J19</f>
        <v>100</v>
      </c>
      <c r="X19" s="1554"/>
      <c r="Y19" s="3383"/>
      <c r="Z19" s="1562" t="str">
        <f>Q19</f>
        <v>商业繁华度</v>
      </c>
      <c r="AA19" s="1563">
        <f t="shared" si="3"/>
        <v>1</v>
      </c>
      <c r="AB19" s="1563">
        <f t="shared" si="4"/>
        <v>1</v>
      </c>
      <c r="AC19" s="1563">
        <f t="shared" si="5"/>
        <v>1</v>
      </c>
    </row>
    <row r="20" spans="1:29" ht="21">
      <c r="A20" s="532"/>
      <c r="B20" s="566"/>
      <c r="C20" s="554" t="s">
        <v>3025</v>
      </c>
      <c r="D20" s="563"/>
      <c r="E20" s="554" t="s">
        <v>3025</v>
      </c>
      <c r="F20" s="559"/>
      <c r="G20" s="554" t="s">
        <v>3025</v>
      </c>
      <c r="H20" s="555"/>
      <c r="I20" s="554" t="s">
        <v>3025</v>
      </c>
      <c r="J20" s="555"/>
      <c r="K20" s="531"/>
      <c r="L20" s="2126"/>
      <c r="M20" s="2116"/>
      <c r="N20" s="2116"/>
      <c r="O20" s="2125"/>
      <c r="P20" s="3383"/>
      <c r="Q20" s="1559"/>
      <c r="R20" s="1560"/>
      <c r="S20" s="1561"/>
      <c r="T20" s="1560"/>
      <c r="U20" s="1561"/>
      <c r="V20" s="1560"/>
      <c r="W20" s="1561"/>
      <c r="X20" s="1554"/>
      <c r="Y20" s="3383"/>
      <c r="Z20" s="1562"/>
      <c r="AA20" s="1563">
        <v>1</v>
      </c>
      <c r="AB20" s="1563">
        <v>1</v>
      </c>
      <c r="AC20" s="1563">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83"/>
      <c r="Q21" s="1559" t="str">
        <f>B21</f>
        <v>办公集聚程度</v>
      </c>
      <c r="R21" s="1560" t="s">
        <v>8</v>
      </c>
      <c r="S21" s="1561">
        <f>F21</f>
        <v>100</v>
      </c>
      <c r="T21" s="1560" t="s">
        <v>8</v>
      </c>
      <c r="U21" s="1561">
        <f>H21</f>
        <v>100</v>
      </c>
      <c r="V21" s="1560" t="s">
        <v>8</v>
      </c>
      <c r="W21" s="1561">
        <f>J21</f>
        <v>100</v>
      </c>
      <c r="X21" s="1554"/>
      <c r="Y21" s="3383"/>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6"/>
      <c r="M22" s="2116"/>
      <c r="N22" s="2116"/>
      <c r="O22" s="2125"/>
      <c r="P22" s="3383"/>
      <c r="Q22" s="1559"/>
      <c r="R22" s="1560"/>
      <c r="S22" s="1561"/>
      <c r="T22" s="1560"/>
      <c r="U22" s="1561"/>
      <c r="V22" s="1560"/>
      <c r="W22" s="1561"/>
      <c r="X22" s="1554"/>
      <c r="Y22" s="3383"/>
      <c r="Z22" s="1562"/>
      <c r="AA22" s="1563">
        <v>1</v>
      </c>
      <c r="AB22" s="1563">
        <v>1</v>
      </c>
      <c r="AC22" s="1563">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26"/>
      <c r="M23" s="2116"/>
      <c r="N23" s="2116"/>
      <c r="O23" s="2125"/>
      <c r="P23" s="3383"/>
      <c r="Q23" s="1559" t="str">
        <f>B23</f>
        <v>交通便捷度</v>
      </c>
      <c r="R23" s="1560" t="s">
        <v>8</v>
      </c>
      <c r="S23" s="1561">
        <f>F23</f>
        <v>100</v>
      </c>
      <c r="T23" s="1560" t="s">
        <v>8</v>
      </c>
      <c r="U23" s="1561">
        <f>H23</f>
        <v>100</v>
      </c>
      <c r="V23" s="1560" t="s">
        <v>8</v>
      </c>
      <c r="W23" s="1561">
        <f>J23</f>
        <v>100</v>
      </c>
      <c r="X23" s="1554"/>
      <c r="Y23" s="3383"/>
      <c r="Z23" s="1562" t="str">
        <f>Q23</f>
        <v>交通便捷度</v>
      </c>
      <c r="AA23" s="1563">
        <f t="shared" si="3"/>
        <v>1</v>
      </c>
      <c r="AB23" s="1563">
        <f t="shared" si="4"/>
        <v>1</v>
      </c>
      <c r="AC23" s="1563">
        <f t="shared" si="5"/>
        <v>1</v>
      </c>
    </row>
    <row r="24" spans="1:29" ht="21">
      <c r="A24" s="532"/>
      <c r="B24" s="578"/>
      <c r="C24" s="554" t="s">
        <v>3025</v>
      </c>
      <c r="D24" s="557"/>
      <c r="E24" s="554" t="s">
        <v>3025</v>
      </c>
      <c r="F24" s="555"/>
      <c r="G24" s="554" t="s">
        <v>3025</v>
      </c>
      <c r="H24" s="555"/>
      <c r="I24" s="554" t="s">
        <v>3025</v>
      </c>
      <c r="J24" s="555"/>
      <c r="K24" s="531"/>
      <c r="L24" s="2126"/>
      <c r="M24" s="2116"/>
      <c r="N24" s="2116"/>
      <c r="O24" s="2125"/>
      <c r="P24" s="3383"/>
      <c r="Q24" s="1559"/>
      <c r="R24" s="1560"/>
      <c r="S24" s="1561"/>
      <c r="T24" s="1560"/>
      <c r="U24" s="1561"/>
      <c r="V24" s="1560"/>
      <c r="W24" s="1561"/>
      <c r="X24" s="1554"/>
      <c r="Y24" s="3383"/>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383"/>
      <c r="Q25" s="1559" t="str">
        <f t="shared" ref="Q25:Q39" si="8">B25</f>
        <v>区域土地利用方向</v>
      </c>
      <c r="R25" s="1560" t="s">
        <v>8</v>
      </c>
      <c r="S25" s="1561">
        <f>F25</f>
        <v>100</v>
      </c>
      <c r="T25" s="1560" t="s">
        <v>8</v>
      </c>
      <c r="U25" s="1561">
        <f>H25</f>
        <v>100</v>
      </c>
      <c r="V25" s="1560" t="s">
        <v>8</v>
      </c>
      <c r="W25" s="1561">
        <f>J25</f>
        <v>100</v>
      </c>
      <c r="X25" s="1554"/>
      <c r="Y25" s="3383"/>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6"/>
      <c r="M26" s="2116"/>
      <c r="N26" s="2116"/>
      <c r="O26" s="2125"/>
      <c r="P26" s="3383"/>
      <c r="Q26" s="1559"/>
      <c r="R26" s="1560"/>
      <c r="S26" s="1561"/>
      <c r="T26" s="1560"/>
      <c r="U26" s="1561"/>
      <c r="V26" s="1560"/>
      <c r="W26" s="1561"/>
      <c r="X26" s="1554"/>
      <c r="Y26" s="3383"/>
      <c r="Z26" s="1562"/>
      <c r="AA26" s="1563"/>
      <c r="AB26" s="1563"/>
      <c r="AC26" s="1563"/>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83"/>
      <c r="Q27" s="1559" t="str">
        <f t="shared" si="8"/>
        <v>自然及人文环境状况</v>
      </c>
      <c r="R27" s="1560" t="s">
        <v>8</v>
      </c>
      <c r="S27" s="1561">
        <f>F27</f>
        <v>100</v>
      </c>
      <c r="T27" s="1560" t="s">
        <v>8</v>
      </c>
      <c r="U27" s="1561">
        <f>H27</f>
        <v>100</v>
      </c>
      <c r="V27" s="1560" t="s">
        <v>8</v>
      </c>
      <c r="W27" s="1561">
        <f>J27</f>
        <v>100</v>
      </c>
      <c r="X27" s="1554"/>
      <c r="Y27" s="3383"/>
      <c r="Z27" s="1562" t="str">
        <f>Q27</f>
        <v>自然及人文环境状况</v>
      </c>
      <c r="AA27" s="1563">
        <f t="shared" si="3"/>
        <v>1</v>
      </c>
      <c r="AB27" s="1563">
        <f t="shared" si="4"/>
        <v>1</v>
      </c>
      <c r="AC27" s="1563">
        <f t="shared" si="5"/>
        <v>1</v>
      </c>
    </row>
    <row r="28" spans="1:29" ht="21">
      <c r="A28" s="515"/>
      <c r="B28" s="566"/>
      <c r="C28" s="554" t="s">
        <v>3025</v>
      </c>
      <c r="D28" s="557"/>
      <c r="E28" s="554" t="s">
        <v>3025</v>
      </c>
      <c r="F28" s="555"/>
      <c r="G28" s="554" t="s">
        <v>3025</v>
      </c>
      <c r="H28" s="555"/>
      <c r="I28" s="554" t="s">
        <v>3025</v>
      </c>
      <c r="J28" s="555"/>
      <c r="K28" s="531"/>
      <c r="L28" s="2126"/>
      <c r="M28" s="2116"/>
      <c r="N28" s="2116"/>
      <c r="O28" s="2125"/>
      <c r="P28" s="3383"/>
      <c r="Q28" s="1559"/>
      <c r="R28" s="1560"/>
      <c r="S28" s="1561"/>
      <c r="T28" s="1560"/>
      <c r="U28" s="1561"/>
      <c r="V28" s="1560"/>
      <c r="W28" s="1561"/>
      <c r="X28" s="1554"/>
      <c r="Y28" s="3383"/>
      <c r="Z28" s="1562"/>
      <c r="AA28" s="1563">
        <v>1</v>
      </c>
      <c r="AB28" s="1563">
        <v>1</v>
      </c>
      <c r="AC28" s="1563">
        <v>1</v>
      </c>
    </row>
    <row r="29" spans="1:29" s="1216" customFormat="1" ht="21">
      <c r="A29" s="577"/>
      <c r="B29" s="2554"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9"/>
      <c r="M29" s="2116"/>
      <c r="N29" s="2116"/>
      <c r="O29" s="2121"/>
      <c r="P29" s="3383"/>
      <c r="Q29" s="1147" t="str">
        <f t="shared" si="8"/>
        <v>公共配套设施</v>
      </c>
      <c r="R29" s="1555" t="s">
        <v>8</v>
      </c>
      <c r="S29" s="1556">
        <f>F29</f>
        <v>100</v>
      </c>
      <c r="T29" s="1555" t="s">
        <v>8</v>
      </c>
      <c r="U29" s="1556">
        <f>H29</f>
        <v>100</v>
      </c>
      <c r="V29" s="1555" t="s">
        <v>8</v>
      </c>
      <c r="W29" s="1556">
        <f>J29</f>
        <v>100</v>
      </c>
      <c r="X29" s="1557"/>
      <c r="Y29" s="3383"/>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19"/>
      <c r="M30" s="2116"/>
      <c r="N30" s="2116"/>
      <c r="O30" s="2121"/>
      <c r="P30" s="3383"/>
      <c r="Q30" s="1147"/>
      <c r="R30" s="1555"/>
      <c r="S30" s="1556"/>
      <c r="T30" s="1555"/>
      <c r="U30" s="1556"/>
      <c r="V30" s="1555"/>
      <c r="W30" s="1556"/>
      <c r="X30" s="1557"/>
      <c r="Y30" s="3383"/>
      <c r="Z30" s="1146"/>
      <c r="AA30" s="1563">
        <v>1</v>
      </c>
      <c r="AB30" s="1563">
        <v>1</v>
      </c>
      <c r="AC30" s="1563">
        <v>1</v>
      </c>
    </row>
    <row r="31" spans="1:29" s="1216" customFormat="1" ht="21">
      <c r="A31" s="577"/>
      <c r="B31" s="2554"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383"/>
      <c r="Q31" s="2541" t="str">
        <f t="shared" ref="Q31" si="9">B31</f>
        <v>基础设施水平</v>
      </c>
      <c r="R31" s="1555" t="s">
        <v>8</v>
      </c>
      <c r="S31" s="1556">
        <f>F31</f>
        <v>100</v>
      </c>
      <c r="T31" s="1555" t="s">
        <v>8</v>
      </c>
      <c r="U31" s="1556">
        <f>H31</f>
        <v>100</v>
      </c>
      <c r="V31" s="1555" t="s">
        <v>8</v>
      </c>
      <c r="W31" s="1556">
        <f>J31</f>
        <v>100</v>
      </c>
      <c r="X31" s="1557"/>
      <c r="Y31" s="3383"/>
      <c r="Z31" s="2538" t="str">
        <f>Q31</f>
        <v>基础设施水平</v>
      </c>
      <c r="AA31" s="1563">
        <f>D31/F31</f>
        <v>1</v>
      </c>
      <c r="AB31" s="1563">
        <f>D31/H31</f>
        <v>1</v>
      </c>
      <c r="AC31" s="1563">
        <f>D31/J31</f>
        <v>1</v>
      </c>
    </row>
    <row r="32" spans="1:29" s="1216" customFormat="1" ht="21">
      <c r="A32" s="577"/>
      <c r="B32" s="566"/>
      <c r="C32" s="579" t="s">
        <v>3027</v>
      </c>
      <c r="D32" s="557"/>
      <c r="E32" s="579" t="s">
        <v>3027</v>
      </c>
      <c r="F32" s="555"/>
      <c r="G32" s="579" t="s">
        <v>3027</v>
      </c>
      <c r="H32" s="555"/>
      <c r="I32" s="579" t="s">
        <v>3027</v>
      </c>
      <c r="J32" s="555"/>
      <c r="K32" s="531"/>
      <c r="L32" s="2119"/>
      <c r="M32" s="2116"/>
      <c r="N32" s="2116"/>
      <c r="O32" s="2121"/>
      <c r="P32" s="3383"/>
      <c r="Q32" s="2541"/>
      <c r="R32" s="1555"/>
      <c r="S32" s="1556"/>
      <c r="T32" s="1555"/>
      <c r="U32" s="1556"/>
      <c r="V32" s="1555"/>
      <c r="W32" s="1556"/>
      <c r="X32" s="1557"/>
      <c r="Y32" s="3383"/>
      <c r="Z32" s="2538"/>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6"/>
      <c r="M33" s="2116"/>
      <c r="N33" s="2116"/>
      <c r="O33" s="2125"/>
      <c r="P33" s="338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3"/>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383"/>
      <c r="Q34" s="1559" t="str">
        <f t="shared" si="8"/>
        <v>毗邻道路的类型与等级</v>
      </c>
      <c r="R34" s="1560" t="s">
        <v>8</v>
      </c>
      <c r="S34" s="1561">
        <f t="shared" si="10"/>
        <v>100</v>
      </c>
      <c r="T34" s="1560" t="s">
        <v>8</v>
      </c>
      <c r="U34" s="1561">
        <f t="shared" si="11"/>
        <v>100</v>
      </c>
      <c r="V34" s="1560" t="s">
        <v>8</v>
      </c>
      <c r="W34" s="1561">
        <f t="shared" si="12"/>
        <v>100</v>
      </c>
      <c r="X34" s="1554"/>
      <c r="Y34" s="3383"/>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6"/>
      <c r="M35" s="2116"/>
      <c r="N35" s="2116"/>
      <c r="O35" s="2125"/>
      <c r="P35" s="3383"/>
      <c r="Q35" s="1559"/>
      <c r="R35" s="1560"/>
      <c r="S35" s="1561"/>
      <c r="T35" s="1560"/>
      <c r="U35" s="1561"/>
      <c r="V35" s="1560"/>
      <c r="W35" s="1561"/>
      <c r="X35" s="1554"/>
      <c r="Y35" s="3383"/>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83"/>
      <c r="Q36" s="1559" t="str">
        <f t="shared" si="8"/>
        <v>土地级别</v>
      </c>
      <c r="R36" s="1560" t="s">
        <v>8</v>
      </c>
      <c r="S36" s="1561">
        <f t="shared" si="10"/>
        <v>100</v>
      </c>
      <c r="T36" s="1560" t="s">
        <v>8</v>
      </c>
      <c r="U36" s="1561">
        <f t="shared" si="11"/>
        <v>100</v>
      </c>
      <c r="V36" s="1560" t="s">
        <v>8</v>
      </c>
      <c r="W36" s="1561">
        <f t="shared" si="12"/>
        <v>100</v>
      </c>
      <c r="X36" s="1554"/>
      <c r="Y36" s="3383"/>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83"/>
      <c r="Q37" s="1559">
        <f t="shared" si="8"/>
        <v>111</v>
      </c>
      <c r="R37" s="1560" t="s">
        <v>8</v>
      </c>
      <c r="S37" s="1561">
        <f t="shared" si="10"/>
        <v>100</v>
      </c>
      <c r="T37" s="1560" t="s">
        <v>8</v>
      </c>
      <c r="U37" s="1561">
        <f t="shared" si="11"/>
        <v>100</v>
      </c>
      <c r="V37" s="1560" t="s">
        <v>8</v>
      </c>
      <c r="W37" s="1561">
        <f t="shared" si="12"/>
        <v>100</v>
      </c>
      <c r="X37" s="1554"/>
      <c r="Y37" s="3383"/>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84" t="s">
        <v>550</v>
      </c>
      <c r="Q38" s="1559">
        <f t="shared" si="8"/>
        <v>111</v>
      </c>
      <c r="R38" s="1560" t="s">
        <v>8</v>
      </c>
      <c r="S38" s="1561">
        <f t="shared" si="10"/>
        <v>100</v>
      </c>
      <c r="T38" s="1560" t="s">
        <v>8</v>
      </c>
      <c r="U38" s="1561">
        <f t="shared" si="11"/>
        <v>100</v>
      </c>
      <c r="V38" s="1560" t="s">
        <v>8</v>
      </c>
      <c r="W38" s="1561">
        <f t="shared" si="12"/>
        <v>100</v>
      </c>
      <c r="X38" s="1554"/>
      <c r="Y38" s="3385"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85"/>
      <c r="Q39" s="1559">
        <f t="shared" si="8"/>
        <v>111</v>
      </c>
      <c r="R39" s="1564" t="s">
        <v>8</v>
      </c>
      <c r="S39" s="1565">
        <f t="shared" si="10"/>
        <v>100</v>
      </c>
      <c r="T39" s="1564" t="s">
        <v>8</v>
      </c>
      <c r="U39" s="1565">
        <f t="shared" si="11"/>
        <v>100</v>
      </c>
      <c r="V39" s="1564" t="s">
        <v>8</v>
      </c>
      <c r="W39" s="1565">
        <f t="shared" si="12"/>
        <v>100</v>
      </c>
      <c r="X39" s="1566"/>
      <c r="Y39" s="3385"/>
      <c r="Z39" s="1567">
        <f t="shared" si="13"/>
        <v>111</v>
      </c>
      <c r="AA39" s="1563">
        <f t="shared" si="3"/>
        <v>1</v>
      </c>
      <c r="AB39" s="1563">
        <f t="shared" si="4"/>
        <v>1</v>
      </c>
      <c r="AC39" s="1563">
        <f t="shared" si="5"/>
        <v>1</v>
      </c>
    </row>
    <row r="40" spans="1:29" ht="21">
      <c r="A40" s="2861" t="s">
        <v>2751</v>
      </c>
      <c r="B40" s="595" t="s">
        <v>552</v>
      </c>
      <c r="C40" s="596">
        <f>'数据-基础表'!A3</f>
        <v>40851.83</v>
      </c>
      <c r="D40" s="597">
        <v>100</v>
      </c>
      <c r="E40" s="596">
        <f>土地案例!D5</f>
        <v>34354</v>
      </c>
      <c r="F40" s="597">
        <f>LOOKUP(E40,119:119,120:120)-LOOKUP(C40,119:119,120:120)+100</f>
        <v>98</v>
      </c>
      <c r="G40" s="596">
        <f>土地案例!D21</f>
        <v>54205.59</v>
      </c>
      <c r="H40" s="597">
        <f>LOOKUP(G40,119:119,120:120)-LOOKUP(C40,119:119,120:120)+100</f>
        <v>100</v>
      </c>
      <c r="I40" s="598">
        <f>土地案例!D26</f>
        <v>56183.89</v>
      </c>
      <c r="J40" s="597">
        <f>LOOKUP(I40,119:119,120:120)-LOOKUP(C40,119:119,120:120)+100</f>
        <v>100</v>
      </c>
      <c r="K40" s="581"/>
      <c r="L40" s="2126"/>
      <c r="M40" s="2116"/>
      <c r="N40" s="2116"/>
      <c r="O40" s="2125"/>
      <c r="P40" s="3385"/>
      <c r="Q40" s="1559" t="str">
        <f>B40</f>
        <v>宗地面积</v>
      </c>
      <c r="R40" s="1560" t="s">
        <v>8</v>
      </c>
      <c r="S40" s="1561">
        <f t="shared" si="10"/>
        <v>98</v>
      </c>
      <c r="T40" s="1560" t="s">
        <v>8</v>
      </c>
      <c r="U40" s="1561">
        <f t="shared" si="11"/>
        <v>100</v>
      </c>
      <c r="V40" s="1560" t="s">
        <v>8</v>
      </c>
      <c r="W40" s="1561">
        <f t="shared" si="12"/>
        <v>100</v>
      </c>
      <c r="X40" s="1554"/>
      <c r="Y40" s="3385"/>
      <c r="Z40" s="1562" t="str">
        <f t="shared" si="13"/>
        <v>宗地面积</v>
      </c>
      <c r="AA40" s="1563">
        <f t="shared" si="3"/>
        <v>1.0204081632653061</v>
      </c>
      <c r="AB40" s="1563">
        <f t="shared" si="4"/>
        <v>1</v>
      </c>
      <c r="AC40" s="1563">
        <f t="shared" si="5"/>
        <v>1</v>
      </c>
    </row>
    <row r="41" spans="1:29" ht="21">
      <c r="A41" s="594"/>
      <c r="B41" s="527" t="s">
        <v>553</v>
      </c>
      <c r="C41" s="599" t="s">
        <v>3151</v>
      </c>
      <c r="D41" s="540">
        <v>100</v>
      </c>
      <c r="E41" s="599" t="s">
        <v>3151</v>
      </c>
      <c r="F41" s="540">
        <f>SUMIF(121:121,E41,122:122)-SUMIF(121:121,C41,122:122)+100</f>
        <v>100</v>
      </c>
      <c r="G41" s="599" t="s">
        <v>3151</v>
      </c>
      <c r="H41" s="540">
        <f>SUMIF(121:121,G41,122:122)-SUMIF(121:121,C41,122:122)+100</f>
        <v>100</v>
      </c>
      <c r="I41" s="599" t="s">
        <v>3151</v>
      </c>
      <c r="J41" s="540">
        <f>SUMIF(121:121,I41,122:122)-SUMIF(121:121,C41,122:122)+100</f>
        <v>100</v>
      </c>
      <c r="K41" s="584">
        <v>2</v>
      </c>
      <c r="L41" s="2126"/>
      <c r="M41" s="2116"/>
      <c r="N41" s="2116"/>
      <c r="O41" s="2125"/>
      <c r="P41" s="3385"/>
      <c r="Q41" s="1559" t="str">
        <f t="shared" ref="Q41:Q47" si="14">B41</f>
        <v>宗地形状</v>
      </c>
      <c r="R41" s="1560" t="s">
        <v>8</v>
      </c>
      <c r="S41" s="1561">
        <f t="shared" si="10"/>
        <v>100</v>
      </c>
      <c r="T41" s="1560" t="s">
        <v>8</v>
      </c>
      <c r="U41" s="1561">
        <f t="shared" si="11"/>
        <v>100</v>
      </c>
      <c r="V41" s="1560" t="s">
        <v>8</v>
      </c>
      <c r="W41" s="1561">
        <f t="shared" si="12"/>
        <v>100</v>
      </c>
      <c r="X41" s="1554"/>
      <c r="Y41" s="3385"/>
      <c r="Z41" s="1562" t="str">
        <f t="shared" si="13"/>
        <v>宗地形状</v>
      </c>
      <c r="AA41" s="1563">
        <f t="shared" si="3"/>
        <v>1</v>
      </c>
      <c r="AB41" s="1563">
        <f t="shared" si="4"/>
        <v>1</v>
      </c>
      <c r="AC41" s="1563">
        <f t="shared" si="5"/>
        <v>1</v>
      </c>
    </row>
    <row r="42" spans="1:29" ht="21">
      <c r="A42" s="594"/>
      <c r="B42" s="527" t="s">
        <v>554</v>
      </c>
      <c r="C42" s="599" t="s">
        <v>3153</v>
      </c>
      <c r="D42" s="540">
        <v>100</v>
      </c>
      <c r="E42" s="599" t="s">
        <v>3153</v>
      </c>
      <c r="F42" s="540">
        <f>SUMIF(123:123,E42,124:124)-SUMIF(123:123,C42,124:124)+100</f>
        <v>100</v>
      </c>
      <c r="G42" s="599" t="s">
        <v>3153</v>
      </c>
      <c r="H42" s="540">
        <f>SUMIF(123:123,G42,124:124)-SUMIF(123:123,C42,124:124)+100</f>
        <v>100</v>
      </c>
      <c r="I42" s="599" t="s">
        <v>3153</v>
      </c>
      <c r="J42" s="540">
        <f>SUMIF(123:123,I42,124:124)-SUMIF(123:123,C42,124:124)+100</f>
        <v>100</v>
      </c>
      <c r="K42" s="584">
        <v>2</v>
      </c>
      <c r="L42" s="2126"/>
      <c r="M42" s="2116"/>
      <c r="N42" s="2116"/>
      <c r="O42" s="2125"/>
      <c r="P42" s="3385"/>
      <c r="Q42" s="1559" t="str">
        <f t="shared" si="14"/>
        <v>临街宽度及深度</v>
      </c>
      <c r="R42" s="1560" t="s">
        <v>8</v>
      </c>
      <c r="S42" s="1561">
        <f t="shared" si="10"/>
        <v>100</v>
      </c>
      <c r="T42" s="1560" t="s">
        <v>8</v>
      </c>
      <c r="U42" s="1561">
        <f t="shared" si="11"/>
        <v>100</v>
      </c>
      <c r="V42" s="1560" t="s">
        <v>8</v>
      </c>
      <c r="W42" s="1561">
        <f t="shared" si="12"/>
        <v>100</v>
      </c>
      <c r="X42" s="1554"/>
      <c r="Y42" s="3385"/>
      <c r="Z42" s="1562" t="str">
        <f t="shared" si="13"/>
        <v>临街宽度及深度</v>
      </c>
      <c r="AA42" s="1563">
        <f t="shared" si="3"/>
        <v>1</v>
      </c>
      <c r="AB42" s="1563">
        <f t="shared" si="4"/>
        <v>1</v>
      </c>
      <c r="AC42" s="1563">
        <f t="shared" si="5"/>
        <v>1</v>
      </c>
    </row>
    <row r="43" spans="1:29" s="1216" customFormat="1" ht="21">
      <c r="A43" s="600"/>
      <c r="B43" s="1879"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19"/>
      <c r="M43" s="2116"/>
      <c r="N43" s="2116"/>
      <c r="O43" s="2121"/>
      <c r="P43" s="3385"/>
      <c r="Q43" s="1559" t="str">
        <f t="shared" si="14"/>
        <v>宗地开发程度</v>
      </c>
      <c r="R43" s="1555" t="s">
        <v>8</v>
      </c>
      <c r="S43" s="1556">
        <f t="shared" si="10"/>
        <v>100</v>
      </c>
      <c r="T43" s="1555" t="s">
        <v>8</v>
      </c>
      <c r="U43" s="1556">
        <f t="shared" si="11"/>
        <v>100</v>
      </c>
      <c r="V43" s="1555" t="s">
        <v>8</v>
      </c>
      <c r="W43" s="1556">
        <f t="shared" si="12"/>
        <v>100</v>
      </c>
      <c r="X43" s="1557"/>
      <c r="Y43" s="3385"/>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6"/>
      <c r="M44" s="2116"/>
      <c r="N44" s="2116"/>
      <c r="O44" s="2125"/>
      <c r="P44" s="3385" t="s">
        <v>550</v>
      </c>
      <c r="Q44" s="1559" t="str">
        <f t="shared" si="14"/>
        <v>工程地质条件</v>
      </c>
      <c r="R44" s="1560" t="s">
        <v>8</v>
      </c>
      <c r="S44" s="1561">
        <f t="shared" si="10"/>
        <v>100</v>
      </c>
      <c r="T44" s="1560" t="s">
        <v>8</v>
      </c>
      <c r="U44" s="1561">
        <f t="shared" si="11"/>
        <v>100</v>
      </c>
      <c r="V44" s="1560" t="s">
        <v>8</v>
      </c>
      <c r="W44" s="1561">
        <f t="shared" si="12"/>
        <v>100</v>
      </c>
      <c r="X44" s="1554"/>
      <c r="Y44" s="3385"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85"/>
      <c r="Q45" s="1559">
        <f t="shared" si="14"/>
        <v>111</v>
      </c>
      <c r="R45" s="1560" t="s">
        <v>8</v>
      </c>
      <c r="S45" s="1561">
        <f t="shared" si="10"/>
        <v>100</v>
      </c>
      <c r="T45" s="1560" t="s">
        <v>8</v>
      </c>
      <c r="U45" s="1561">
        <f t="shared" si="11"/>
        <v>100</v>
      </c>
      <c r="V45" s="1560" t="s">
        <v>8</v>
      </c>
      <c r="W45" s="1561">
        <f t="shared" si="12"/>
        <v>100</v>
      </c>
      <c r="X45" s="1554"/>
      <c r="Y45" s="3385"/>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85"/>
      <c r="Q46" s="1559">
        <f t="shared" si="14"/>
        <v>111</v>
      </c>
      <c r="R46" s="1560" t="s">
        <v>8</v>
      </c>
      <c r="S46" s="1561">
        <f t="shared" si="10"/>
        <v>100</v>
      </c>
      <c r="T46" s="1560" t="s">
        <v>8</v>
      </c>
      <c r="U46" s="1561">
        <f t="shared" si="11"/>
        <v>100</v>
      </c>
      <c r="V46" s="1560" t="s">
        <v>8</v>
      </c>
      <c r="W46" s="1561">
        <f t="shared" si="12"/>
        <v>100</v>
      </c>
      <c r="X46" s="1554"/>
      <c r="Y46" s="3385"/>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85"/>
      <c r="Q47" s="1559">
        <f t="shared" si="14"/>
        <v>111</v>
      </c>
      <c r="R47" s="1564" t="s">
        <v>8</v>
      </c>
      <c r="S47" s="1565">
        <f t="shared" si="10"/>
        <v>100</v>
      </c>
      <c r="T47" s="1564" t="s">
        <v>8</v>
      </c>
      <c r="U47" s="1565">
        <f t="shared" si="11"/>
        <v>100</v>
      </c>
      <c r="V47" s="1564" t="s">
        <v>8</v>
      </c>
      <c r="W47" s="1565">
        <f t="shared" si="12"/>
        <v>100</v>
      </c>
      <c r="X47" s="1566"/>
      <c r="Y47" s="3385"/>
      <c r="Z47" s="1567">
        <f t="shared" si="13"/>
        <v>111</v>
      </c>
      <c r="AA47" s="1563">
        <f t="shared" si="3"/>
        <v>1</v>
      </c>
      <c r="AB47" s="1563">
        <f t="shared" si="4"/>
        <v>1</v>
      </c>
      <c r="AC47" s="1563">
        <f t="shared" si="5"/>
        <v>1</v>
      </c>
    </row>
    <row r="48" spans="1:29" ht="21">
      <c r="A48" s="607" t="s">
        <v>556</v>
      </c>
      <c r="B48" s="608" t="s">
        <v>3158</v>
      </c>
      <c r="C48" s="609" t="s">
        <v>1</v>
      </c>
      <c r="D48" s="610"/>
      <c r="E48" s="611">
        <f>土地案例!K5</f>
        <v>2174.96</v>
      </c>
      <c r="F48" s="612"/>
      <c r="G48" s="613">
        <f>土地案例!K21</f>
        <v>1950.03</v>
      </c>
      <c r="H48" s="614"/>
      <c r="I48" s="611">
        <f>土地案例!K26</f>
        <v>2422.61</v>
      </c>
      <c r="J48" s="614"/>
      <c r="K48" s="1336"/>
      <c r="L48" s="2128"/>
      <c r="M48" s="2116"/>
      <c r="N48" s="2116"/>
      <c r="O48" s="2129"/>
      <c r="P48" s="3380" t="str">
        <f>A48</f>
        <v>成交单价</v>
      </c>
      <c r="Q48" s="3380"/>
      <c r="R48" s="3394">
        <f>E48</f>
        <v>2174.96</v>
      </c>
      <c r="S48" s="3394"/>
      <c r="T48" s="3394">
        <f>G48</f>
        <v>1950.03</v>
      </c>
      <c r="U48" s="3394"/>
      <c r="V48" s="3394">
        <f>I48</f>
        <v>2422.61</v>
      </c>
      <c r="W48" s="3394"/>
      <c r="X48" s="1546"/>
      <c r="Y48" s="1568"/>
      <c r="Z48" s="1546"/>
      <c r="AA48" s="1546"/>
      <c r="AB48" s="1546"/>
      <c r="AC48" s="1546"/>
    </row>
    <row r="49" spans="1:29" ht="21.6" thickBot="1">
      <c r="A49" s="615" t="s">
        <v>2689</v>
      </c>
      <c r="B49" s="616"/>
      <c r="C49" s="617">
        <f>R50</f>
        <v>2293</v>
      </c>
      <c r="D49" s="618"/>
      <c r="E49" s="617">
        <f>R49</f>
        <v>2276</v>
      </c>
      <c r="F49" s="619"/>
      <c r="G49" s="620">
        <f>T49</f>
        <v>2041</v>
      </c>
      <c r="H49" s="618"/>
      <c r="I49" s="617">
        <f>V49</f>
        <v>2562</v>
      </c>
      <c r="J49" s="618"/>
      <c r="K49" s="1337"/>
      <c r="L49" s="2128"/>
      <c r="M49" s="2116"/>
      <c r="N49" s="2116"/>
      <c r="O49" s="2129"/>
      <c r="P49" s="3380" t="str">
        <f>A49</f>
        <v>比较价格（元/平方米）</v>
      </c>
      <c r="Q49" s="3380"/>
      <c r="R49" s="3404">
        <f>ROUND(PRODUCT(R48,AA9:AA47),0)</f>
        <v>2276</v>
      </c>
      <c r="S49" s="3404"/>
      <c r="T49" s="3404">
        <f>ROUND(PRODUCT(T48,AB9:AB47),0)</f>
        <v>2041</v>
      </c>
      <c r="U49" s="3404"/>
      <c r="V49" s="3404">
        <f>ROUND(PRODUCT(V48,AC9:AC47),0)</f>
        <v>2562</v>
      </c>
      <c r="W49" s="3404"/>
      <c r="X49" s="1546"/>
      <c r="Y49" s="1546"/>
      <c r="Z49" s="1546"/>
      <c r="AA49" s="1546"/>
      <c r="AB49" s="1546"/>
      <c r="AC49" s="1546"/>
    </row>
    <row r="50" spans="1:29" ht="21.6" thickBot="1">
      <c r="A50" s="621" t="s">
        <v>2928</v>
      </c>
      <c r="B50" s="622"/>
      <c r="C50" s="623">
        <f>R50</f>
        <v>2293</v>
      </c>
      <c r="D50" s="623"/>
      <c r="E50" s="623"/>
      <c r="F50" s="623"/>
      <c r="G50" s="623"/>
      <c r="H50" s="623"/>
      <c r="I50" s="623"/>
      <c r="J50" s="623"/>
      <c r="K50" s="1338"/>
      <c r="L50" s="2128"/>
      <c r="M50" s="2116"/>
      <c r="N50" s="2116"/>
      <c r="O50" s="2129"/>
      <c r="P50" s="3401" t="str">
        <f>A50</f>
        <v>估价对象XX用房的比较价格（楼面单价，元/平方米）</v>
      </c>
      <c r="Q50" s="3402"/>
      <c r="R50" s="3403">
        <f>ROUND(AVERAGE(R49:V49),0)</f>
        <v>2293</v>
      </c>
      <c r="S50" s="3403"/>
      <c r="T50" s="3403"/>
      <c r="U50" s="3403"/>
      <c r="V50" s="3403"/>
      <c r="W50" s="3403"/>
      <c r="X50" s="1546"/>
      <c r="Y50" s="1546"/>
      <c r="Z50" s="1546"/>
      <c r="AA50" s="1546"/>
      <c r="AB50" s="1546"/>
      <c r="AC50" s="1546"/>
    </row>
    <row r="51" spans="1:29" ht="21">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4.6456026777504045E-2</v>
      </c>
      <c r="F53" s="627" t="str">
        <f>IF(OR(E53&gt;=0.3,E53&lt;=-0.3),"超过30%","")</f>
        <v/>
      </c>
      <c r="G53" s="626">
        <f>IF(G48&lt;G49,G49/G48-1,G48/G49-1)</f>
        <v>4.6650564350292134E-2</v>
      </c>
      <c r="H53" s="627" t="str">
        <f>IF(OR(G53&gt;=0.3,G53&lt;=-0.3),"超过30%","")</f>
        <v/>
      </c>
      <c r="I53" s="626">
        <f>IF(I48&lt;I49,I49/I48-1,I48/I49-1)</f>
        <v>5.7537119057545327E-2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0.115139637432631</v>
      </c>
      <c r="F54" s="627" t="str">
        <f>IF(OR(E54&gt;=0.2,E54&lt;=-0.2),"超过20%","")</f>
        <v/>
      </c>
      <c r="G54" s="626">
        <f>IF(G49&lt;I49,I49/G49-1,G49/I49-1)</f>
        <v>0.25526702596766282</v>
      </c>
      <c r="H54" s="627" t="str">
        <f>IF(OR(G54&gt;=0.2,G54&lt;=-0.2),"超过20%","")</f>
        <v>超过20%</v>
      </c>
      <c r="I54" s="626">
        <f>IF(I49&lt;E49,E49/I49-1,I49/E49-1)</f>
        <v>0.12565905096660801</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0.11534694338035822</v>
      </c>
      <c r="F55" s="627" t="str">
        <f>IF(OR(E55&gt;=0.3,E55&lt;=-0.3),"超过30%","")</f>
        <v/>
      </c>
      <c r="G55" s="626">
        <f>IF(G48&lt;I48,I48/G48-1,G48/I48-1)</f>
        <v>0.24234498956426309</v>
      </c>
      <c r="H55" s="627" t="str">
        <f>IF(OR(G55&gt;=0.3,G55&lt;=-0.3),"超过30%","")</f>
        <v/>
      </c>
      <c r="I55" s="626">
        <f>IF(I48&lt;E48,E48/I48-1,I48/E48-1)</f>
        <v>0.11386416301908997</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6"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1723</v>
      </c>
      <c r="D57" s="2211" t="s">
        <v>2290</v>
      </c>
      <c r="E57" s="631" t="s">
        <v>562</v>
      </c>
      <c r="F57" s="632" t="s">
        <v>563</v>
      </c>
      <c r="G57" s="3364" t="s">
        <v>2278</v>
      </c>
      <c r="H57" s="3365"/>
      <c r="I57" s="1542" t="s">
        <v>1721</v>
      </c>
      <c r="J57" s="1542">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3.2">
      <c r="A58" s="633" t="s">
        <v>564</v>
      </c>
      <c r="B58" s="634">
        <f>C50</f>
        <v>2293</v>
      </c>
      <c r="C58" s="635">
        <v>1</v>
      </c>
      <c r="D58" s="2212">
        <v>1</v>
      </c>
      <c r="E58" s="635">
        <f>'数据-汇总表'!E8+'数据-汇总表'!E9</f>
        <v>61277.75</v>
      </c>
      <c r="F58" s="636">
        <f t="shared" ref="F58:F67" si="15">ROUND(B58*E58/10000,0)</f>
        <v>14051</v>
      </c>
      <c r="G58" s="3366"/>
      <c r="H58" s="3367"/>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565</v>
      </c>
      <c r="B59" s="638">
        <f>ROUND($C$50*C59*D59,0)</f>
        <v>0</v>
      </c>
      <c r="C59" s="378">
        <f t="shared" ref="C59:C67" si="16">IF($C$57="北京市系数",I59,J59)</f>
        <v>0</v>
      </c>
      <c r="D59" s="2213">
        <v>0.25</v>
      </c>
      <c r="E59" s="639">
        <v>0</v>
      </c>
      <c r="F59" s="636">
        <f t="shared" si="15"/>
        <v>0</v>
      </c>
      <c r="G59" s="3368"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566</v>
      </c>
      <c r="B60" s="638">
        <f t="shared" ref="B60:B67" si="17">ROUND($C$50*C60*D60,0)</f>
        <v>0</v>
      </c>
      <c r="C60" s="378">
        <f t="shared" si="16"/>
        <v>0</v>
      </c>
      <c r="D60" s="2213">
        <v>0.25</v>
      </c>
      <c r="E60" s="639">
        <v>0</v>
      </c>
      <c r="F60" s="636">
        <f t="shared" si="15"/>
        <v>0</v>
      </c>
      <c r="G60" s="3368"/>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567</v>
      </c>
      <c r="B61" s="638">
        <f t="shared" si="17"/>
        <v>0</v>
      </c>
      <c r="C61" s="378">
        <f t="shared" si="16"/>
        <v>0</v>
      </c>
      <c r="D61" s="2213">
        <v>0.25</v>
      </c>
      <c r="E61" s="639">
        <v>0</v>
      </c>
      <c r="F61" s="636">
        <f t="shared" si="15"/>
        <v>0</v>
      </c>
      <c r="G61" s="3368"/>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2">
      <c r="A62" s="637" t="s">
        <v>568</v>
      </c>
      <c r="B62" s="638">
        <f t="shared" si="17"/>
        <v>0</v>
      </c>
      <c r="C62" s="378">
        <f t="shared" si="16"/>
        <v>0</v>
      </c>
      <c r="D62" s="2213">
        <v>0.25</v>
      </c>
      <c r="E62" s="639">
        <v>0</v>
      </c>
      <c r="F62" s="636">
        <f t="shared" si="15"/>
        <v>0</v>
      </c>
      <c r="G62" s="3368"/>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2">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3.2">
      <c r="A64" s="637" t="s">
        <v>569</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3.2">
      <c r="A65" s="637" t="s">
        <v>570</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3.2">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thickBot="1">
      <c r="A68" s="642" t="s">
        <v>573</v>
      </c>
      <c r="B68" s="643" t="s">
        <v>17</v>
      </c>
      <c r="C68" s="643" t="s">
        <v>18</v>
      </c>
      <c r="D68" s="643" t="s">
        <v>2291</v>
      </c>
      <c r="E68" s="643">
        <f>IF(B48="楼面地价",SUM(E58:E67),'数据-汇总表'!D3)</f>
        <v>61277.75</v>
      </c>
      <c r="F68" s="644">
        <f>IF(B48="楼面地价",SUM(F58:F67),ROUND(C50*E68/10000,0))</f>
        <v>14051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2020-3-1</v>
      </c>
      <c r="D70" s="2753">
        <f>EDATE(C70,-3)</f>
        <v>43800</v>
      </c>
      <c r="E70" s="2753">
        <f t="shared" ref="E70:N70" si="18">EDATE(D70,-3)</f>
        <v>43709</v>
      </c>
      <c r="F70" s="2753">
        <f t="shared" si="18"/>
        <v>43617</v>
      </c>
      <c r="G70" s="2753">
        <f t="shared" si="18"/>
        <v>43525</v>
      </c>
      <c r="H70" s="2753">
        <f t="shared" si="18"/>
        <v>43435</v>
      </c>
      <c r="I70" s="2753">
        <f t="shared" si="18"/>
        <v>43344</v>
      </c>
      <c r="J70" s="2753">
        <f t="shared" si="18"/>
        <v>43252</v>
      </c>
      <c r="K70" s="2753">
        <f t="shared" si="18"/>
        <v>43160</v>
      </c>
      <c r="L70" s="2753">
        <f t="shared" si="18"/>
        <v>43070</v>
      </c>
      <c r="M70" s="2753">
        <f t="shared" si="18"/>
        <v>42979</v>
      </c>
      <c r="N70" s="2753">
        <f t="shared" si="18"/>
        <v>42887</v>
      </c>
      <c r="O70" s="2129"/>
      <c r="P70" s="2129"/>
      <c r="Q70" s="2129"/>
      <c r="R70" s="2129"/>
      <c r="S70" s="2129"/>
      <c r="T70" s="2129"/>
      <c r="U70" s="2129"/>
      <c r="V70" s="2129"/>
      <c r="W70" s="2129"/>
      <c r="X70" s="2129"/>
      <c r="Y70" s="2129"/>
      <c r="Z70" s="2129"/>
      <c r="AA70" s="2129"/>
      <c r="AB70" s="2129"/>
      <c r="AC70" s="2129"/>
    </row>
    <row r="71" spans="1:29" ht="22.2"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4.4">
      <c r="A72" s="2531" t="s">
        <v>2529</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2643</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c r="L73" s="730"/>
      <c r="M73" s="2747"/>
      <c r="N73" s="2748"/>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2642</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93" t="s">
        <v>3150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0"/>
      <c r="O83" s="2150"/>
      <c r="P83" s="2149"/>
      <c r="Q83" s="2142"/>
      <c r="R83" s="2129"/>
      <c r="S83" s="2129"/>
      <c r="T83" s="2129"/>
      <c r="U83" s="2129"/>
      <c r="V83" s="2129"/>
      <c r="W83" s="2129"/>
      <c r="X83" s="2129"/>
      <c r="Y83" s="2129"/>
      <c r="Z83" s="2129"/>
      <c r="AA83" s="2129"/>
      <c r="AB83" s="2129"/>
      <c r="AC83" s="2129"/>
    </row>
    <row r="84" spans="1:29" s="1335" customFormat="1" ht="1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102</v>
      </c>
      <c r="E120" s="726">
        <v>104</v>
      </c>
      <c r="F120" s="726">
        <v>106</v>
      </c>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4" t="s">
        <v>3152</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5" t="s">
        <v>3154</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6.2" thickTop="1">
      <c r="A125" s="728"/>
      <c r="B125" s="1880" t="s">
        <v>2422</v>
      </c>
      <c r="C125" s="3196" t="s">
        <v>3155</v>
      </c>
      <c r="D125" s="1372"/>
      <c r="E125" s="1372"/>
      <c r="F125" s="1372"/>
      <c r="G125" s="1372"/>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5" t="s">
        <v>3156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4.4">
      <c r="A6" s="512" t="s">
        <v>521</v>
      </c>
      <c r="B6" s="513"/>
      <c r="C6" s="3386" t="s">
        <v>522</v>
      </c>
      <c r="D6" s="3387"/>
      <c r="E6" s="3410" t="s">
        <v>523</v>
      </c>
      <c r="F6" s="3411"/>
      <c r="G6" s="3386" t="s">
        <v>524</v>
      </c>
      <c r="H6" s="3387"/>
      <c r="I6" s="3386" t="s">
        <v>525</v>
      </c>
      <c r="J6" s="3387"/>
      <c r="K6" s="514" t="s">
        <v>526</v>
      </c>
      <c r="L6" s="2117"/>
      <c r="M6" s="2118"/>
      <c r="N6" s="2118"/>
      <c r="O6" s="2118"/>
      <c r="P6" s="3388" t="s">
        <v>527</v>
      </c>
      <c r="Q6" s="3389"/>
      <c r="R6" s="3374" t="s">
        <v>523</v>
      </c>
      <c r="S6" s="3375"/>
      <c r="T6" s="3374" t="s">
        <v>524</v>
      </c>
      <c r="U6" s="3375"/>
      <c r="V6" s="3394" t="s">
        <v>525</v>
      </c>
      <c r="W6" s="3394"/>
      <c r="X6" s="1554"/>
      <c r="Y6" s="3374" t="s">
        <v>527</v>
      </c>
      <c r="Z6" s="3375"/>
      <c r="AA6" s="3369" t="s">
        <v>523</v>
      </c>
      <c r="AB6" s="3370" t="s">
        <v>524</v>
      </c>
      <c r="AC6" s="3369" t="s">
        <v>525</v>
      </c>
    </row>
    <row r="7" spans="1:29">
      <c r="A7" s="515"/>
      <c r="B7" s="516"/>
      <c r="C7" s="3397" t="s">
        <v>2922</v>
      </c>
      <c r="D7" s="3398"/>
      <c r="E7" s="3412" t="s">
        <v>2923</v>
      </c>
      <c r="F7" s="3413"/>
      <c r="G7" s="3397" t="s">
        <v>2924</v>
      </c>
      <c r="H7" s="3398"/>
      <c r="I7" s="3397" t="s">
        <v>2925</v>
      </c>
      <c r="J7" s="3398"/>
      <c r="K7" s="514"/>
      <c r="L7" s="2117"/>
      <c r="M7" s="2118"/>
      <c r="N7" s="2118"/>
      <c r="O7" s="2118"/>
      <c r="P7" s="3390"/>
      <c r="Q7" s="3391"/>
      <c r="R7" s="3376"/>
      <c r="S7" s="3377"/>
      <c r="T7" s="3376"/>
      <c r="U7" s="3377"/>
      <c r="V7" s="3394"/>
      <c r="W7" s="3394"/>
      <c r="X7" s="1554"/>
      <c r="Y7" s="3376"/>
      <c r="Z7" s="3377"/>
      <c r="AA7" s="3370"/>
      <c r="AB7" s="3370"/>
      <c r="AC7" s="3370"/>
    </row>
    <row r="8" spans="1:29" ht="15" thickBot="1">
      <c r="A8" s="517"/>
      <c r="B8" s="518"/>
      <c r="C8" s="3395" t="s">
        <v>2926</v>
      </c>
      <c r="D8" s="3396"/>
      <c r="E8" s="3414" t="s">
        <v>2926</v>
      </c>
      <c r="F8" s="3415"/>
      <c r="G8" s="3395" t="s">
        <v>2926</v>
      </c>
      <c r="H8" s="3396"/>
      <c r="I8" s="3395" t="s">
        <v>2926</v>
      </c>
      <c r="J8" s="3396"/>
      <c r="K8" s="514" t="s">
        <v>528</v>
      </c>
      <c r="L8" s="2117"/>
      <c r="M8" s="2118"/>
      <c r="N8" s="2118"/>
      <c r="O8" s="2118"/>
      <c r="P8" s="3392"/>
      <c r="Q8" s="3393"/>
      <c r="R8" s="3376"/>
      <c r="S8" s="3377"/>
      <c r="T8" s="3378"/>
      <c r="U8" s="3379"/>
      <c r="V8" s="3394"/>
      <c r="W8" s="3394"/>
      <c r="X8" s="1554"/>
      <c r="Y8" s="3378"/>
      <c r="Z8" s="3379"/>
      <c r="AA8" s="3371"/>
      <c r="AB8" s="3371"/>
      <c r="AC8" s="3371"/>
    </row>
    <row r="9" spans="1:29" s="1216" customFormat="1" ht="15" thickBot="1">
      <c r="A9" s="2866"/>
      <c r="B9" s="2873" t="s">
        <v>529</v>
      </c>
      <c r="C9" s="519">
        <f>'数据-取费表'!B2</f>
        <v>43905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72" t="s">
        <v>530</v>
      </c>
      <c r="Q9" s="3381"/>
      <c r="R9" s="1555" t="s">
        <v>8</v>
      </c>
      <c r="S9" s="1556">
        <f t="shared" ref="S9:S17" si="0">F9</f>
        <v>0</v>
      </c>
      <c r="T9" s="1555" t="s">
        <v>8</v>
      </c>
      <c r="U9" s="1556">
        <f t="shared" ref="U9:U17" si="1">H9</f>
        <v>0</v>
      </c>
      <c r="V9" s="1555" t="s">
        <v>8</v>
      </c>
      <c r="W9" s="1556">
        <f t="shared" ref="W9:W17" si="2">J9</f>
        <v>0</v>
      </c>
      <c r="X9" s="1557"/>
      <c r="Y9" s="3372" t="s">
        <v>530</v>
      </c>
      <c r="Z9" s="3373"/>
      <c r="AA9" s="1558" t="e">
        <f>D9/F9</f>
        <v>#DIV/0!</v>
      </c>
      <c r="AB9" s="1558" t="e">
        <f>D9/H9</f>
        <v>#DIV/0!</v>
      </c>
      <c r="AC9" s="1558" t="e">
        <f>D9/J9</f>
        <v>#DIV/0!</v>
      </c>
    </row>
    <row r="10" spans="1:29" s="1216"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72" t="s">
        <v>533</v>
      </c>
      <c r="Q10" s="3373"/>
      <c r="R10" s="1555" t="s">
        <v>8</v>
      </c>
      <c r="S10" s="1556">
        <f t="shared" si="0"/>
        <v>0</v>
      </c>
      <c r="T10" s="1555" t="s">
        <v>8</v>
      </c>
      <c r="U10" s="1556">
        <f t="shared" si="1"/>
        <v>0</v>
      </c>
      <c r="V10" s="1555" t="s">
        <v>8</v>
      </c>
      <c r="W10" s="1556">
        <f t="shared" si="2"/>
        <v>0</v>
      </c>
      <c r="X10" s="1557"/>
      <c r="Y10" s="3372" t="s">
        <v>533</v>
      </c>
      <c r="Z10" s="3373"/>
      <c r="AA10" s="1558" t="e">
        <f t="shared" ref="AA10:AA42" si="3">D10/F10</f>
        <v>#DIV/0!</v>
      </c>
      <c r="AB10" s="1558" t="e">
        <f t="shared" ref="AB10:AB42" si="4">D10/H10</f>
        <v>#DIV/0!</v>
      </c>
      <c r="AC10" s="1558" t="e">
        <f t="shared" ref="AC10:AC42" si="5">D10/J10</f>
        <v>#DIV/0!</v>
      </c>
    </row>
    <row r="11" spans="1:29" s="1216" customFormat="1" ht="14.4">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0" t="s">
        <v>535</v>
      </c>
      <c r="Q11" s="1147" t="str">
        <f t="shared" ref="Q11:Q17" si="6">B11</f>
        <v>用途</v>
      </c>
      <c r="R11" s="1555" t="s">
        <v>8</v>
      </c>
      <c r="S11" s="1556">
        <f t="shared" si="0"/>
        <v>100</v>
      </c>
      <c r="T11" s="1555" t="s">
        <v>8</v>
      </c>
      <c r="U11" s="1556">
        <f t="shared" si="1"/>
        <v>100</v>
      </c>
      <c r="V11" s="1555" t="s">
        <v>8</v>
      </c>
      <c r="W11" s="1556">
        <f t="shared" si="2"/>
        <v>100</v>
      </c>
      <c r="X11" s="1557"/>
      <c r="Y11" s="3337" t="s">
        <v>536</v>
      </c>
      <c r="Z11" s="1146" t="str">
        <f t="shared" ref="Z11:Z17" si="7">Q11</f>
        <v>用途</v>
      </c>
      <c r="AA11" s="1558">
        <f t="shared" si="3"/>
        <v>1</v>
      </c>
      <c r="AB11" s="1558">
        <f t="shared" si="4"/>
        <v>1</v>
      </c>
      <c r="AC11" s="1558">
        <f t="shared" si="5"/>
        <v>1</v>
      </c>
    </row>
    <row r="12" spans="1:29" s="1334" customFormat="1" ht="28.8">
      <c r="A12" s="2869"/>
      <c r="B12" s="2874" t="s">
        <v>2753</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80"/>
      <c r="Q12" s="1147" t="str">
        <f t="shared" si="6"/>
        <v>土地使用年限（年）</v>
      </c>
      <c r="R12" s="1555" t="s">
        <v>8</v>
      </c>
      <c r="S12" s="1556">
        <f t="shared" si="0"/>
        <v>100</v>
      </c>
      <c r="T12" s="1555" t="s">
        <v>8</v>
      </c>
      <c r="U12" s="1556">
        <f t="shared" si="1"/>
        <v>100</v>
      </c>
      <c r="V12" s="1555" t="s">
        <v>8</v>
      </c>
      <c r="W12" s="1556">
        <f t="shared" si="2"/>
        <v>100</v>
      </c>
      <c r="X12" s="1557"/>
      <c r="Y12" s="3337"/>
      <c r="Z12" s="1146" t="str">
        <f t="shared" si="7"/>
        <v>土地使用年限（年）</v>
      </c>
      <c r="AA12" s="1558">
        <f t="shared" si="3"/>
        <v>1</v>
      </c>
      <c r="AB12" s="1558">
        <f t="shared" si="4"/>
        <v>1</v>
      </c>
      <c r="AC12" s="1558">
        <f t="shared" si="5"/>
        <v>1</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0"/>
      <c r="Q13" s="1147" t="str">
        <f t="shared" si="6"/>
        <v>容积率</v>
      </c>
      <c r="R13" s="1555" t="s">
        <v>8</v>
      </c>
      <c r="S13" s="1556" t="e">
        <f t="shared" si="0"/>
        <v>#N/A</v>
      </c>
      <c r="T13" s="1555" t="s">
        <v>8</v>
      </c>
      <c r="U13" s="1556" t="e">
        <f t="shared" si="1"/>
        <v>#N/A</v>
      </c>
      <c r="V13" s="1555" t="s">
        <v>8</v>
      </c>
      <c r="W13" s="1556" t="e">
        <f t="shared" si="2"/>
        <v>#N/A</v>
      </c>
      <c r="X13" s="1557"/>
      <c r="Y13" s="3337"/>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0"/>
      <c r="Q15" s="1147">
        <f t="shared" si="6"/>
        <v>111</v>
      </c>
      <c r="R15" s="1555" t="s">
        <v>8</v>
      </c>
      <c r="S15" s="1556">
        <f t="shared" si="0"/>
        <v>100</v>
      </c>
      <c r="T15" s="1555" t="s">
        <v>8</v>
      </c>
      <c r="U15" s="1556">
        <f t="shared" si="1"/>
        <v>100</v>
      </c>
      <c r="V15" s="1555" t="s">
        <v>8</v>
      </c>
      <c r="W15" s="1556">
        <f t="shared" si="2"/>
        <v>100</v>
      </c>
      <c r="X15" s="1557"/>
      <c r="Y15" s="3337"/>
      <c r="Z15" s="1146">
        <f t="shared" si="7"/>
        <v>111</v>
      </c>
      <c r="AA15" s="1558">
        <f t="shared" si="3"/>
        <v>1</v>
      </c>
      <c r="AB15" s="1558">
        <f t="shared" si="4"/>
        <v>1</v>
      </c>
      <c r="AC15" s="1558">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0"/>
      <c r="Q16" s="1147">
        <f t="shared" si="6"/>
        <v>111</v>
      </c>
      <c r="R16" s="1555" t="s">
        <v>8</v>
      </c>
      <c r="S16" s="1556">
        <f t="shared" si="0"/>
        <v>100</v>
      </c>
      <c r="T16" s="1555" t="s">
        <v>8</v>
      </c>
      <c r="U16" s="1556">
        <f t="shared" si="1"/>
        <v>100</v>
      </c>
      <c r="V16" s="1555" t="s">
        <v>8</v>
      </c>
      <c r="W16" s="1556">
        <f t="shared" si="2"/>
        <v>100</v>
      </c>
      <c r="X16" s="1557"/>
      <c r="Y16" s="3337"/>
      <c r="Z16" s="1146">
        <f t="shared" si="7"/>
        <v>111</v>
      </c>
      <c r="AA16" s="1558">
        <f t="shared" si="3"/>
        <v>1</v>
      </c>
      <c r="AB16" s="1558">
        <f t="shared" si="4"/>
        <v>1</v>
      </c>
      <c r="AC16" s="1558">
        <f t="shared" si="5"/>
        <v>1</v>
      </c>
    </row>
    <row r="17" spans="1:29" ht="69">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82" t="s">
        <v>540</v>
      </c>
      <c r="Q17" s="1559" t="str">
        <f t="shared" si="6"/>
        <v>产业集聚程度</v>
      </c>
      <c r="R17" s="1560" t="s">
        <v>8</v>
      </c>
      <c r="S17" s="1561">
        <f t="shared" si="0"/>
        <v>100</v>
      </c>
      <c r="T17" s="1560" t="s">
        <v>8</v>
      </c>
      <c r="U17" s="1561">
        <f t="shared" si="1"/>
        <v>100</v>
      </c>
      <c r="V17" s="1560" t="s">
        <v>8</v>
      </c>
      <c r="W17" s="1561">
        <f t="shared" si="2"/>
        <v>100</v>
      </c>
      <c r="X17" s="1554"/>
      <c r="Y17" s="338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383"/>
      <c r="Q18" s="1559"/>
      <c r="R18" s="1560"/>
      <c r="S18" s="1561"/>
      <c r="T18" s="1560"/>
      <c r="U18" s="1561"/>
      <c r="V18" s="1560"/>
      <c r="W18" s="1561"/>
      <c r="X18" s="1554"/>
      <c r="Y18" s="3383"/>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83"/>
      <c r="Q19" s="1559" t="str">
        <f>B19</f>
        <v>交通便捷度</v>
      </c>
      <c r="R19" s="1560" t="s">
        <v>8</v>
      </c>
      <c r="S19" s="1561">
        <f>F19</f>
        <v>100</v>
      </c>
      <c r="T19" s="1560" t="s">
        <v>8</v>
      </c>
      <c r="U19" s="1561">
        <f>H19</f>
        <v>100</v>
      </c>
      <c r="V19" s="1560" t="s">
        <v>8</v>
      </c>
      <c r="W19" s="1561">
        <f>J19</f>
        <v>100</v>
      </c>
      <c r="X19" s="1554"/>
      <c r="Y19" s="338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383"/>
      <c r="Q20" s="1559"/>
      <c r="R20" s="1560"/>
      <c r="S20" s="1561"/>
      <c r="T20" s="1560"/>
      <c r="U20" s="1561"/>
      <c r="V20" s="1560"/>
      <c r="W20" s="1561"/>
      <c r="X20" s="1554"/>
      <c r="Y20" s="3383"/>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383"/>
      <c r="Q21" s="1559" t="str">
        <f t="shared" ref="Q21:Q35" si="8">B21</f>
        <v>区域土地利用方向</v>
      </c>
      <c r="R21" s="1560" t="s">
        <v>8</v>
      </c>
      <c r="S21" s="1561">
        <f>F21</f>
        <v>100</v>
      </c>
      <c r="T21" s="1560" t="s">
        <v>8</v>
      </c>
      <c r="U21" s="1561">
        <f>H21</f>
        <v>100</v>
      </c>
      <c r="V21" s="1560" t="s">
        <v>8</v>
      </c>
      <c r="W21" s="1561">
        <f>J21</f>
        <v>100</v>
      </c>
      <c r="X21" s="1554"/>
      <c r="Y21" s="338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383"/>
      <c r="Q22" s="1559"/>
      <c r="R22" s="1560"/>
      <c r="S22" s="1561"/>
      <c r="T22" s="1560"/>
      <c r="U22" s="1561"/>
      <c r="V22" s="1560"/>
      <c r="W22" s="1561"/>
      <c r="X22" s="1554"/>
      <c r="Y22" s="3383"/>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83"/>
      <c r="Q23" s="1559" t="str">
        <f t="shared" si="8"/>
        <v>环境状况</v>
      </c>
      <c r="R23" s="1560" t="s">
        <v>8</v>
      </c>
      <c r="S23" s="1561">
        <f>F23</f>
        <v>100</v>
      </c>
      <c r="T23" s="1560" t="s">
        <v>8</v>
      </c>
      <c r="U23" s="1561">
        <f>H23</f>
        <v>100</v>
      </c>
      <c r="V23" s="1560" t="s">
        <v>8</v>
      </c>
      <c r="W23" s="1561">
        <f>J23</f>
        <v>100</v>
      </c>
      <c r="X23" s="1554"/>
      <c r="Y23" s="338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383"/>
      <c r="Q24" s="1559"/>
      <c r="R24" s="1560"/>
      <c r="S24" s="1561"/>
      <c r="T24" s="1560"/>
      <c r="U24" s="1561"/>
      <c r="V24" s="1560"/>
      <c r="W24" s="1561"/>
      <c r="X24" s="1554"/>
      <c r="Y24" s="3383"/>
      <c r="Z24" s="1562"/>
      <c r="AA24" s="1563">
        <v>1</v>
      </c>
      <c r="AB24" s="1563">
        <v>1</v>
      </c>
      <c r="AC24" s="1563">
        <v>1</v>
      </c>
    </row>
    <row r="25" spans="1:29" s="1216" customFormat="1" ht="41.4">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83"/>
      <c r="Q25" s="1147" t="str">
        <f t="shared" si="8"/>
        <v>公共配套设施</v>
      </c>
      <c r="R25" s="1555" t="s">
        <v>8</v>
      </c>
      <c r="S25" s="1556">
        <f>F25</f>
        <v>100</v>
      </c>
      <c r="T25" s="1555" t="s">
        <v>8</v>
      </c>
      <c r="U25" s="1556">
        <f>H25</f>
        <v>100</v>
      </c>
      <c r="V25" s="1555" t="s">
        <v>8</v>
      </c>
      <c r="W25" s="1556">
        <f>J25</f>
        <v>100</v>
      </c>
      <c r="X25" s="1557"/>
      <c r="Y25" s="3383"/>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383"/>
      <c r="Q26" s="1147"/>
      <c r="R26" s="1555"/>
      <c r="S26" s="1556"/>
      <c r="T26" s="1555"/>
      <c r="U26" s="1556"/>
      <c r="V26" s="1555"/>
      <c r="W26" s="1556"/>
      <c r="X26" s="1557"/>
      <c r="Y26" s="3383"/>
      <c r="Z26" s="1146"/>
      <c r="AA26" s="1558">
        <v>1</v>
      </c>
      <c r="AB26" s="1558">
        <v>1</v>
      </c>
      <c r="AC26" s="1558">
        <v>1</v>
      </c>
    </row>
    <row r="27" spans="1:29" s="1216" customFormat="1" ht="41.4">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83"/>
      <c r="Q27" s="2541" t="str">
        <f t="shared" ref="Q27" si="9">B27</f>
        <v>基础设施水平</v>
      </c>
      <c r="R27" s="1555" t="s">
        <v>8</v>
      </c>
      <c r="S27" s="1556">
        <f>F27</f>
        <v>100</v>
      </c>
      <c r="T27" s="1555" t="s">
        <v>8</v>
      </c>
      <c r="U27" s="1556">
        <f>H27</f>
        <v>100</v>
      </c>
      <c r="V27" s="1555" t="s">
        <v>8</v>
      </c>
      <c r="W27" s="1556">
        <f>J27</f>
        <v>100</v>
      </c>
      <c r="X27" s="1557"/>
      <c r="Y27" s="3383"/>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383"/>
      <c r="Q28" s="2541"/>
      <c r="R28" s="1555"/>
      <c r="S28" s="1556"/>
      <c r="T28" s="1555"/>
      <c r="U28" s="1556"/>
      <c r="V28" s="1555"/>
      <c r="W28" s="1556"/>
      <c r="X28" s="1557"/>
      <c r="Y28" s="3383"/>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8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3"/>
      <c r="Z29" s="1562" t="str">
        <f t="shared" ref="Z29:Z42" si="13">Q29</f>
        <v>临街状况</v>
      </c>
      <c r="AA29" s="1563">
        <f t="shared" si="3"/>
        <v>1</v>
      </c>
      <c r="AB29" s="1563">
        <f t="shared" si="4"/>
        <v>1</v>
      </c>
      <c r="AC29" s="1563">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83"/>
      <c r="Q30" s="1559" t="str">
        <f t="shared" si="8"/>
        <v>毗邻道路的类型与等级</v>
      </c>
      <c r="R30" s="1560" t="s">
        <v>8</v>
      </c>
      <c r="S30" s="1561">
        <f t="shared" si="10"/>
        <v>100</v>
      </c>
      <c r="T30" s="1560" t="s">
        <v>8</v>
      </c>
      <c r="U30" s="1561">
        <f t="shared" si="11"/>
        <v>100</v>
      </c>
      <c r="V30" s="1560" t="s">
        <v>8</v>
      </c>
      <c r="W30" s="1561">
        <f t="shared" si="12"/>
        <v>100</v>
      </c>
      <c r="X30" s="1554"/>
      <c r="Y30" s="338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383"/>
      <c r="Q31" s="1559"/>
      <c r="R31" s="1560"/>
      <c r="S31" s="1561"/>
      <c r="T31" s="1560"/>
      <c r="U31" s="1561"/>
      <c r="V31" s="1560"/>
      <c r="W31" s="1561"/>
      <c r="X31" s="1554"/>
      <c r="Y31" s="3383"/>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83"/>
      <c r="Q32" s="1559" t="str">
        <f t="shared" si="8"/>
        <v>土地级别</v>
      </c>
      <c r="R32" s="1560" t="s">
        <v>8</v>
      </c>
      <c r="S32" s="1561">
        <f t="shared" si="10"/>
        <v>100</v>
      </c>
      <c r="T32" s="1560" t="s">
        <v>8</v>
      </c>
      <c r="U32" s="1561">
        <f t="shared" si="11"/>
        <v>100</v>
      </c>
      <c r="V32" s="1560" t="s">
        <v>8</v>
      </c>
      <c r="W32" s="1561">
        <f t="shared" si="12"/>
        <v>100</v>
      </c>
      <c r="X32" s="1554"/>
      <c r="Y32" s="338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83"/>
      <c r="Q33" s="1559">
        <f t="shared" si="8"/>
        <v>111</v>
      </c>
      <c r="R33" s="1560" t="s">
        <v>8</v>
      </c>
      <c r="S33" s="1561">
        <f t="shared" si="10"/>
        <v>100</v>
      </c>
      <c r="T33" s="1560" t="s">
        <v>8</v>
      </c>
      <c r="U33" s="1561">
        <f t="shared" si="11"/>
        <v>100</v>
      </c>
      <c r="V33" s="1560" t="s">
        <v>8</v>
      </c>
      <c r="W33" s="1561">
        <f t="shared" si="12"/>
        <v>100</v>
      </c>
      <c r="X33" s="1554"/>
      <c r="Y33" s="338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84" t="s">
        <v>550</v>
      </c>
      <c r="Q34" s="1559">
        <f t="shared" si="8"/>
        <v>111</v>
      </c>
      <c r="R34" s="1560" t="s">
        <v>8</v>
      </c>
      <c r="S34" s="1561">
        <f t="shared" si="10"/>
        <v>100</v>
      </c>
      <c r="T34" s="1560" t="s">
        <v>8</v>
      </c>
      <c r="U34" s="1561">
        <f t="shared" si="11"/>
        <v>100</v>
      </c>
      <c r="V34" s="1560" t="s">
        <v>8</v>
      </c>
      <c r="W34" s="1561">
        <f t="shared" si="12"/>
        <v>100</v>
      </c>
      <c r="X34" s="1554"/>
      <c r="Y34" s="3385" t="s">
        <v>550</v>
      </c>
      <c r="Z34" s="1562">
        <f t="shared" si="13"/>
        <v>111</v>
      </c>
      <c r="AA34" s="1563">
        <f t="shared" si="3"/>
        <v>1</v>
      </c>
      <c r="AB34" s="1563">
        <f t="shared" si="4"/>
        <v>1</v>
      </c>
      <c r="AC34" s="1563">
        <f t="shared" si="5"/>
        <v>1</v>
      </c>
    </row>
    <row r="35" spans="1:29" s="1335"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85"/>
      <c r="Q35" s="1559">
        <f t="shared" si="8"/>
        <v>111</v>
      </c>
      <c r="R35" s="1564" t="s">
        <v>8</v>
      </c>
      <c r="S35" s="1565">
        <f t="shared" si="10"/>
        <v>100</v>
      </c>
      <c r="T35" s="1564" t="s">
        <v>8</v>
      </c>
      <c r="U35" s="1565">
        <f t="shared" si="11"/>
        <v>100</v>
      </c>
      <c r="V35" s="1564" t="s">
        <v>8</v>
      </c>
      <c r="W35" s="1565">
        <f t="shared" si="12"/>
        <v>100</v>
      </c>
      <c r="X35" s="1566"/>
      <c r="Y35" s="3385"/>
      <c r="Z35" s="1567">
        <f t="shared" si="13"/>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85"/>
      <c r="Q36" s="1559" t="str">
        <f>B36</f>
        <v>宗地面积</v>
      </c>
      <c r="R36" s="1560" t="s">
        <v>8</v>
      </c>
      <c r="S36" s="1561" t="e">
        <f t="shared" si="10"/>
        <v>#N/A</v>
      </c>
      <c r="T36" s="1560" t="s">
        <v>8</v>
      </c>
      <c r="U36" s="1561" t="e">
        <f t="shared" si="11"/>
        <v>#N/A</v>
      </c>
      <c r="V36" s="1560" t="s">
        <v>8</v>
      </c>
      <c r="W36" s="1561" t="e">
        <f t="shared" si="12"/>
        <v>#N/A</v>
      </c>
      <c r="X36" s="1554"/>
      <c r="Y36" s="338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85"/>
      <c r="Q37" s="1559" t="str">
        <f t="shared" ref="Q37:Q42" si="14">B37</f>
        <v>宗地形状</v>
      </c>
      <c r="R37" s="1560" t="s">
        <v>8</v>
      </c>
      <c r="S37" s="1561">
        <f t="shared" si="10"/>
        <v>100</v>
      </c>
      <c r="T37" s="1560" t="s">
        <v>8</v>
      </c>
      <c r="U37" s="1561">
        <f t="shared" si="11"/>
        <v>100</v>
      </c>
      <c r="V37" s="1560" t="s">
        <v>8</v>
      </c>
      <c r="W37" s="1561">
        <f t="shared" si="12"/>
        <v>100</v>
      </c>
      <c r="X37" s="1554"/>
      <c r="Y37" s="3385"/>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85"/>
      <c r="Q38" s="1559" t="str">
        <f t="shared" si="14"/>
        <v>宗地开发程度</v>
      </c>
      <c r="R38" s="1555" t="s">
        <v>8</v>
      </c>
      <c r="S38" s="1556">
        <f t="shared" si="10"/>
        <v>100</v>
      </c>
      <c r="T38" s="1555" t="s">
        <v>8</v>
      </c>
      <c r="U38" s="1556">
        <f t="shared" si="11"/>
        <v>100</v>
      </c>
      <c r="V38" s="1555" t="s">
        <v>8</v>
      </c>
      <c r="W38" s="1556">
        <f t="shared" si="12"/>
        <v>100</v>
      </c>
      <c r="X38" s="1557"/>
      <c r="Y38" s="338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5" t="s">
        <v>601</v>
      </c>
      <c r="Q39" s="1559" t="str">
        <f t="shared" si="14"/>
        <v>工程地质条件</v>
      </c>
      <c r="R39" s="1560" t="s">
        <v>8</v>
      </c>
      <c r="S39" s="1561">
        <f t="shared" si="10"/>
        <v>100</v>
      </c>
      <c r="T39" s="1560" t="s">
        <v>8</v>
      </c>
      <c r="U39" s="1561">
        <f t="shared" si="11"/>
        <v>100</v>
      </c>
      <c r="V39" s="1560" t="s">
        <v>8</v>
      </c>
      <c r="W39" s="1561">
        <f t="shared" si="12"/>
        <v>100</v>
      </c>
      <c r="X39" s="1554"/>
      <c r="Y39" s="338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85"/>
      <c r="Q40" s="1559">
        <f t="shared" si="14"/>
        <v>111</v>
      </c>
      <c r="R40" s="1560" t="s">
        <v>8</v>
      </c>
      <c r="S40" s="1561">
        <f t="shared" si="10"/>
        <v>100</v>
      </c>
      <c r="T40" s="1560" t="s">
        <v>8</v>
      </c>
      <c r="U40" s="1561">
        <f t="shared" si="11"/>
        <v>100</v>
      </c>
      <c r="V40" s="1560" t="s">
        <v>8</v>
      </c>
      <c r="W40" s="1561">
        <f t="shared" si="12"/>
        <v>100</v>
      </c>
      <c r="X40" s="1554"/>
      <c r="Y40" s="338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85"/>
      <c r="Q41" s="1559">
        <f t="shared" si="14"/>
        <v>111</v>
      </c>
      <c r="R41" s="1560" t="s">
        <v>8</v>
      </c>
      <c r="S41" s="1561">
        <f t="shared" si="10"/>
        <v>100</v>
      </c>
      <c r="T41" s="1560" t="s">
        <v>8</v>
      </c>
      <c r="U41" s="1561">
        <f t="shared" si="11"/>
        <v>100</v>
      </c>
      <c r="V41" s="1560" t="s">
        <v>8</v>
      </c>
      <c r="W41" s="1561">
        <f t="shared" si="12"/>
        <v>100</v>
      </c>
      <c r="X41" s="1554"/>
      <c r="Y41" s="3385"/>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85"/>
      <c r="Q42" s="1559">
        <f t="shared" si="14"/>
        <v>111</v>
      </c>
      <c r="R42" s="1564" t="s">
        <v>8</v>
      </c>
      <c r="S42" s="1565">
        <f t="shared" si="10"/>
        <v>100</v>
      </c>
      <c r="T42" s="1564" t="s">
        <v>8</v>
      </c>
      <c r="U42" s="1565">
        <f t="shared" si="11"/>
        <v>100</v>
      </c>
      <c r="V42" s="1564" t="s">
        <v>8</v>
      </c>
      <c r="W42" s="1565">
        <f t="shared" si="12"/>
        <v>100</v>
      </c>
      <c r="X42" s="1566"/>
      <c r="Y42" s="3385"/>
      <c r="Z42" s="1567">
        <f t="shared" si="13"/>
        <v>111</v>
      </c>
      <c r="AA42" s="1563">
        <f t="shared" si="3"/>
        <v>1</v>
      </c>
      <c r="AB42" s="1563">
        <f t="shared" si="4"/>
        <v>1</v>
      </c>
      <c r="AC42" s="1563">
        <f t="shared" si="5"/>
        <v>1</v>
      </c>
    </row>
    <row r="43" spans="1:29" ht="14.4">
      <c r="A43" s="607" t="s">
        <v>556</v>
      </c>
      <c r="B43" s="608" t="s">
        <v>2927</v>
      </c>
      <c r="C43" s="609" t="s">
        <v>1</v>
      </c>
      <c r="D43" s="610"/>
      <c r="E43" s="611"/>
      <c r="F43" s="612"/>
      <c r="G43" s="613"/>
      <c r="H43" s="614"/>
      <c r="I43" s="611"/>
      <c r="J43" s="614"/>
      <c r="K43" s="1336"/>
      <c r="L43" s="2128"/>
      <c r="M43" s="2118"/>
      <c r="N43" s="2118"/>
      <c r="O43" s="2129"/>
      <c r="P43" s="3380" t="str">
        <f>A43</f>
        <v>成交单价</v>
      </c>
      <c r="Q43" s="3380"/>
      <c r="R43" s="3394">
        <f>E43</f>
        <v>0</v>
      </c>
      <c r="S43" s="3394"/>
      <c r="T43" s="3394">
        <f>G43</f>
        <v>0</v>
      </c>
      <c r="U43" s="3394"/>
      <c r="V43" s="3394">
        <f>I43</f>
        <v>0</v>
      </c>
      <c r="W43" s="3394"/>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380" t="str">
        <f>A44</f>
        <v>比较价格（元/平方米）</v>
      </c>
      <c r="Q44" s="3380"/>
      <c r="R44" s="3404" t="e">
        <f>ROUND(PRODUCT(R43,AA9:AA42),0)</f>
        <v>#DIV/0!</v>
      </c>
      <c r="S44" s="3404"/>
      <c r="T44" s="3404" t="e">
        <f>ROUND(PRODUCT(T43,AB9:AB42),0)</f>
        <v>#DIV/0!</v>
      </c>
      <c r="U44" s="3404"/>
      <c r="V44" s="3404" t="e">
        <f>ROUND(PRODUCT(V43,AC9:AC42),0)</f>
        <v>#DIV/0!</v>
      </c>
      <c r="W44" s="3404"/>
      <c r="X44" s="1546"/>
      <c r="Y44" s="1546"/>
      <c r="Z44" s="1546"/>
      <c r="AA44" s="1546"/>
      <c r="AB44" s="1546"/>
      <c r="AC44" s="1546"/>
    </row>
    <row r="45" spans="1:29" ht="15" thickBot="1">
      <c r="A45" s="621" t="s">
        <v>2928</v>
      </c>
      <c r="B45" s="622"/>
      <c r="C45" s="623" t="e">
        <f>R45</f>
        <v>#DIV/0!</v>
      </c>
      <c r="D45" s="623"/>
      <c r="E45" s="623"/>
      <c r="F45" s="623"/>
      <c r="G45" s="623"/>
      <c r="H45" s="623"/>
      <c r="I45" s="623"/>
      <c r="J45" s="623"/>
      <c r="K45" s="1338"/>
      <c r="L45" s="2128"/>
      <c r="M45" s="2118"/>
      <c r="N45" s="2118"/>
      <c r="O45" s="2129"/>
      <c r="P45" s="3401" t="str">
        <f>A45</f>
        <v>估价对象XX用房的比较价格（楼面单价，元/平方米）</v>
      </c>
      <c r="Q45" s="3402"/>
      <c r="R45" s="3403" t="e">
        <f>ROUND(AVERAGE(R44:V44),0)</f>
        <v>#DIV/0!</v>
      </c>
      <c r="S45" s="3403"/>
      <c r="T45" s="3403"/>
      <c r="U45" s="3403"/>
      <c r="V45" s="3403"/>
      <c r="W45" s="3403"/>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7" t="s">
        <v>1723</v>
      </c>
      <c r="D52" s="2211" t="s">
        <v>2290</v>
      </c>
      <c r="E52" s="631" t="s">
        <v>562</v>
      </c>
      <c r="F52" s="1935" t="s">
        <v>563</v>
      </c>
      <c r="G52" s="3405" t="s">
        <v>2281</v>
      </c>
      <c r="H52" s="3406"/>
      <c r="I52" s="1936" t="s">
        <v>1942</v>
      </c>
      <c r="J52" s="1542">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3.2">
      <c r="A53" s="633" t="s">
        <v>564</v>
      </c>
      <c r="B53" s="634" t="e">
        <f>C45</f>
        <v>#DIV/0!</v>
      </c>
      <c r="C53" s="635">
        <v>1</v>
      </c>
      <c r="D53" s="2212">
        <v>1</v>
      </c>
      <c r="E53" s="635">
        <f>'数据-汇总表'!E8+'数据-汇总表'!E9</f>
        <v>61277.75</v>
      </c>
      <c r="F53" s="1934" t="e">
        <f t="shared" ref="F53:F62" si="15">ROUND(B53*E53/10000,0)</f>
        <v>#DIV/0!</v>
      </c>
      <c r="G53" s="3407"/>
      <c r="H53" s="3408"/>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3.2">
      <c r="A54" s="637" t="s">
        <v>565</v>
      </c>
      <c r="B54" s="638" t="e">
        <f>ROUND($C$45*C54*D54,0)</f>
        <v>#DIV/0!</v>
      </c>
      <c r="C54" s="378">
        <f t="shared" ref="C54:C62" si="16">IF($C$52="北京市系数",I54,J54)</f>
        <v>0</v>
      </c>
      <c r="D54" s="2213">
        <v>0.25</v>
      </c>
      <c r="E54" s="639"/>
      <c r="F54" s="1934" t="e">
        <f t="shared" si="15"/>
        <v>#DIV/0!</v>
      </c>
      <c r="G54" s="3409"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3.2">
      <c r="A55" s="637" t="s">
        <v>566</v>
      </c>
      <c r="B55" s="638" t="e">
        <f t="shared" ref="B55:B62" si="17">ROUND($C$45*C55*D55,0)</f>
        <v>#DIV/0!</v>
      </c>
      <c r="C55" s="378">
        <f t="shared" si="16"/>
        <v>0</v>
      </c>
      <c r="D55" s="2213">
        <v>0.25</v>
      </c>
      <c r="E55" s="639"/>
      <c r="F55" s="1934" t="e">
        <f t="shared" si="15"/>
        <v>#DIV/0!</v>
      </c>
      <c r="G55" s="3409"/>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3.2">
      <c r="A56" s="637" t="s">
        <v>567</v>
      </c>
      <c r="B56" s="638" t="e">
        <f t="shared" si="17"/>
        <v>#DIV/0!</v>
      </c>
      <c r="C56" s="378">
        <f t="shared" si="16"/>
        <v>0</v>
      </c>
      <c r="D56" s="2213">
        <v>0.25</v>
      </c>
      <c r="E56" s="639"/>
      <c r="F56" s="1934" t="e">
        <f t="shared" si="15"/>
        <v>#DIV/0!</v>
      </c>
      <c r="G56" s="3409"/>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3.2">
      <c r="A57" s="637" t="s">
        <v>568</v>
      </c>
      <c r="B57" s="638" t="e">
        <f t="shared" si="17"/>
        <v>#DIV/0!</v>
      </c>
      <c r="C57" s="378">
        <f t="shared" si="16"/>
        <v>0</v>
      </c>
      <c r="D57" s="2213">
        <v>0.25</v>
      </c>
      <c r="E57" s="639"/>
      <c r="F57" s="1934" t="e">
        <f t="shared" si="15"/>
        <v>#DIV/0!</v>
      </c>
      <c r="G57" s="3409"/>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3.2">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3.2">
      <c r="A59" s="637" t="s">
        <v>569</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3.2">
      <c r="A60" s="637" t="s">
        <v>570</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3.2">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thickBot="1">
      <c r="A63" s="642" t="s">
        <v>573</v>
      </c>
      <c r="B63" s="643" t="s">
        <v>17</v>
      </c>
      <c r="C63" s="643" t="s">
        <v>18</v>
      </c>
      <c r="D63" s="643" t="s">
        <v>2291</v>
      </c>
      <c r="E63" s="643">
        <f>IF(B43="楼面地价",SUM(E53:E62),'数据-汇总表'!D3)</f>
        <v>40851.83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2020-3-1</v>
      </c>
      <c r="D65" s="2753">
        <f>EDATE(C65,-3)</f>
        <v>43800</v>
      </c>
      <c r="E65" s="2753">
        <f t="shared" ref="E65:N65" si="18">EDATE(D65,-3)</f>
        <v>43709</v>
      </c>
      <c r="F65" s="2753">
        <f t="shared" si="18"/>
        <v>43617</v>
      </c>
      <c r="G65" s="2753">
        <f t="shared" si="18"/>
        <v>43525</v>
      </c>
      <c r="H65" s="2753">
        <f t="shared" si="18"/>
        <v>43435</v>
      </c>
      <c r="I65" s="2753">
        <f t="shared" si="18"/>
        <v>43344</v>
      </c>
      <c r="J65" s="2753">
        <f t="shared" si="18"/>
        <v>43252</v>
      </c>
      <c r="K65" s="2753">
        <f t="shared" si="18"/>
        <v>43160</v>
      </c>
      <c r="L65" s="2753">
        <f t="shared" si="18"/>
        <v>43070</v>
      </c>
      <c r="M65" s="2753">
        <f t="shared" si="18"/>
        <v>42979</v>
      </c>
      <c r="N65" s="2753">
        <f t="shared" si="18"/>
        <v>42887</v>
      </c>
      <c r="O65" s="2129"/>
      <c r="P65" s="2129"/>
      <c r="Q65" s="2129"/>
      <c r="R65" s="2129"/>
      <c r="S65" s="2129"/>
      <c r="T65" s="2129"/>
      <c r="U65" s="2129"/>
      <c r="V65" s="2129"/>
      <c r="W65" s="2129"/>
      <c r="X65" s="2129"/>
      <c r="Y65" s="2129"/>
      <c r="Z65" s="2129"/>
      <c r="AA65" s="2129"/>
      <c r="AB65" s="2129"/>
      <c r="AC65" s="2129"/>
    </row>
    <row r="66" spans="1:29" ht="22.2"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4.4">
      <c r="A67" s="2531" t="s">
        <v>2530</v>
      </c>
      <c r="B67" s="646"/>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北京市平均增长率1.33%</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8" t="s">
        <v>1686</v>
      </c>
      <c r="B3" s="1038" t="e">
        <f>ROUND(B2*10000/D1,0)</f>
        <v>#DIV/0!</v>
      </c>
      <c r="C3" s="1404" t="s">
        <v>926</v>
      </c>
      <c r="D3" s="1405" t="s">
        <v>927</v>
      </c>
      <c r="E3" s="1409"/>
      <c r="F3" s="1410"/>
      <c r="G3" s="1039">
        <f>IF(F3="宗地容积率",'数据-汇总表'!I4,IF(F3="估价对象容积率",'数据-汇总表'!I6,'数据-汇总表'!I7))</f>
        <v>1.5</v>
      </c>
      <c r="H3" s="1411" t="s">
        <v>928</v>
      </c>
      <c r="I3" s="1040">
        <v>8</v>
      </c>
      <c r="J3" s="1407" t="s">
        <v>929</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2277</v>
      </c>
      <c r="B4" s="2416" t="e">
        <f>ROUND(B2*10000/F1,0)</f>
        <v>#DIV/0!</v>
      </c>
      <c r="C4" s="1878" t="s">
        <v>2251</v>
      </c>
      <c r="D4" s="1878" t="e">
        <f>ROUND(B2/(F1/666.67),0)</f>
        <v>#DIV/0!</v>
      </c>
      <c r="E4" s="1878" t="s">
        <v>2252</v>
      </c>
      <c r="F4" s="1876"/>
      <c r="G4" s="1876"/>
      <c r="H4" s="1876"/>
      <c r="I4" s="1876"/>
      <c r="J4" s="1877"/>
      <c r="K4" s="3146"/>
      <c r="L4" s="1869" t="s">
        <v>2238</v>
      </c>
      <c r="M4" s="1870">
        <f>SUMPRODUCT((区片价!B49:B75=I2)*(区片价!C3:F3=E2)*(区片价!C49:F75))</f>
        <v>0</v>
      </c>
      <c r="N4" s="1871">
        <f>SUMPRODUCT((因素修正幅度!B49:B75=I2)*(因素修正幅度!C3:F3=E2)*(因素修正幅度!C49:F75))</f>
        <v>0</v>
      </c>
      <c r="O4" s="3146"/>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6" thickBot="1">
      <c r="A5" s="1624" t="s">
        <v>1822</v>
      </c>
      <c r="B5" s="1412" t="s">
        <v>930</v>
      </c>
      <c r="C5" s="1041" t="e">
        <f>ROUND(IF(E2="商业",C6*C7+C16,(IF(E2="住宅",C6*C12+C16,C6+C16))),0)</f>
        <v>#DIV/0!</v>
      </c>
      <c r="D5" s="3070" t="e">
        <f>ROUND(C6+C16,0)</f>
        <v>#DIV/0!</v>
      </c>
      <c r="E5" s="3070"/>
      <c r="F5" s="1413"/>
      <c r="G5" s="1414"/>
      <c r="H5" s="1414"/>
      <c r="I5" s="1414"/>
      <c r="J5" s="1415"/>
      <c r="K5" s="3147"/>
      <c r="L5" s="1869" t="s">
        <v>2239</v>
      </c>
      <c r="M5" s="1870">
        <f>SUMPRODUCT((区片价!B76:B109=I2)*(区片价!C3:F3=E2)*(区片价!C76:F109))</f>
        <v>0</v>
      </c>
      <c r="N5" s="1871">
        <f>SUMPRODUCT((因素修正幅度!B76:B109=I2)*(因素修正幅度!C3:F3=E2)*(因素修正幅度!C76:F109))</f>
        <v>0</v>
      </c>
      <c r="O5" s="3147"/>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417" t="str">
        <f>IF(E2="商业",IF(C8="不临58条商业街","",2),"")</f>
        <v/>
      </c>
      <c r="B7" s="1424" t="s">
        <v>931</v>
      </c>
      <c r="C7" s="1043" t="e">
        <f>IF(C8="不临58条商业街",1,ROUND(1+(1.6*E8+1.2*E9+0.8*E10+0.4*E11)*C9,4))</f>
        <v>#DIV/0!</v>
      </c>
      <c r="D7" s="1425" t="s">
        <v>932</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1.5</v>
      </c>
      <c r="AA7" s="2176"/>
      <c r="AB7" s="2176"/>
      <c r="AC7" s="2177"/>
      <c r="AD7" s="2883"/>
      <c r="AE7" s="2883"/>
      <c r="AF7" s="2883"/>
      <c r="AG7" s="2883"/>
      <c r="AH7" s="2883"/>
      <c r="AI7" s="2883"/>
      <c r="AJ7" s="2884"/>
    </row>
    <row r="8" spans="1:39" ht="15">
      <c r="A8" s="3418"/>
      <c r="B8" s="1411" t="s">
        <v>933</v>
      </c>
      <c r="C8" s="1517"/>
      <c r="D8" s="1045" t="s">
        <v>934</v>
      </c>
      <c r="E8" s="1046" t="e">
        <f>ROUND(C11/E7,4)</f>
        <v>#DIV/0!</v>
      </c>
      <c r="F8" s="1429" t="s">
        <v>935</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428" t="s">
        <v>2779</v>
      </c>
      <c r="X8" s="3429"/>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418"/>
      <c r="B9" s="1411" t="s">
        <v>936</v>
      </c>
      <c r="C9" s="1047">
        <f>SUMIF(修正!C59:C119,C8,修正!E59:E119)</f>
        <v>0</v>
      </c>
      <c r="D9" s="1048" t="s">
        <v>937</v>
      </c>
      <c r="E9" s="1048" t="e">
        <f>ROUND(C11/E7,4)</f>
        <v>#DIV/0!</v>
      </c>
      <c r="F9" s="1429" t="s">
        <v>938</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427" t="s">
        <v>2775</v>
      </c>
      <c r="X9" s="2885" t="s">
        <v>2776</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8"/>
      <c r="B10" s="1411" t="s">
        <v>939</v>
      </c>
      <c r="C10" s="1048">
        <f>SUMIF(修正!C59:C119,C8,修正!F59:F119)</f>
        <v>0</v>
      </c>
      <c r="D10" s="1048" t="s">
        <v>940</v>
      </c>
      <c r="E10" s="1048" t="e">
        <f>ROUND(C11/E7,4)</f>
        <v>#DIV/0!</v>
      </c>
      <c r="F10" s="1429" t="s">
        <v>941</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42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8"/>
      <c r="B11" s="1432" t="s">
        <v>942</v>
      </c>
      <c r="C11" s="1049">
        <f>C10/4</f>
        <v>0</v>
      </c>
      <c r="D11" s="1049" t="s">
        <v>943</v>
      </c>
      <c r="E11" s="1049" t="e">
        <f>ROUND(C11/E7,4)</f>
        <v>#DIV/0!</v>
      </c>
      <c r="F11" s="1433" t="s">
        <v>944</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427" t="s">
        <v>2777</v>
      </c>
      <c r="X11" s="1048" t="s">
        <v>2762</v>
      </c>
      <c r="Y11" s="1639">
        <f>$G$3</f>
        <v>1.5</v>
      </c>
      <c r="Z11" s="1639">
        <f t="shared" ref="Z11:AJ11" si="3">$G$3</f>
        <v>1.5</v>
      </c>
      <c r="AA11" s="1639">
        <f t="shared" si="3"/>
        <v>1.5</v>
      </c>
      <c r="AB11" s="1639">
        <f t="shared" si="3"/>
        <v>1.5</v>
      </c>
      <c r="AC11" s="1639">
        <f t="shared" si="3"/>
        <v>1.5</v>
      </c>
      <c r="AD11" s="1639">
        <f t="shared" si="3"/>
        <v>1.5</v>
      </c>
      <c r="AE11" s="1639">
        <f t="shared" si="3"/>
        <v>1.5</v>
      </c>
      <c r="AF11" s="1639">
        <f t="shared" si="3"/>
        <v>1.5</v>
      </c>
      <c r="AG11" s="1639">
        <f t="shared" si="3"/>
        <v>1.5</v>
      </c>
      <c r="AH11" s="1639">
        <f t="shared" si="3"/>
        <v>1.5</v>
      </c>
      <c r="AI11" s="1639">
        <f t="shared" si="3"/>
        <v>1.5</v>
      </c>
      <c r="AJ11" s="1639">
        <f t="shared" si="3"/>
        <v>1.5</v>
      </c>
    </row>
    <row r="12" spans="1:39" ht="25.8" thickBot="1">
      <c r="A12" s="3417" t="s">
        <v>1870</v>
      </c>
      <c r="B12" s="1436" t="s">
        <v>945</v>
      </c>
      <c r="C12" s="1043">
        <f>ROUND(C15*D15*E15*F15*G15*H15*I15*J15,4)</f>
        <v>1</v>
      </c>
      <c r="D12" s="1437" t="s">
        <v>946</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427"/>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9"/>
      <c r="B13" s="1441" t="s">
        <v>1695</v>
      </c>
      <c r="C13" s="1442" t="s">
        <v>1696</v>
      </c>
      <c r="D13" s="1085" t="s">
        <v>1697</v>
      </c>
      <c r="E13" s="1085" t="s">
        <v>1698</v>
      </c>
      <c r="F13" s="1443" t="s">
        <v>947</v>
      </c>
      <c r="G13" s="1444" t="s">
        <v>1641</v>
      </c>
      <c r="H13" s="1445" t="s">
        <v>1641</v>
      </c>
      <c r="I13" s="1446" t="s">
        <v>1641</v>
      </c>
      <c r="J13" s="1447" t="s">
        <v>1641</v>
      </c>
      <c r="K13" s="3162"/>
      <c r="L13" s="3162"/>
      <c r="M13" s="3162"/>
      <c r="N13" s="3162"/>
      <c r="O13" s="3162"/>
      <c r="P13" s="1398"/>
      <c r="Q13" s="2173"/>
      <c r="R13" s="2891">
        <v>12</v>
      </c>
      <c r="S13" s="2880"/>
      <c r="T13" s="2891" t="e">
        <f t="shared" si="0"/>
        <v>#DIV/0!</v>
      </c>
      <c r="U13" s="2880"/>
      <c r="V13" s="2891" t="e">
        <f t="shared" si="1"/>
        <v>#DIV/0!</v>
      </c>
      <c r="W13" s="3427"/>
      <c r="X13" s="2888"/>
      <c r="Y13" s="2887">
        <f>(-0.163*(Y12^2)-0.59*Y12+7617)*(10^(-4))/Y11</f>
        <v>0.50780000000000003</v>
      </c>
      <c r="Z13" s="2887">
        <f t="shared" ref="Z13:AJ13" si="5">(-0.163*(Z12^2)-0.59*Z12+7617)*(10^(-4))/Z11</f>
        <v>0.50780000000000003</v>
      </c>
      <c r="AA13" s="2887">
        <f t="shared" si="5"/>
        <v>0.50780000000000003</v>
      </c>
      <c r="AB13" s="2887">
        <f t="shared" si="5"/>
        <v>0.50780000000000003</v>
      </c>
      <c r="AC13" s="2887">
        <f t="shared" si="5"/>
        <v>0.50780000000000003</v>
      </c>
      <c r="AD13" s="2887">
        <f t="shared" si="5"/>
        <v>0.50780000000000003</v>
      </c>
      <c r="AE13" s="2887">
        <f t="shared" si="5"/>
        <v>0.50780000000000003</v>
      </c>
      <c r="AF13" s="2887">
        <f t="shared" si="5"/>
        <v>0.50780000000000003</v>
      </c>
      <c r="AG13" s="2887">
        <f t="shared" si="5"/>
        <v>0.50780000000000003</v>
      </c>
      <c r="AH13" s="2887">
        <f t="shared" si="5"/>
        <v>0.50780000000000003</v>
      </c>
      <c r="AI13" s="2887">
        <f t="shared" si="5"/>
        <v>0.50780000000000003</v>
      </c>
      <c r="AJ13" s="2887">
        <f t="shared" si="5"/>
        <v>0.50780000000000003</v>
      </c>
    </row>
    <row r="14" spans="1:39" ht="12.75" customHeight="1">
      <c r="A14" s="3419"/>
      <c r="B14" s="1448"/>
      <c r="C14" s="1449"/>
      <c r="D14" s="1450"/>
      <c r="E14" s="1450"/>
      <c r="F14" s="1451"/>
      <c r="G14" s="1452" t="s">
        <v>948</v>
      </c>
      <c r="H14" s="1453"/>
      <c r="I14" s="1454"/>
      <c r="J14" s="1455"/>
      <c r="K14" s="3148"/>
      <c r="L14" s="3148"/>
      <c r="M14" s="3148"/>
      <c r="N14" s="3148"/>
      <c r="O14" s="3148"/>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0"/>
      <c r="B15" s="3167" t="s">
        <v>1699</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7" t="s">
        <v>1837</v>
      </c>
      <c r="B16" s="1424" t="s">
        <v>949</v>
      </c>
      <c r="C16" s="1052" t="e">
        <f>ROUND(IF(F17="与级别开发程度一致",0,(G17-E17)/C17),0)</f>
        <v>#DIV/0!</v>
      </c>
      <c r="D16" s="3435" t="s">
        <v>953</v>
      </c>
      <c r="E16" s="3436"/>
      <c r="F16" s="3435" t="s">
        <v>950</v>
      </c>
      <c r="G16" s="3436"/>
      <c r="H16" s="1456"/>
      <c r="I16" s="1456"/>
      <c r="J16" s="1456"/>
      <c r="K16" s="1456"/>
      <c r="L16" s="1456"/>
      <c r="M16" s="1456"/>
      <c r="N16" s="1456"/>
      <c r="O16" s="3172"/>
      <c r="P16" s="1398"/>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1"/>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 thickBot="1">
      <c r="A18" s="2733" t="s">
        <v>1828</v>
      </c>
      <c r="B18" s="3168" t="s">
        <v>954</v>
      </c>
      <c r="C18" s="3169">
        <f>SUMIF(修正!C18:C39,E3,修正!E18:E39)</f>
        <v>0</v>
      </c>
      <c r="D18" s="3170"/>
      <c r="E18" s="3171"/>
      <c r="F18" s="3153"/>
      <c r="G18" s="3147"/>
      <c r="H18" s="3147"/>
      <c r="I18" s="3147"/>
      <c r="J18" s="3161"/>
      <c r="K18" s="3147"/>
      <c r="L18" s="3147"/>
      <c r="M18" s="3147"/>
      <c r="N18" s="3147"/>
      <c r="O18" s="3147"/>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ROUND(IF(H19="按公示增长率计算",SUMPRODUCT((地价!A3:A29=YEAR(G19)&amp;"-"&amp;ROUNDUP(MONTH(G19)/3,0))*(地价!X2:AB2=E2)*(地价!X3:AB29)),IF(H19="地价指数",M20/M19,(1+I19)^O19)),4)</f>
        <v>0</v>
      </c>
      <c r="D19" s="1463" t="s">
        <v>956</v>
      </c>
      <c r="E19" s="1054">
        <v>41640</v>
      </c>
      <c r="F19" s="1463" t="s">
        <v>957</v>
      </c>
      <c r="G19" s="1055">
        <f>'数据-取费表'!B2</f>
        <v>43905</v>
      </c>
      <c r="H19" s="1464" t="s">
        <v>2983</v>
      </c>
      <c r="I19" s="2739" t="str">
        <f>IF(H19="季度增幅（自定义）",SUMIF(N21:N24,E2,O21:O24),"")</f>
        <v/>
      </c>
      <c r="J19" s="1460"/>
      <c r="K19" s="3147"/>
      <c r="L19" s="2991" t="s">
        <v>2837</v>
      </c>
      <c r="M19" s="2992">
        <f>ROUND(SUMIF(地价!B2:F2,E2,地价!B29:F29),0)</f>
        <v>0</v>
      </c>
      <c r="N19" s="2741" t="s">
        <v>1675</v>
      </c>
      <c r="O19" s="2740">
        <f>ROUNDDOWN(DATEDIF(E19,G19,"M")/3,0)</f>
        <v>24</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9.4"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3" t="s">
        <v>2838</v>
      </c>
      <c r="M20" s="3156">
        <f>ROUND(SUMPRODUCT((地价!A4:A29=YEAR(G19)&amp;"-"&amp;ROUNDUP(MONTH(G19)/3,0))*(地价!B2:F2=E2)*(地价!B4:F29)),0)</f>
        <v>0</v>
      </c>
      <c r="N20" s="2744" t="s">
        <v>2641</v>
      </c>
      <c r="O20" s="2742" t="s">
        <v>2640</v>
      </c>
      <c r="P20" s="2743" t="s">
        <v>2646</v>
      </c>
      <c r="Q20" s="2879"/>
      <c r="R20" s="2179"/>
      <c r="S20" s="2179"/>
      <c r="T20" s="2179"/>
      <c r="U20" s="2179"/>
      <c r="V20" s="2179"/>
      <c r="W20" s="2179"/>
      <c r="X20" s="2179"/>
      <c r="Y20" s="1461"/>
      <c r="Z20" s="1461"/>
      <c r="AA20" s="1461"/>
      <c r="AB20" s="1461"/>
      <c r="AC20" s="1461"/>
      <c r="AD20" s="1461"/>
    </row>
    <row r="21" spans="1:40" s="1418" customFormat="1" ht="14.4">
      <c r="A21" s="1628" t="s">
        <v>1836</v>
      </c>
      <c r="B21" s="1469" t="s">
        <v>2757</v>
      </c>
      <c r="C21" s="1154">
        <f>IF(B21="容积率修正",IF(G3&lt;=10,D22,J22),C23)</f>
        <v>0</v>
      </c>
      <c r="D21" s="1470"/>
      <c r="E21" s="1470"/>
      <c r="F21" s="1470"/>
      <c r="G21" s="1470"/>
      <c r="H21" s="1470"/>
      <c r="I21" s="1470"/>
      <c r="J21" s="1471"/>
      <c r="K21" s="3147"/>
      <c r="L21" s="1470"/>
      <c r="M21" s="1470"/>
      <c r="N21" s="1467" t="s">
        <v>974</v>
      </c>
      <c r="O21" s="1530"/>
      <c r="P21" s="2731">
        <f>SUMPRODUCT((地价!A3:A29=YEAR(G19)&amp;"-"&amp;ROUNDUP(MONTH(G19)/3,0))*(地价!AD2:AH2=N21)*(地价!AD3:AH29))</f>
        <v>1.35E-2</v>
      </c>
      <c r="Q21" s="2879"/>
      <c r="R21" s="2179"/>
      <c r="S21" s="2179"/>
      <c r="T21" s="2179"/>
      <c r="U21" s="2179"/>
      <c r="V21" s="2179"/>
      <c r="W21" s="2179"/>
      <c r="X21" s="2179"/>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1.5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0"/>
      <c r="L22" s="1470"/>
      <c r="M22" s="1470"/>
      <c r="N22" s="1467" t="s">
        <v>977</v>
      </c>
      <c r="O22" s="1530"/>
      <c r="P22" s="2731">
        <f>SUMPRODUCT((地价!A3:A29=YEAR(G19)&amp;"-"&amp;ROUNDUP(MONTH(G19)/3,0))*(地价!AD2:AH2=N22)*(地价!AD3:AH29))</f>
        <v>1.35E-2</v>
      </c>
      <c r="Q22" s="2879"/>
      <c r="R22" s="2179"/>
      <c r="S22" s="2179"/>
      <c r="T22" s="2179"/>
      <c r="U22" s="2179"/>
      <c r="V22" s="2179"/>
      <c r="W22" s="2179"/>
      <c r="X22" s="2179"/>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922</v>
      </c>
      <c r="O23" s="1530"/>
      <c r="P23" s="2731">
        <f>SUMPRODUCT((地价!A3:A29=YEAR(G19)&amp;"-"&amp;ROUNDUP(MONTH(G19)/3,0))*(地价!AD2:AH2=N23)*(地价!AD3:AH29))</f>
        <v>2.0799999999999999E-2</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1"/>
      <c r="L24" s="1470"/>
      <c r="M24" s="1470"/>
      <c r="N24" s="1467" t="s">
        <v>980</v>
      </c>
      <c r="O24" s="3155"/>
      <c r="P24" s="2731">
        <f>SUMPRODUCT((地价!A3:A29=YEAR(G19)&amp;"-"&amp;ROUNDUP(MONTH(G19)/3,0))*(地价!AD2:AH2=N24)*(地价!AD3:AH29))</f>
        <v>1.3299999999999999E-2</v>
      </c>
      <c r="Q24" s="2879"/>
      <c r="R24" s="2179"/>
      <c r="S24" s="2179"/>
      <c r="T24" s="2179"/>
      <c r="U24" s="2179"/>
      <c r="V24" s="2179"/>
      <c r="W24" s="2179"/>
      <c r="X24" s="2179"/>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79"/>
      <c r="M25" s="2179"/>
      <c r="N25" s="3157" t="s">
        <v>2644</v>
      </c>
      <c r="O25" s="3158"/>
      <c r="P25" s="2410">
        <f>SUMPRODUCT((地价!A3:A29=YEAR(G19)&amp;"-"&amp;ROUNDUP(MONTH(G19)/3,0))*(地价!AD2:AH2=N25)*(地价!AD3:AH29))</f>
        <v>1.9E-2</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24">
      <c r="A29" s="1490"/>
      <c r="B29" s="1491" t="s">
        <v>992</v>
      </c>
      <c r="C29" s="1059" t="e">
        <f>ROUND(C5*C18*C19*C20*C21*C24,0)</f>
        <v>#DIV/0!</v>
      </c>
      <c r="D29" s="1492"/>
      <c r="E29" s="1833" t="e">
        <f>ROUND(C29*D29/10000,0)</f>
        <v>#DIV/0!</v>
      </c>
      <c r="F29" s="1493" t="s">
        <v>1700</v>
      </c>
      <c r="G29" s="1494"/>
      <c r="H29" s="1494"/>
      <c r="I29" s="1494"/>
      <c r="J29" s="1495"/>
      <c r="K29" s="3152"/>
      <c r="L29" s="3152"/>
      <c r="M29" s="3152"/>
      <c r="N29" s="3152"/>
      <c r="O29" s="3152"/>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6" thickBot="1">
      <c r="A30" s="1496"/>
      <c r="B30" s="1497" t="s">
        <v>993</v>
      </c>
      <c r="C30" s="1051" t="e">
        <f>ROUND(IF(E2="工业",C29*M39,C29*M38),0)</f>
        <v>#DIV/0!</v>
      </c>
      <c r="D30" s="1498"/>
      <c r="E30" s="1833" t="e">
        <f>ROUND(C30*D30/10000,0)</f>
        <v>#DIV/0!</v>
      </c>
      <c r="F30" s="1499" t="s">
        <v>994</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3"/>
      <c r="L32" s="3153"/>
      <c r="M32" s="3153"/>
      <c r="N32" s="3153"/>
      <c r="O32" s="3153"/>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3.2">
      <c r="A33" s="3424" t="s">
        <v>2953</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3.2">
      <c r="A34" s="3425"/>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3.2">
      <c r="A35" s="3425"/>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8" thickBot="1">
      <c r="A36" s="3426"/>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3"/>
      <c r="O37" s="2173"/>
      <c r="P37" s="2173"/>
      <c r="Q37" s="2173"/>
      <c r="R37" s="2174"/>
      <c r="S37" s="2174"/>
      <c r="T37" s="2174"/>
      <c r="U37" s="2174"/>
      <c r="V37" s="2174"/>
      <c r="W37" s="2173"/>
      <c r="X37" s="2173"/>
      <c r="Y37" s="2173"/>
      <c r="Z37" s="2173"/>
      <c r="AA37" s="2173"/>
      <c r="AB37" s="2173"/>
      <c r="AC37" s="2174"/>
    </row>
    <row r="38" spans="1:44" ht="13.2">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3"/>
      <c r="O38" s="2173"/>
      <c r="P38" s="2173"/>
      <c r="Q38" s="2173"/>
      <c r="R38" s="2174"/>
      <c r="S38" s="2174"/>
      <c r="T38" s="2174"/>
      <c r="U38" s="2174"/>
      <c r="V38" s="2174"/>
      <c r="W38" s="2173"/>
      <c r="X38" s="2173"/>
      <c r="Y38" s="2173"/>
      <c r="Z38" s="2173"/>
      <c r="AA38" s="2173"/>
      <c r="AB38" s="2173"/>
      <c r="AC38" s="2174"/>
    </row>
    <row r="39" spans="1:44" ht="13.8"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24">
      <c r="A41" s="1400"/>
      <c r="B41" s="3145" t="s">
        <v>2977</v>
      </c>
      <c r="C41" s="839" t="e">
        <f>ROUND(POWER(1+E41,H41-G41)*(POWER(1+E41,G41)-1)/(POWER(1+E41,H41)-1),4)</f>
        <v>#DIV/0!</v>
      </c>
      <c r="D41" s="378" t="s">
        <v>2975</v>
      </c>
      <c r="E41" s="3144">
        <f>G20</f>
        <v>0</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4.4">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1007</v>
      </c>
      <c r="B46" s="2371" t="s">
        <v>1008</v>
      </c>
      <c r="C46" s="2393" t="s">
        <v>1009</v>
      </c>
      <c r="D46" s="2394" t="s">
        <v>1010</v>
      </c>
      <c r="E46" s="2395" t="s">
        <v>1012</v>
      </c>
      <c r="F46" s="2396" t="s">
        <v>2247</v>
      </c>
      <c r="G46" s="2394" t="s">
        <v>1013</v>
      </c>
      <c r="H46" s="2377" t="s">
        <v>2415</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24">
      <c r="A47" s="1063" t="s">
        <v>1019</v>
      </c>
      <c r="B47" s="2374" t="str">
        <f>估价对象房地状况!C16</f>
        <v>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24">
      <c r="A48" s="1063" t="s">
        <v>1020</v>
      </c>
      <c r="B48" s="2371" t="str">
        <f>估价对象房地状况!C18</f>
        <v>一般</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48">
      <c r="A50" s="1063" t="s">
        <v>1022</v>
      </c>
      <c r="B50" s="3047" t="s">
        <v>2930</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36">
      <c r="A52" s="1063" t="s">
        <v>1024</v>
      </c>
      <c r="B52" s="3046" t="s">
        <v>2929</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1025</v>
      </c>
      <c r="B53" s="2372" t="str">
        <f>估价对象房地状况!C21</f>
        <v>一般</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1026</v>
      </c>
      <c r="B54" s="2371" t="str">
        <f>估价对象房地状况!C22</f>
        <v>七通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36.6" thickBot="1">
      <c r="A55" s="2404" t="s">
        <v>1027</v>
      </c>
      <c r="B55" s="2375" t="str">
        <f>估价对象房地状况!C20</f>
        <v>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4.4">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1007</v>
      </c>
      <c r="B57" s="2371"/>
      <c r="C57" s="2393" t="s">
        <v>1009</v>
      </c>
      <c r="D57" s="2394" t="s">
        <v>1010</v>
      </c>
      <c r="E57" s="2395" t="s">
        <v>1012</v>
      </c>
      <c r="F57" s="2396" t="s">
        <v>2248</v>
      </c>
      <c r="G57" s="2394" t="s">
        <v>1013</v>
      </c>
      <c r="H57" s="2377" t="s">
        <v>2415</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24">
      <c r="A59" s="1063" t="s">
        <v>1020</v>
      </c>
      <c r="B59" s="2371" t="str">
        <f>估价对象房地状况!C18</f>
        <v>一般</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48">
      <c r="A61" s="1063" t="s">
        <v>1022</v>
      </c>
      <c r="B61" s="3047" t="s">
        <v>2931</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36">
      <c r="A63" s="1063" t="s">
        <v>1024</v>
      </c>
      <c r="B63" s="3046" t="s">
        <v>2929</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1025</v>
      </c>
      <c r="B64" s="2372" t="str">
        <f>估价对象房地状况!C21</f>
        <v>一般</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1026</v>
      </c>
      <c r="B65" s="2372" t="str">
        <f>估价对象房地状况!C22</f>
        <v>七通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36.6" thickBot="1">
      <c r="A66" s="2404" t="s">
        <v>1027</v>
      </c>
      <c r="B66" s="2376" t="str">
        <f>估价对象房地状况!C20</f>
        <v>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4.4">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1007</v>
      </c>
      <c r="B68" s="2371"/>
      <c r="C68" s="2393" t="s">
        <v>1009</v>
      </c>
      <c r="D68" s="2394" t="s">
        <v>1010</v>
      </c>
      <c r="E68" s="2395" t="s">
        <v>1012</v>
      </c>
      <c r="F68" s="2396" t="s">
        <v>2249</v>
      </c>
      <c r="G68" s="2394" t="s">
        <v>1013</v>
      </c>
      <c r="H68" s="2377" t="s">
        <v>2415</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24">
      <c r="A69" s="1063" t="s">
        <v>1031</v>
      </c>
      <c r="B69" s="2374" t="str">
        <f>估价对象房地状况!C15</f>
        <v>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24">
      <c r="A70" s="1063" t="s">
        <v>1032</v>
      </c>
      <c r="B70" s="2371" t="str">
        <f>估价对象房地状况!C18</f>
        <v>一般</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3.8">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1025</v>
      </c>
      <c r="B73" s="2372" t="str">
        <f>估价对象房地状况!C21</f>
        <v>一般</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1026</v>
      </c>
      <c r="B74" s="2372" t="str">
        <f>估价对象房地状况!C22</f>
        <v>七通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36">
      <c r="A75" s="1063" t="s">
        <v>1024</v>
      </c>
      <c r="B75" s="3046" t="s">
        <v>2929</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36">
      <c r="A76" s="1063" t="s">
        <v>1027</v>
      </c>
      <c r="B76" s="2374" t="str">
        <f>估价对象房地状况!C20</f>
        <v>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36.6"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4.4">
      <c r="A78" s="2387" t="s">
        <v>1035</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1007</v>
      </c>
      <c r="B79" s="2371"/>
      <c r="C79" s="2393" t="s">
        <v>1009</v>
      </c>
      <c r="D79" s="2394" t="s">
        <v>1010</v>
      </c>
      <c r="E79" s="2395" t="s">
        <v>1012</v>
      </c>
      <c r="F79" s="2396" t="s">
        <v>2250</v>
      </c>
      <c r="G79" s="2394" t="s">
        <v>1013</v>
      </c>
      <c r="H79" s="2377" t="s">
        <v>2415</v>
      </c>
      <c r="I79" s="2394" t="s">
        <v>1011</v>
      </c>
      <c r="J79" s="2397" t="s">
        <v>1014</v>
      </c>
      <c r="K79" s="2397" t="s">
        <v>1015</v>
      </c>
      <c r="L79" s="2397" t="s">
        <v>1016</v>
      </c>
      <c r="M79" s="2397" t="s">
        <v>1017</v>
      </c>
      <c r="N79" s="2397" t="s">
        <v>1018</v>
      </c>
      <c r="AC79" s="1402"/>
      <c r="AD79" s="1401"/>
      <c r="AJ79" s="1400"/>
      <c r="AN79" s="1401"/>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3.8">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36">
      <c r="A86" s="1063" t="s">
        <v>1024</v>
      </c>
      <c r="B86" s="3046" t="s">
        <v>2929</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48.6"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422" t="s">
        <v>1632</v>
      </c>
      <c r="B90" s="3422"/>
      <c r="C90" s="3422"/>
      <c r="D90" s="3422"/>
      <c r="E90" s="3422"/>
      <c r="F90" s="3422"/>
      <c r="G90" s="3422"/>
      <c r="H90" s="3422"/>
      <c r="I90" s="3422"/>
      <c r="J90" s="3422"/>
      <c r="K90" s="2413"/>
      <c r="L90" s="2413"/>
      <c r="M90" s="2413"/>
      <c r="N90" s="2413"/>
    </row>
    <row r="91" spans="1:40">
      <c r="A91" s="3423" t="s">
        <v>1442</v>
      </c>
      <c r="B91" s="3423" t="s">
        <v>1633</v>
      </c>
      <c r="C91" s="1136" t="s">
        <v>1634</v>
      </c>
      <c r="D91" s="1137"/>
      <c r="E91" s="1137"/>
      <c r="F91" s="1137"/>
      <c r="G91" s="1137"/>
      <c r="H91" s="1137"/>
      <c r="I91" s="1137"/>
      <c r="J91" s="1138"/>
      <c r="K91" s="1130"/>
      <c r="L91" s="1130"/>
      <c r="M91" s="1130"/>
      <c r="N91" s="1130"/>
    </row>
    <row r="92" spans="1:40">
      <c r="A92" s="3423"/>
      <c r="B92" s="3423"/>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0"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1"/>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0" t="s">
        <v>1636</v>
      </c>
      <c r="B101" s="1143" t="s">
        <v>905</v>
      </c>
      <c r="C101" s="1144">
        <f>$G$3</f>
        <v>1.5</v>
      </c>
      <c r="D101" s="1144">
        <f t="shared" ref="D101:N101" si="31">$G$3</f>
        <v>1.5</v>
      </c>
      <c r="E101" s="1144">
        <f t="shared" si="31"/>
        <v>1.5</v>
      </c>
      <c r="F101" s="1144">
        <f t="shared" si="31"/>
        <v>1.5</v>
      </c>
      <c r="G101" s="1144">
        <f t="shared" si="31"/>
        <v>1.5</v>
      </c>
      <c r="H101" s="1144">
        <f t="shared" si="31"/>
        <v>1.5</v>
      </c>
      <c r="I101" s="1144">
        <f t="shared" si="31"/>
        <v>1.5</v>
      </c>
      <c r="J101" s="1144">
        <f t="shared" si="31"/>
        <v>1.5</v>
      </c>
      <c r="K101" s="1144">
        <f t="shared" si="31"/>
        <v>1.5</v>
      </c>
      <c r="L101" s="1144">
        <f t="shared" si="31"/>
        <v>1.5</v>
      </c>
      <c r="M101" s="1144">
        <f t="shared" si="31"/>
        <v>1.5</v>
      </c>
      <c r="N101" s="1144">
        <f t="shared" si="31"/>
        <v>1.5</v>
      </c>
    </row>
    <row r="102" spans="1:14">
      <c r="A102" s="3431"/>
      <c r="B102" s="1139">
        <v>1</v>
      </c>
      <c r="C102" s="1140">
        <f>1.9362/C101</f>
        <v>1.2907999999999999</v>
      </c>
      <c r="D102" s="1140">
        <f>1.9362/D101</f>
        <v>1.2907999999999999</v>
      </c>
      <c r="E102" s="1140">
        <f>1.8629/E101</f>
        <v>1.2419333333333333</v>
      </c>
      <c r="F102" s="1140">
        <f>1.8629/F101</f>
        <v>1.2419333333333333</v>
      </c>
      <c r="G102" s="1140">
        <f>1.8629/G101</f>
        <v>1.2419333333333333</v>
      </c>
      <c r="H102" s="1140">
        <f>1.8629/H101</f>
        <v>1.2419333333333333</v>
      </c>
      <c r="I102" s="1140">
        <f>1.8629/I101</f>
        <v>1.2419333333333333</v>
      </c>
      <c r="J102" s="1140">
        <f>1.942/J101</f>
        <v>1.2946666666666666</v>
      </c>
      <c r="K102" s="1140">
        <f>1.942/K101</f>
        <v>1.2946666666666666</v>
      </c>
      <c r="L102" s="1140">
        <f>1.942/L101</f>
        <v>1.2946666666666666</v>
      </c>
      <c r="M102" s="1140">
        <f>1.942/M101</f>
        <v>1.2946666666666666</v>
      </c>
      <c r="N102" s="1140">
        <f>1.942/N101</f>
        <v>1.2946666666666666</v>
      </c>
    </row>
    <row r="103" spans="1:14">
      <c r="A103" s="3431"/>
      <c r="B103" s="1139">
        <v>2</v>
      </c>
      <c r="C103" s="1140">
        <f>1.4198/C101</f>
        <v>0.94653333333333334</v>
      </c>
      <c r="D103" s="1140">
        <f>1.4198/D101</f>
        <v>0.94653333333333334</v>
      </c>
      <c r="E103" s="1140">
        <f>1.3372/E101</f>
        <v>0.89146666666666663</v>
      </c>
      <c r="F103" s="1140">
        <f>1.3372/F101</f>
        <v>0.89146666666666663</v>
      </c>
      <c r="G103" s="1140">
        <f>1.3372/G101</f>
        <v>0.89146666666666663</v>
      </c>
      <c r="H103" s="1140">
        <f>1.3372/H101</f>
        <v>0.89146666666666663</v>
      </c>
      <c r="I103" s="1140">
        <f>1.3372/I101</f>
        <v>0.89146666666666663</v>
      </c>
      <c r="J103" s="1140">
        <f>1.2799/J101</f>
        <v>0.85326666666666673</v>
      </c>
      <c r="K103" s="1140">
        <f>1.2799/K101</f>
        <v>0.85326666666666673</v>
      </c>
      <c r="L103" s="1140">
        <f>1.2799/L101</f>
        <v>0.85326666666666673</v>
      </c>
      <c r="M103" s="1140">
        <f>1.2799/M101</f>
        <v>0.85326666666666673</v>
      </c>
      <c r="N103" s="1140">
        <f>1.2799/N101</f>
        <v>0.85326666666666673</v>
      </c>
    </row>
    <row r="104" spans="1:14">
      <c r="A104" s="3431"/>
      <c r="B104" s="1139">
        <v>3</v>
      </c>
      <c r="C104" s="1140">
        <f>1.1594/C101</f>
        <v>0.77293333333333336</v>
      </c>
      <c r="D104" s="1140">
        <f>1.1594/D101</f>
        <v>0.77293333333333336</v>
      </c>
      <c r="E104" s="1140">
        <f>1.0788/E101</f>
        <v>0.71919999999999995</v>
      </c>
      <c r="F104" s="1140">
        <f>1.0788/F101</f>
        <v>0.71919999999999995</v>
      </c>
      <c r="G104" s="1140">
        <f>1.0788/G101</f>
        <v>0.71919999999999995</v>
      </c>
      <c r="H104" s="1140">
        <f>1.0788/H101</f>
        <v>0.71919999999999995</v>
      </c>
      <c r="I104" s="1140">
        <f>1.0788/I101</f>
        <v>0.71919999999999995</v>
      </c>
      <c r="J104" s="1140">
        <f>1.0072/J101</f>
        <v>0.67146666666666677</v>
      </c>
      <c r="K104" s="1140">
        <f>1.0072/K101</f>
        <v>0.67146666666666677</v>
      </c>
      <c r="L104" s="1140">
        <f>1.0072/L101</f>
        <v>0.67146666666666677</v>
      </c>
      <c r="M104" s="1140">
        <f>1.0072/M101</f>
        <v>0.67146666666666677</v>
      </c>
      <c r="N104" s="1140">
        <f>1.0072/N101</f>
        <v>0.67146666666666677</v>
      </c>
    </row>
    <row r="105" spans="1:14">
      <c r="A105" s="3431"/>
      <c r="B105" s="1139">
        <v>4</v>
      </c>
      <c r="C105" s="1140">
        <f>0.9622/C101</f>
        <v>0.64146666666666674</v>
      </c>
      <c r="D105" s="1140">
        <f>0.9622/D101</f>
        <v>0.64146666666666674</v>
      </c>
      <c r="E105" s="1140">
        <f>0.8656/E101</f>
        <v>0.57706666666666673</v>
      </c>
      <c r="F105" s="1140">
        <f>0.8656/F101</f>
        <v>0.57706666666666673</v>
      </c>
      <c r="G105" s="1140">
        <f>0.8656/G101</f>
        <v>0.57706666666666673</v>
      </c>
      <c r="H105" s="1140">
        <f>0.8656/H101</f>
        <v>0.57706666666666673</v>
      </c>
      <c r="I105" s="1140">
        <f>0.8656/I101</f>
        <v>0.57706666666666673</v>
      </c>
      <c r="J105" s="1140">
        <f>0.7525/J101</f>
        <v>0.50166666666666659</v>
      </c>
      <c r="K105" s="1140">
        <f>0.7525/K101</f>
        <v>0.50166666666666659</v>
      </c>
      <c r="L105" s="1140">
        <f>0.7525/L101</f>
        <v>0.50166666666666659</v>
      </c>
      <c r="M105" s="1140">
        <f>0.7525/M101</f>
        <v>0.50166666666666659</v>
      </c>
      <c r="N105" s="1140">
        <f>0.7525/N101</f>
        <v>0.50166666666666659</v>
      </c>
    </row>
    <row r="106" spans="1:14">
      <c r="A106" s="3431"/>
      <c r="B106" s="1139">
        <v>5</v>
      </c>
      <c r="C106" s="1140">
        <f>0.8417/C101</f>
        <v>0.56113333333333337</v>
      </c>
      <c r="D106" s="1140">
        <f>0.8417/D101</f>
        <v>0.56113333333333337</v>
      </c>
      <c r="E106" s="1140">
        <f>0.7371/E101</f>
        <v>0.4914</v>
      </c>
      <c r="F106" s="1140">
        <f>0.7371/F101</f>
        <v>0.4914</v>
      </c>
      <c r="G106" s="1140">
        <f>0.7371/G101</f>
        <v>0.4914</v>
      </c>
      <c r="H106" s="1140">
        <f>0.7371/H101</f>
        <v>0.4914</v>
      </c>
      <c r="I106" s="1140">
        <f>0.7371/I101</f>
        <v>0.4914</v>
      </c>
      <c r="J106" s="1140">
        <f>0.5659/J101</f>
        <v>0.37726666666666664</v>
      </c>
      <c r="K106" s="1140">
        <f>0.5659/K101</f>
        <v>0.37726666666666664</v>
      </c>
      <c r="L106" s="1140">
        <f>0.5659/L101</f>
        <v>0.37726666666666664</v>
      </c>
      <c r="M106" s="1140">
        <f>0.5659/M101</f>
        <v>0.37726666666666664</v>
      </c>
      <c r="N106" s="1140">
        <f>0.5659/N101</f>
        <v>0.37726666666666664</v>
      </c>
    </row>
    <row r="107" spans="1:14">
      <c r="A107" s="3431"/>
      <c r="B107" s="1139">
        <v>6</v>
      </c>
      <c r="C107" s="1140">
        <f>0.7608/C101</f>
        <v>0.50719999999999998</v>
      </c>
      <c r="D107" s="1140">
        <f>0.7608/D101</f>
        <v>0.50719999999999998</v>
      </c>
      <c r="E107" s="1140">
        <f>0.6482/E101</f>
        <v>0.43213333333333331</v>
      </c>
      <c r="F107" s="1140">
        <f>0.6482/F101</f>
        <v>0.43213333333333331</v>
      </c>
      <c r="G107" s="1140">
        <f>0.6482/G101</f>
        <v>0.43213333333333331</v>
      </c>
      <c r="H107" s="1140">
        <f>0.6482/H101</f>
        <v>0.43213333333333331</v>
      </c>
      <c r="I107" s="1140">
        <f>0.6482/I101</f>
        <v>0.43213333333333331</v>
      </c>
      <c r="J107" s="1140">
        <f>0.4525/J101</f>
        <v>0.30166666666666669</v>
      </c>
      <c r="K107" s="1140">
        <f>0.4525/K101</f>
        <v>0.30166666666666669</v>
      </c>
      <c r="L107" s="1140">
        <f>0.4525/L101</f>
        <v>0.30166666666666669</v>
      </c>
      <c r="M107" s="1140">
        <f>0.4525/M101</f>
        <v>0.30166666666666669</v>
      </c>
      <c r="N107" s="1140">
        <f>0.4525/N101</f>
        <v>0.30166666666666669</v>
      </c>
    </row>
    <row r="108" spans="1:14">
      <c r="A108" s="3431"/>
      <c r="B108" s="3433"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2"/>
      <c r="B109" s="3434"/>
      <c r="C109" s="1142">
        <f>(-0.163*(C108^2)-0.59*C108+7617)*(10^(-4))/C101</f>
        <v>0.5067898666666667</v>
      </c>
      <c r="D109" s="1142">
        <f>(-0.163*(D108^2)-0.59*D108+7617)*(10^(-4))/D101</f>
        <v>0.5067898666666667</v>
      </c>
      <c r="E109" s="1142">
        <f>(-0.161*(E108^2)-7.509*E108+6533)*(10^(-4))/E101</f>
        <v>0.43084159999999999</v>
      </c>
      <c r="F109" s="1142">
        <f>(-0.161*(F108^2)-7.509*F108+6533)*(10^(-4))/F101</f>
        <v>0.43084159999999999</v>
      </c>
      <c r="G109" s="1142">
        <f>(-0.161*(G108^2)-7.509*G108+6533)*(10^(-4))/G101</f>
        <v>0.43084159999999999</v>
      </c>
      <c r="H109" s="1142">
        <f>(-0.161*(H108^2)-7.509*H108+6533)*(10^(-4))/H101</f>
        <v>0.43084159999999999</v>
      </c>
      <c r="I109" s="1142">
        <f>(-0.161*(I108^2)-7.509*I108+6533)*(10^(-4))/I101</f>
        <v>0.43084159999999999</v>
      </c>
      <c r="J109" s="1142">
        <f>(-0.214*(J108^2)-21.991*J108+4665)*(10^(-4))/J101</f>
        <v>0.29835840000000002</v>
      </c>
      <c r="K109" s="1142">
        <f>(-0.214*(K108^2)-21.991*K108+4665)*(10^(-4))/K101</f>
        <v>0.29835840000000002</v>
      </c>
      <c r="L109" s="1142">
        <f>(-0.214*(L108^2)-21.991*L108+4665)*(10^(-4))/L101</f>
        <v>0.29835840000000002</v>
      </c>
      <c r="M109" s="1142">
        <f>(-0.214*(M108^2)-21.991*M108+4665)*(10^(-4))/M101</f>
        <v>0.29835840000000002</v>
      </c>
      <c r="N109" s="1142">
        <f>(-0.214*(N108^2)-21.991*N108+4665)*(10^(-4))/N101</f>
        <v>0.29835840000000002</v>
      </c>
    </row>
    <row r="110" spans="1:14">
      <c r="A110" s="3416" t="s">
        <v>1638</v>
      </c>
      <c r="B110" s="3416"/>
      <c r="C110" s="3416"/>
      <c r="D110" s="3416"/>
      <c r="E110" s="3416"/>
      <c r="F110" s="3416"/>
      <c r="G110" s="3416"/>
      <c r="H110" s="3416"/>
      <c r="I110" s="3416"/>
      <c r="J110" s="3416"/>
      <c r="K110" s="2411"/>
      <c r="L110" s="2411"/>
      <c r="M110" s="2411"/>
      <c r="N110" s="2411"/>
    </row>
    <row r="112" spans="1:14" ht="12.6" thickBot="1"/>
    <row r="113" spans="1:13" ht="25.8" thickBot="1">
      <c r="A113" s="1016" t="s">
        <v>895</v>
      </c>
      <c r="B113" s="2414">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2980</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3" t="s">
        <v>1006</v>
      </c>
      <c r="B18" s="1150" t="s">
        <v>1445</v>
      </c>
      <c r="C18" s="1127" t="s">
        <v>1446</v>
      </c>
      <c r="D18" s="1128"/>
      <c r="E18" s="1150">
        <v>1</v>
      </c>
      <c r="F18" s="1129" t="s">
        <v>1447</v>
      </c>
      <c r="G18" s="1130"/>
      <c r="H18" s="1101"/>
      <c r="I18" s="1101"/>
    </row>
    <row r="19" spans="1:9" s="1585" customFormat="1" ht="19.5" customHeight="1">
      <c r="A19" s="3423"/>
      <c r="B19" s="3423" t="s">
        <v>1448</v>
      </c>
      <c r="C19" s="1127" t="s">
        <v>1449</v>
      </c>
      <c r="D19" s="1128"/>
      <c r="E19" s="1150">
        <v>0.9</v>
      </c>
      <c r="F19" s="1129" t="s">
        <v>1450</v>
      </c>
      <c r="G19" s="1130"/>
      <c r="H19" s="1101"/>
      <c r="I19" s="1101"/>
    </row>
    <row r="20" spans="1:9" s="1585" customFormat="1" ht="19.5" customHeight="1">
      <c r="A20" s="3423"/>
      <c r="B20" s="3423"/>
      <c r="C20" s="1127" t="s">
        <v>1451</v>
      </c>
      <c r="D20" s="1128"/>
      <c r="E20" s="1150">
        <v>1.1000000000000001</v>
      </c>
      <c r="F20" s="1129" t="s">
        <v>1452</v>
      </c>
      <c r="G20" s="1130"/>
      <c r="H20" s="1101"/>
      <c r="I20" s="1101"/>
    </row>
    <row r="21" spans="1:9" s="1585" customFormat="1" ht="19.5" customHeight="1">
      <c r="A21" s="3423"/>
      <c r="B21" s="3423"/>
      <c r="C21" s="1127" t="s">
        <v>1453</v>
      </c>
      <c r="D21" s="1128"/>
      <c r="E21" s="1150">
        <v>0.8</v>
      </c>
      <c r="F21" s="1129" t="s">
        <v>1454</v>
      </c>
      <c r="G21" s="1130"/>
      <c r="H21" s="1101"/>
      <c r="I21" s="1101"/>
    </row>
    <row r="22" spans="1:9" s="1585" customFormat="1" ht="19.5" customHeight="1">
      <c r="A22" s="3423"/>
      <c r="B22" s="3423"/>
      <c r="C22" s="1127" t="s">
        <v>1455</v>
      </c>
      <c r="D22" s="1128"/>
      <c r="E22" s="1150">
        <v>0.5</v>
      </c>
      <c r="F22" s="1129"/>
      <c r="G22" s="1130"/>
      <c r="H22" s="1101"/>
      <c r="I22" s="1101"/>
    </row>
    <row r="23" spans="1:9" s="1585" customFormat="1" ht="19.5" customHeight="1">
      <c r="A23" s="3423" t="s">
        <v>1028</v>
      </c>
      <c r="B23" s="1150" t="s">
        <v>1445</v>
      </c>
      <c r="C23" s="1127" t="s">
        <v>1456</v>
      </c>
      <c r="D23" s="1128"/>
      <c r="E23" s="1150">
        <v>1</v>
      </c>
      <c r="F23" s="1129" t="s">
        <v>1457</v>
      </c>
      <c r="G23" s="1130"/>
      <c r="H23" s="1101"/>
      <c r="I23" s="1101"/>
    </row>
    <row r="24" spans="1:9" s="1585" customFormat="1" ht="19.5" customHeight="1">
      <c r="A24" s="3423"/>
      <c r="B24" s="3423" t="s">
        <v>1448</v>
      </c>
      <c r="C24" s="1127" t="s">
        <v>1458</v>
      </c>
      <c r="D24" s="1128"/>
      <c r="E24" s="1150">
        <v>0.5</v>
      </c>
      <c r="F24" s="1129"/>
      <c r="G24" s="1130"/>
      <c r="H24" s="1101"/>
      <c r="I24" s="1101"/>
    </row>
    <row r="25" spans="1:9" s="1585" customFormat="1" ht="19.5" customHeight="1">
      <c r="A25" s="3423"/>
      <c r="B25" s="3423"/>
      <c r="C25" s="1127" t="s">
        <v>1459</v>
      </c>
      <c r="D25" s="1128"/>
      <c r="E25" s="1150">
        <v>1.1000000000000001</v>
      </c>
      <c r="F25" s="1129"/>
      <c r="G25" s="1130"/>
      <c r="H25" s="1101"/>
      <c r="I25" s="1101"/>
    </row>
    <row r="26" spans="1:9" s="1585" customFormat="1" ht="19.5" customHeight="1">
      <c r="A26" s="3423"/>
      <c r="B26" s="3423"/>
      <c r="C26" s="1127" t="s">
        <v>1460</v>
      </c>
      <c r="D26" s="1128"/>
      <c r="E26" s="1150">
        <v>1.1000000000000001</v>
      </c>
      <c r="F26" s="1129"/>
      <c r="G26" s="1130"/>
      <c r="H26" s="1101"/>
      <c r="I26" s="1101"/>
    </row>
    <row r="27" spans="1:9" s="1585" customFormat="1" ht="19.5" customHeight="1">
      <c r="A27" s="3423"/>
      <c r="B27" s="3423"/>
      <c r="C27" s="1127" t="s">
        <v>1461</v>
      </c>
      <c r="D27" s="1128"/>
      <c r="E27" s="1150">
        <v>0.9</v>
      </c>
      <c r="F27" s="1129" t="s">
        <v>1462</v>
      </c>
      <c r="G27" s="1130"/>
      <c r="H27" s="1101"/>
      <c r="I27" s="1101"/>
    </row>
    <row r="28" spans="1:9" s="1585" customFormat="1" ht="19.5" customHeight="1">
      <c r="A28" s="3423"/>
      <c r="B28" s="3423"/>
      <c r="C28" s="1127" t="s">
        <v>1463</v>
      </c>
      <c r="D28" s="1128"/>
      <c r="E28" s="1150">
        <v>0.9</v>
      </c>
      <c r="F28" s="1129" t="s">
        <v>1464</v>
      </c>
      <c r="G28" s="1130"/>
      <c r="H28" s="1101"/>
      <c r="I28" s="1101"/>
    </row>
    <row r="29" spans="1:9" s="1585" customFormat="1" ht="19.5" customHeight="1">
      <c r="A29" s="3423"/>
      <c r="B29" s="3423"/>
      <c r="C29" s="1127" t="s">
        <v>1465</v>
      </c>
      <c r="D29" s="1128"/>
      <c r="E29" s="1150">
        <v>0.9</v>
      </c>
      <c r="F29" s="1129" t="s">
        <v>1466</v>
      </c>
      <c r="G29" s="1130"/>
      <c r="H29" s="1101"/>
      <c r="I29" s="1101"/>
    </row>
    <row r="30" spans="1:9" s="1585" customFormat="1" ht="19.5" customHeight="1">
      <c r="A30" s="3423"/>
      <c r="B30" s="3423"/>
      <c r="C30" s="1127" t="s">
        <v>1467</v>
      </c>
      <c r="D30" s="1128"/>
      <c r="E30" s="1150">
        <v>0.9</v>
      </c>
      <c r="F30" s="1129" t="s">
        <v>1468</v>
      </c>
      <c r="G30" s="1130"/>
      <c r="H30" s="1101"/>
      <c r="I30" s="1101"/>
    </row>
    <row r="31" spans="1:9" s="1585" customFormat="1" ht="19.5" customHeight="1">
      <c r="A31" s="3423"/>
      <c r="B31" s="3423"/>
      <c r="C31" s="1127" t="s">
        <v>1469</v>
      </c>
      <c r="D31" s="1128"/>
      <c r="E31" s="1150">
        <v>0.8</v>
      </c>
      <c r="F31" s="1129" t="s">
        <v>1470</v>
      </c>
      <c r="G31" s="1130"/>
      <c r="H31" s="1101"/>
      <c r="I31" s="1101"/>
    </row>
    <row r="32" spans="1:9" s="1585" customFormat="1" ht="19.5" customHeight="1">
      <c r="A32" s="3423"/>
      <c r="B32" s="3423"/>
      <c r="C32" s="1127" t="s">
        <v>1471</v>
      </c>
      <c r="D32" s="1128"/>
      <c r="E32" s="1150">
        <v>0.8</v>
      </c>
      <c r="F32" s="1129" t="s">
        <v>1472</v>
      </c>
      <c r="G32" s="1130"/>
      <c r="H32" s="1101"/>
      <c r="I32" s="1101"/>
    </row>
    <row r="33" spans="1:9" s="1585" customFormat="1" ht="19.5" customHeight="1">
      <c r="A33" s="3423" t="s">
        <v>1473</v>
      </c>
      <c r="B33" s="1150" t="s">
        <v>1445</v>
      </c>
      <c r="C33" s="1127" t="s">
        <v>1474</v>
      </c>
      <c r="D33" s="1128"/>
      <c r="E33" s="1150">
        <v>1</v>
      </c>
      <c r="F33" s="1129" t="s">
        <v>1475</v>
      </c>
      <c r="G33" s="1130"/>
      <c r="H33" s="1101"/>
      <c r="I33" s="1101"/>
    </row>
    <row r="34" spans="1:9" s="1585" customFormat="1" ht="19.5" customHeight="1">
      <c r="A34" s="3423"/>
      <c r="B34" s="1150" t="s">
        <v>1448</v>
      </c>
      <c r="C34" s="1127" t="s">
        <v>1476</v>
      </c>
      <c r="D34" s="1128"/>
      <c r="E34" s="1150">
        <v>1.5</v>
      </c>
      <c r="F34" s="1129" t="s">
        <v>1477</v>
      </c>
      <c r="G34" s="1130"/>
      <c r="H34" s="1101"/>
      <c r="I34" s="1101"/>
    </row>
    <row r="35" spans="1:9" s="1585" customFormat="1" ht="19.5" customHeight="1">
      <c r="A35" s="3423" t="s">
        <v>1431</v>
      </c>
      <c r="B35" s="1150" t="s">
        <v>1445</v>
      </c>
      <c r="C35" s="1127" t="s">
        <v>1478</v>
      </c>
      <c r="D35" s="1128"/>
      <c r="E35" s="1150">
        <v>1</v>
      </c>
      <c r="F35" s="1129" t="s">
        <v>1479</v>
      </c>
      <c r="G35" s="1130"/>
      <c r="H35" s="1101"/>
      <c r="I35" s="1101"/>
    </row>
    <row r="36" spans="1:9" s="1585" customFormat="1" ht="19.5" customHeight="1">
      <c r="A36" s="3423"/>
      <c r="B36" s="3423" t="s">
        <v>1448</v>
      </c>
      <c r="C36" s="1127" t="s">
        <v>1480</v>
      </c>
      <c r="D36" s="1128"/>
      <c r="E36" s="1150">
        <v>1</v>
      </c>
      <c r="F36" s="1129" t="s">
        <v>1481</v>
      </c>
      <c r="G36" s="1130"/>
      <c r="H36" s="1101"/>
      <c r="I36" s="1101"/>
    </row>
    <row r="37" spans="1:9" s="1585" customFormat="1" ht="19.5" customHeight="1">
      <c r="A37" s="3423"/>
      <c r="B37" s="3423"/>
      <c r="C37" s="1127" t="s">
        <v>1482</v>
      </c>
      <c r="D37" s="1128"/>
      <c r="E37" s="1150">
        <v>1.5</v>
      </c>
      <c r="F37" s="1129" t="s">
        <v>1483</v>
      </c>
      <c r="G37" s="1130"/>
      <c r="H37" s="1101"/>
      <c r="I37" s="1101"/>
    </row>
    <row r="38" spans="1:9" s="1585" customFormat="1" ht="19.5" customHeight="1">
      <c r="A38" s="3423"/>
      <c r="B38" s="3423"/>
      <c r="C38" s="1127" t="s">
        <v>1484</v>
      </c>
      <c r="D38" s="1128"/>
      <c r="E38" s="1150">
        <v>1</v>
      </c>
      <c r="F38" s="1129" t="s">
        <v>1485</v>
      </c>
      <c r="G38" s="1130"/>
      <c r="H38" s="1101"/>
      <c r="I38" s="1101"/>
    </row>
    <row r="39" spans="1:9" s="1585" customFormat="1" ht="19.5" customHeight="1">
      <c r="A39" s="3423"/>
      <c r="B39" s="3423"/>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23" t="s">
        <v>1500</v>
      </c>
      <c r="C61" s="1064" t="s">
        <v>1501</v>
      </c>
      <c r="D61" s="1064" t="s">
        <v>1502</v>
      </c>
      <c r="E61" s="1135">
        <v>0.5</v>
      </c>
      <c r="F61" s="1150">
        <v>80</v>
      </c>
      <c r="H61" s="1101">
        <f>SUMIF(C59:C119,基准地价!C8,E59:E119)</f>
        <v>0</v>
      </c>
    </row>
    <row r="62" spans="1:8" s="1101" customFormat="1" ht="36">
      <c r="A62" s="1150">
        <v>2</v>
      </c>
      <c r="B62" s="3423"/>
      <c r="C62" s="1064" t="s">
        <v>1503</v>
      </c>
      <c r="D62" s="1064" t="s">
        <v>1504</v>
      </c>
      <c r="E62" s="1135">
        <v>0.5</v>
      </c>
      <c r="F62" s="1150">
        <v>80</v>
      </c>
    </row>
    <row r="63" spans="1:8" s="1101" customFormat="1" ht="48">
      <c r="A63" s="1150">
        <v>3</v>
      </c>
      <c r="B63" s="3423"/>
      <c r="C63" s="1064" t="s">
        <v>1505</v>
      </c>
      <c r="D63" s="1064" t="s">
        <v>1506</v>
      </c>
      <c r="E63" s="1135">
        <v>0.5</v>
      </c>
      <c r="F63" s="1150">
        <v>80</v>
      </c>
    </row>
    <row r="64" spans="1:8" s="1101" customFormat="1" ht="48">
      <c r="A64" s="1150">
        <v>4</v>
      </c>
      <c r="B64" s="3423"/>
      <c r="C64" s="1064" t="s">
        <v>1507</v>
      </c>
      <c r="D64" s="1064" t="s">
        <v>1508</v>
      </c>
      <c r="E64" s="1135">
        <v>0.4</v>
      </c>
      <c r="F64" s="1150">
        <v>60</v>
      </c>
    </row>
    <row r="65" spans="1:6" s="1101" customFormat="1" ht="48">
      <c r="A65" s="1150">
        <v>5</v>
      </c>
      <c r="B65" s="3423"/>
      <c r="C65" s="1064" t="s">
        <v>1509</v>
      </c>
      <c r="D65" s="1064" t="s">
        <v>1510</v>
      </c>
      <c r="E65" s="1135">
        <v>0.2</v>
      </c>
      <c r="F65" s="1150">
        <v>30</v>
      </c>
    </row>
    <row r="66" spans="1:6" s="1101" customFormat="1" ht="48">
      <c r="A66" s="1150">
        <v>6</v>
      </c>
      <c r="B66" s="3423"/>
      <c r="C66" s="1064" t="s">
        <v>1511</v>
      </c>
      <c r="D66" s="1064" t="s">
        <v>1512</v>
      </c>
      <c r="E66" s="1135">
        <v>0.3</v>
      </c>
      <c r="F66" s="1150">
        <v>50</v>
      </c>
    </row>
    <row r="67" spans="1:6" s="1101" customFormat="1" ht="48">
      <c r="A67" s="1150">
        <v>7</v>
      </c>
      <c r="B67" s="3423"/>
      <c r="C67" s="1064" t="s">
        <v>1513</v>
      </c>
      <c r="D67" s="1064" t="s">
        <v>1514</v>
      </c>
      <c r="E67" s="1135">
        <v>0.2</v>
      </c>
      <c r="F67" s="1150">
        <v>30</v>
      </c>
    </row>
    <row r="68" spans="1:6" s="1101" customFormat="1" ht="48">
      <c r="A68" s="1150">
        <v>8</v>
      </c>
      <c r="B68" s="3423"/>
      <c r="C68" s="1064" t="s">
        <v>1515</v>
      </c>
      <c r="D68" s="1064" t="s">
        <v>1516</v>
      </c>
      <c r="E68" s="1135">
        <v>0.2</v>
      </c>
      <c r="F68" s="1150">
        <v>30</v>
      </c>
    </row>
    <row r="69" spans="1:6" s="1101" customFormat="1" ht="48">
      <c r="A69" s="1150">
        <v>9</v>
      </c>
      <c r="B69" s="3423"/>
      <c r="C69" s="1064" t="s">
        <v>1517</v>
      </c>
      <c r="D69" s="1064" t="s">
        <v>1518</v>
      </c>
      <c r="E69" s="1135">
        <v>0.2</v>
      </c>
      <c r="F69" s="1150">
        <v>30</v>
      </c>
    </row>
    <row r="70" spans="1:6" s="1101" customFormat="1" ht="60">
      <c r="A70" s="1150">
        <v>10</v>
      </c>
      <c r="B70" s="3423"/>
      <c r="C70" s="1064" t="s">
        <v>1519</v>
      </c>
      <c r="D70" s="1064" t="s">
        <v>1520</v>
      </c>
      <c r="E70" s="1135">
        <v>0.2</v>
      </c>
      <c r="F70" s="1150">
        <v>30</v>
      </c>
    </row>
    <row r="71" spans="1:6" s="1101" customFormat="1" ht="60">
      <c r="A71" s="1150">
        <v>11</v>
      </c>
      <c r="B71" s="3423"/>
      <c r="C71" s="1064" t="s">
        <v>1521</v>
      </c>
      <c r="D71" s="1064" t="s">
        <v>1522</v>
      </c>
      <c r="E71" s="1135">
        <v>0.2</v>
      </c>
      <c r="F71" s="1150">
        <v>30</v>
      </c>
    </row>
    <row r="72" spans="1:6" s="1101" customFormat="1" ht="36">
      <c r="A72" s="1150">
        <v>12</v>
      </c>
      <c r="B72" s="3423"/>
      <c r="C72" s="1064" t="s">
        <v>1523</v>
      </c>
      <c r="D72" s="1064" t="s">
        <v>1524</v>
      </c>
      <c r="E72" s="1135">
        <v>0.5</v>
      </c>
      <c r="F72" s="1150">
        <v>80</v>
      </c>
    </row>
    <row r="73" spans="1:6" s="1101" customFormat="1" ht="36">
      <c r="A73" s="1150">
        <v>13</v>
      </c>
      <c r="B73" s="3423"/>
      <c r="C73" s="1064" t="s">
        <v>1525</v>
      </c>
      <c r="D73" s="1064" t="s">
        <v>1526</v>
      </c>
      <c r="E73" s="1135">
        <v>0.4</v>
      </c>
      <c r="F73" s="1150">
        <v>60</v>
      </c>
    </row>
    <row r="74" spans="1:6" s="1101" customFormat="1" ht="36">
      <c r="A74" s="1150">
        <v>14</v>
      </c>
      <c r="B74" s="3423"/>
      <c r="C74" s="1064" t="s">
        <v>1527</v>
      </c>
      <c r="D74" s="1064" t="s">
        <v>1528</v>
      </c>
      <c r="E74" s="1135">
        <v>0.2</v>
      </c>
      <c r="F74" s="1150">
        <v>30</v>
      </c>
    </row>
    <row r="75" spans="1:6" s="1101" customFormat="1" ht="36">
      <c r="A75" s="1150">
        <v>15</v>
      </c>
      <c r="B75" s="3423"/>
      <c r="C75" s="1064" t="s">
        <v>1529</v>
      </c>
      <c r="D75" s="1064" t="s">
        <v>1530</v>
      </c>
      <c r="E75" s="1135">
        <v>0.2</v>
      </c>
      <c r="F75" s="1150">
        <v>30</v>
      </c>
    </row>
    <row r="76" spans="1:6" s="1101" customFormat="1" ht="36">
      <c r="A76" s="1150">
        <v>16</v>
      </c>
      <c r="B76" s="3423" t="s">
        <v>1531</v>
      </c>
      <c r="C76" s="1064" t="s">
        <v>1532</v>
      </c>
      <c r="D76" s="1064" t="s">
        <v>1533</v>
      </c>
      <c r="E76" s="1135">
        <v>0.5</v>
      </c>
      <c r="F76" s="1150">
        <v>80</v>
      </c>
    </row>
    <row r="77" spans="1:6" s="1101" customFormat="1" ht="36">
      <c r="A77" s="1150">
        <v>17</v>
      </c>
      <c r="B77" s="3423"/>
      <c r="C77" s="1064" t="s">
        <v>1534</v>
      </c>
      <c r="D77" s="1064" t="s">
        <v>1535</v>
      </c>
      <c r="E77" s="1135">
        <v>0.5</v>
      </c>
      <c r="F77" s="1150">
        <v>80</v>
      </c>
    </row>
    <row r="78" spans="1:6" s="1101" customFormat="1" ht="36">
      <c r="A78" s="1150">
        <v>18</v>
      </c>
      <c r="B78" s="3423"/>
      <c r="C78" s="1064" t="s">
        <v>1536</v>
      </c>
      <c r="D78" s="1064" t="s">
        <v>1537</v>
      </c>
      <c r="E78" s="1135">
        <v>0.2</v>
      </c>
      <c r="F78" s="1150">
        <v>30</v>
      </c>
    </row>
    <row r="79" spans="1:6" s="1101" customFormat="1" ht="36">
      <c r="A79" s="1150">
        <v>19</v>
      </c>
      <c r="B79" s="3423"/>
      <c r="C79" s="1064" t="s">
        <v>1538</v>
      </c>
      <c r="D79" s="1064" t="s">
        <v>1539</v>
      </c>
      <c r="E79" s="1135">
        <v>0.5</v>
      </c>
      <c r="F79" s="1150">
        <v>80</v>
      </c>
    </row>
    <row r="80" spans="1:6" s="1101" customFormat="1" ht="36">
      <c r="A80" s="1150">
        <v>20</v>
      </c>
      <c r="B80" s="3423"/>
      <c r="C80" s="1064" t="s">
        <v>1540</v>
      </c>
      <c r="D80" s="1064" t="s">
        <v>1541</v>
      </c>
      <c r="E80" s="1135">
        <v>0.2</v>
      </c>
      <c r="F80" s="1150">
        <v>30</v>
      </c>
    </row>
    <row r="81" spans="1:6" s="1101" customFormat="1" ht="36">
      <c r="A81" s="1150">
        <v>21</v>
      </c>
      <c r="B81" s="3423"/>
      <c r="C81" s="1064" t="s">
        <v>1542</v>
      </c>
      <c r="D81" s="1064" t="s">
        <v>1543</v>
      </c>
      <c r="E81" s="1135">
        <v>0.2</v>
      </c>
      <c r="F81" s="1150">
        <v>30</v>
      </c>
    </row>
    <row r="82" spans="1:6" s="1101" customFormat="1" ht="60">
      <c r="A82" s="1150">
        <v>22</v>
      </c>
      <c r="B82" s="3423"/>
      <c r="C82" s="1064" t="s">
        <v>1544</v>
      </c>
      <c r="D82" s="1064" t="s">
        <v>1545</v>
      </c>
      <c r="E82" s="1135">
        <v>0.2</v>
      </c>
      <c r="F82" s="1150">
        <v>30</v>
      </c>
    </row>
    <row r="83" spans="1:6" s="1101" customFormat="1" ht="60">
      <c r="A83" s="1150">
        <v>23</v>
      </c>
      <c r="B83" s="3423"/>
      <c r="C83" s="1064" t="s">
        <v>1546</v>
      </c>
      <c r="D83" s="1064" t="s">
        <v>1547</v>
      </c>
      <c r="E83" s="1135">
        <v>0.2</v>
      </c>
      <c r="F83" s="1150">
        <v>30</v>
      </c>
    </row>
    <row r="84" spans="1:6" s="1101" customFormat="1" ht="48">
      <c r="A84" s="1150">
        <v>24</v>
      </c>
      <c r="B84" s="3423"/>
      <c r="C84" s="1064" t="s">
        <v>1548</v>
      </c>
      <c r="D84" s="1064" t="s">
        <v>1549</v>
      </c>
      <c r="E84" s="1135">
        <v>0.2</v>
      </c>
      <c r="F84" s="1150">
        <v>30</v>
      </c>
    </row>
    <row r="85" spans="1:6" s="1101" customFormat="1" ht="36">
      <c r="A85" s="1150">
        <v>25</v>
      </c>
      <c r="B85" s="3423"/>
      <c r="C85" s="1064" t="s">
        <v>1550</v>
      </c>
      <c r="D85" s="1064" t="s">
        <v>1551</v>
      </c>
      <c r="E85" s="1135">
        <v>0.5</v>
      </c>
      <c r="F85" s="1150">
        <v>80</v>
      </c>
    </row>
    <row r="86" spans="1:6" s="1101" customFormat="1" ht="36">
      <c r="A86" s="1150">
        <v>26</v>
      </c>
      <c r="B86" s="3423"/>
      <c r="C86" s="1064" t="s">
        <v>1552</v>
      </c>
      <c r="D86" s="1064" t="s">
        <v>1553</v>
      </c>
      <c r="E86" s="1135">
        <v>0.2</v>
      </c>
      <c r="F86" s="1150">
        <v>30</v>
      </c>
    </row>
    <row r="87" spans="1:6" s="1101" customFormat="1" ht="36">
      <c r="A87" s="1150">
        <v>27</v>
      </c>
      <c r="B87" s="3423"/>
      <c r="C87" s="1064" t="s">
        <v>1554</v>
      </c>
      <c r="D87" s="1064" t="s">
        <v>1555</v>
      </c>
      <c r="E87" s="1135">
        <v>0.2</v>
      </c>
      <c r="F87" s="1150">
        <v>30</v>
      </c>
    </row>
    <row r="88" spans="1:6" s="1101" customFormat="1" ht="36">
      <c r="A88" s="1150">
        <v>28</v>
      </c>
      <c r="B88" s="3423"/>
      <c r="C88" s="1064" t="s">
        <v>1556</v>
      </c>
      <c r="D88" s="1064" t="s">
        <v>1557</v>
      </c>
      <c r="E88" s="1135">
        <v>0.2</v>
      </c>
      <c r="F88" s="1150">
        <v>30</v>
      </c>
    </row>
    <row r="89" spans="1:6" s="1101" customFormat="1" ht="36">
      <c r="A89" s="1150">
        <v>29</v>
      </c>
      <c r="B89" s="3423"/>
      <c r="C89" s="1064" t="s">
        <v>1558</v>
      </c>
      <c r="D89" s="1064" t="s">
        <v>1559</v>
      </c>
      <c r="E89" s="1135">
        <v>0.2</v>
      </c>
      <c r="F89" s="1150">
        <v>30</v>
      </c>
    </row>
    <row r="90" spans="1:6" s="1101" customFormat="1" ht="36">
      <c r="A90" s="1150">
        <v>30</v>
      </c>
      <c r="B90" s="3423"/>
      <c r="C90" s="1064" t="s">
        <v>1560</v>
      </c>
      <c r="D90" s="1064" t="s">
        <v>1561</v>
      </c>
      <c r="E90" s="1135">
        <v>0.2</v>
      </c>
      <c r="F90" s="1150">
        <v>30</v>
      </c>
    </row>
    <row r="91" spans="1:6" s="1101" customFormat="1" ht="48">
      <c r="A91" s="1150">
        <v>31</v>
      </c>
      <c r="B91" s="3423"/>
      <c r="C91" s="1064" t="s">
        <v>1562</v>
      </c>
      <c r="D91" s="1064" t="s">
        <v>1563</v>
      </c>
      <c r="E91" s="1135">
        <v>0.2</v>
      </c>
      <c r="F91" s="1150">
        <v>30</v>
      </c>
    </row>
    <row r="92" spans="1:6" s="1101" customFormat="1" ht="36">
      <c r="A92" s="1150">
        <v>32</v>
      </c>
      <c r="B92" s="3423" t="s">
        <v>1564</v>
      </c>
      <c r="C92" s="1150" t="s">
        <v>1565</v>
      </c>
      <c r="D92" s="1064" t="s">
        <v>1566</v>
      </c>
      <c r="E92" s="1135">
        <v>0.2</v>
      </c>
      <c r="F92" s="1150">
        <v>30</v>
      </c>
    </row>
    <row r="93" spans="1:6" s="1101" customFormat="1" ht="36">
      <c r="A93" s="1150">
        <v>33</v>
      </c>
      <c r="B93" s="3423"/>
      <c r="C93" s="1150" t="s">
        <v>1567</v>
      </c>
      <c r="D93" s="1064" t="s">
        <v>1568</v>
      </c>
      <c r="E93" s="1135">
        <v>0.2</v>
      </c>
      <c r="F93" s="1150">
        <v>30</v>
      </c>
    </row>
    <row r="94" spans="1:6" s="1101" customFormat="1" ht="60">
      <c r="A94" s="1150">
        <v>34</v>
      </c>
      <c r="B94" s="3423"/>
      <c r="C94" s="1150" t="s">
        <v>1569</v>
      </c>
      <c r="D94" s="1064" t="s">
        <v>1570</v>
      </c>
      <c r="E94" s="1135">
        <v>0.2</v>
      </c>
      <c r="F94" s="1150">
        <v>30</v>
      </c>
    </row>
    <row r="95" spans="1:6" s="1101" customFormat="1" ht="48">
      <c r="A95" s="1150">
        <v>35</v>
      </c>
      <c r="B95" s="3423"/>
      <c r="C95" s="1150" t="s">
        <v>1571</v>
      </c>
      <c r="D95" s="1064" t="s">
        <v>1572</v>
      </c>
      <c r="E95" s="1135">
        <v>0.2</v>
      </c>
      <c r="F95" s="1150">
        <v>30</v>
      </c>
    </row>
    <row r="96" spans="1:6" s="1101" customFormat="1" ht="72">
      <c r="A96" s="1150">
        <v>36</v>
      </c>
      <c r="B96" s="3423"/>
      <c r="C96" s="1064" t="s">
        <v>1573</v>
      </c>
      <c r="D96" s="1064" t="s">
        <v>1574</v>
      </c>
      <c r="E96" s="1135">
        <v>0.2</v>
      </c>
      <c r="F96" s="1150">
        <v>30</v>
      </c>
    </row>
    <row r="97" spans="1:6" s="1101" customFormat="1" ht="36">
      <c r="A97" s="1150">
        <v>37</v>
      </c>
      <c r="B97" s="3423"/>
      <c r="C97" s="1150" t="s">
        <v>1575</v>
      </c>
      <c r="D97" s="1064" t="s">
        <v>1576</v>
      </c>
      <c r="E97" s="1135">
        <v>0.2</v>
      </c>
      <c r="F97" s="1150">
        <v>30</v>
      </c>
    </row>
    <row r="98" spans="1:6" s="1101" customFormat="1" ht="36">
      <c r="A98" s="1150">
        <v>38</v>
      </c>
      <c r="B98" s="3423"/>
      <c r="C98" s="1150" t="s">
        <v>1577</v>
      </c>
      <c r="D98" s="1064" t="s">
        <v>1578</v>
      </c>
      <c r="E98" s="1135">
        <v>0.2</v>
      </c>
      <c r="F98" s="1150">
        <v>30</v>
      </c>
    </row>
    <row r="99" spans="1:6" s="1101" customFormat="1" ht="36">
      <c r="A99" s="1150">
        <v>39</v>
      </c>
      <c r="B99" s="3423" t="s">
        <v>1579</v>
      </c>
      <c r="C99" s="1150" t="s">
        <v>1580</v>
      </c>
      <c r="D99" s="1064" t="s">
        <v>1581</v>
      </c>
      <c r="E99" s="1135">
        <v>0.3</v>
      </c>
      <c r="F99" s="1150">
        <v>50</v>
      </c>
    </row>
    <row r="100" spans="1:6" s="1101" customFormat="1" ht="36">
      <c r="A100" s="1150">
        <v>40</v>
      </c>
      <c r="B100" s="3423"/>
      <c r="C100" s="1150" t="s">
        <v>1582</v>
      </c>
      <c r="D100" s="1064" t="s">
        <v>1583</v>
      </c>
      <c r="E100" s="1135">
        <v>0.2</v>
      </c>
      <c r="F100" s="1150">
        <v>30</v>
      </c>
    </row>
    <row r="101" spans="1:6" s="1101" customFormat="1" ht="36">
      <c r="A101" s="1150">
        <v>41</v>
      </c>
      <c r="B101" s="3423"/>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23" t="s">
        <v>1594</v>
      </c>
      <c r="C105" s="1150" t="s">
        <v>1595</v>
      </c>
      <c r="D105" s="1064" t="s">
        <v>1596</v>
      </c>
      <c r="E105" s="1135">
        <v>0.2</v>
      </c>
      <c r="F105" s="1150">
        <v>30</v>
      </c>
    </row>
    <row r="106" spans="1:6" s="1101" customFormat="1" ht="48">
      <c r="A106" s="1150">
        <v>46</v>
      </c>
      <c r="B106" s="3423"/>
      <c r="C106" s="1150" t="s">
        <v>1597</v>
      </c>
      <c r="D106" s="1064" t="s">
        <v>1598</v>
      </c>
      <c r="E106" s="1135">
        <v>0.2</v>
      </c>
      <c r="F106" s="1150">
        <v>30</v>
      </c>
    </row>
    <row r="107" spans="1:6" s="1101" customFormat="1" ht="36">
      <c r="A107" s="1150">
        <v>47</v>
      </c>
      <c r="B107" s="3423" t="s">
        <v>1599</v>
      </c>
      <c r="C107" s="1150" t="s">
        <v>1600</v>
      </c>
      <c r="D107" s="1064" t="s">
        <v>1601</v>
      </c>
      <c r="E107" s="1135">
        <v>0.3</v>
      </c>
      <c r="F107" s="1150">
        <v>50</v>
      </c>
    </row>
    <row r="108" spans="1:6" s="1101" customFormat="1" ht="48">
      <c r="A108" s="1150">
        <v>48</v>
      </c>
      <c r="B108" s="3423"/>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23" t="s">
        <v>1610</v>
      </c>
      <c r="C111" s="1150" t="s">
        <v>1611</v>
      </c>
      <c r="D111" s="1064" t="s">
        <v>1612</v>
      </c>
      <c r="E111" s="1135">
        <v>0.2</v>
      </c>
      <c r="F111" s="1150">
        <v>30</v>
      </c>
    </row>
    <row r="112" spans="1:6" s="1101" customFormat="1" ht="36">
      <c r="A112" s="1150">
        <v>52</v>
      </c>
      <c r="B112" s="3423"/>
      <c r="C112" s="1150" t="s">
        <v>1613</v>
      </c>
      <c r="D112" s="1064" t="s">
        <v>1614</v>
      </c>
      <c r="E112" s="1135">
        <v>0.2</v>
      </c>
      <c r="F112" s="1150">
        <v>30</v>
      </c>
    </row>
    <row r="113" spans="1:14" s="1101" customFormat="1" ht="36">
      <c r="A113" s="1150">
        <v>53</v>
      </c>
      <c r="B113" s="3423"/>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23" t="s">
        <v>1623</v>
      </c>
      <c r="C116" s="1150" t="s">
        <v>1624</v>
      </c>
      <c r="D116" s="1064" t="s">
        <v>1625</v>
      </c>
      <c r="E116" s="1135">
        <v>0.2</v>
      </c>
      <c r="F116" s="1150">
        <v>30</v>
      </c>
    </row>
    <row r="117" spans="1:14" ht="36">
      <c r="A117" s="1150">
        <v>57</v>
      </c>
      <c r="B117" s="3423"/>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22" t="s">
        <v>1632</v>
      </c>
      <c r="B121" s="3422"/>
      <c r="C121" s="3422"/>
      <c r="D121" s="3422"/>
      <c r="E121" s="3422"/>
      <c r="F121" s="3422"/>
      <c r="G121" s="3422"/>
      <c r="H121" s="3422"/>
      <c r="I121" s="3422"/>
      <c r="J121" s="342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7" t="s">
        <v>1038</v>
      </c>
      <c r="B1" s="3437"/>
      <c r="C1" s="3437"/>
      <c r="D1" s="3437"/>
      <c r="E1" s="3437"/>
      <c r="F1" s="3437"/>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38" t="s">
        <v>1051</v>
      </c>
      <c r="B2" s="3438"/>
      <c r="C2" s="3438"/>
      <c r="D2" s="3438"/>
      <c r="E2" s="3438"/>
      <c r="F2" s="3438"/>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9"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0"/>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1" t="s">
        <v>2076</v>
      </c>
      <c r="B1" s="3441"/>
    </row>
    <row r="2" spans="1:6" ht="15" thickBot="1">
      <c r="A2" s="1835"/>
      <c r="B2" s="1835"/>
    </row>
    <row r="3" spans="1:6" ht="15" thickBot="1">
      <c r="A3" s="1835"/>
      <c r="B3" s="1835"/>
      <c r="C3" s="1836" t="s">
        <v>2077</v>
      </c>
      <c r="D3" s="1836" t="s">
        <v>2078</v>
      </c>
      <c r="E3" s="1836" t="s">
        <v>2079</v>
      </c>
      <c r="F3" s="1836" t="s">
        <v>2080</v>
      </c>
    </row>
    <row r="4" spans="1:6" ht="15" thickBot="1">
      <c r="A4" s="1837" t="s">
        <v>2081</v>
      </c>
      <c r="B4" s="1838" t="s">
        <v>2082</v>
      </c>
      <c r="C4" s="1836"/>
      <c r="D4" s="1836"/>
      <c r="E4" s="1836"/>
      <c r="F4" s="1836"/>
    </row>
    <row r="5" spans="1:6" ht="15" thickBot="1">
      <c r="A5" s="1839" t="s">
        <v>2083</v>
      </c>
      <c r="B5" s="1840" t="s">
        <v>2084</v>
      </c>
      <c r="C5" s="1841">
        <v>8.8999999999999996E-2</v>
      </c>
      <c r="D5" s="1841">
        <v>7.3999999999999996E-2</v>
      </c>
      <c r="E5" s="1841">
        <v>7.4999999999999997E-2</v>
      </c>
      <c r="F5" s="1842">
        <v>0.1</v>
      </c>
    </row>
    <row r="6" spans="1:6" ht="15" thickBot="1">
      <c r="A6" s="1839" t="s">
        <v>1095</v>
      </c>
      <c r="B6" s="1843" t="s">
        <v>2085</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2086</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2087</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2088</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2089</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2090</v>
      </c>
      <c r="C72" s="1853"/>
      <c r="D72" s="1853"/>
      <c r="E72" s="1853"/>
      <c r="F72" s="1845">
        <v>0.05</v>
      </c>
    </row>
    <row r="73" spans="1:6" ht="24.6" thickBot="1">
      <c r="A73" s="1839" t="s">
        <v>924</v>
      </c>
      <c r="B73" s="1843" t="s">
        <v>2091</v>
      </c>
      <c r="C73" s="1853"/>
      <c r="D73" s="1853"/>
      <c r="E73" s="1853"/>
      <c r="F73" s="1845">
        <v>0.05</v>
      </c>
    </row>
    <row r="74" spans="1:6" ht="24.6" thickBot="1">
      <c r="A74" s="1839" t="s">
        <v>924</v>
      </c>
      <c r="B74" s="1843" t="s">
        <v>2092</v>
      </c>
      <c r="C74" s="1853"/>
      <c r="D74" s="1853"/>
      <c r="E74" s="1853"/>
      <c r="F74" s="1845">
        <v>0.05</v>
      </c>
    </row>
    <row r="75" spans="1:6" ht="24.6" thickBot="1">
      <c r="A75" s="1847" t="s">
        <v>924</v>
      </c>
      <c r="B75" s="1854" t="s">
        <v>2093</v>
      </c>
      <c r="C75" s="1850"/>
      <c r="D75" s="1850"/>
      <c r="E75" s="1850"/>
      <c r="F75" s="1855">
        <v>0.05</v>
      </c>
    </row>
    <row r="76" spans="1:6" ht="15" thickBot="1">
      <c r="A76" s="1839" t="s">
        <v>1406</v>
      </c>
      <c r="B76" s="1840" t="s">
        <v>2094</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2095</v>
      </c>
      <c r="C102" s="1853"/>
      <c r="D102" s="1853"/>
      <c r="E102" s="1853"/>
      <c r="F102" s="1845">
        <v>0.05</v>
      </c>
    </row>
    <row r="103" spans="1:6" ht="24.6" thickBot="1">
      <c r="A103" s="1839" t="s">
        <v>1406</v>
      </c>
      <c r="B103" s="1843" t="s">
        <v>2096</v>
      </c>
      <c r="C103" s="1853"/>
      <c r="D103" s="1853"/>
      <c r="E103" s="1853"/>
      <c r="F103" s="1845">
        <v>0.05</v>
      </c>
    </row>
    <row r="104" spans="1:6" ht="15" thickBot="1">
      <c r="A104" s="1839" t="s">
        <v>1406</v>
      </c>
      <c r="B104" s="1843" t="s">
        <v>2097</v>
      </c>
      <c r="C104" s="1853"/>
      <c r="D104" s="1853"/>
      <c r="E104" s="1853"/>
      <c r="F104" s="1845">
        <v>0.05</v>
      </c>
    </row>
    <row r="105" spans="1:6" ht="24.6" thickBot="1">
      <c r="A105" s="1839" t="s">
        <v>1406</v>
      </c>
      <c r="B105" s="1843" t="s">
        <v>2098</v>
      </c>
      <c r="C105" s="1853"/>
      <c r="D105" s="1853"/>
      <c r="E105" s="1853"/>
      <c r="F105" s="1845">
        <v>0.05</v>
      </c>
    </row>
    <row r="106" spans="1:6" ht="24.6" thickBot="1">
      <c r="A106" s="1839" t="s">
        <v>1406</v>
      </c>
      <c r="B106" s="1843" t="s">
        <v>2099</v>
      </c>
      <c r="C106" s="1853"/>
      <c r="D106" s="1853"/>
      <c r="E106" s="1853"/>
      <c r="F106" s="1845">
        <v>0.05</v>
      </c>
    </row>
    <row r="107" spans="1:6" ht="24.6" thickBot="1">
      <c r="A107" s="1839" t="s">
        <v>1406</v>
      </c>
      <c r="B107" s="1843" t="s">
        <v>2100</v>
      </c>
      <c r="C107" s="1853"/>
      <c r="D107" s="1853"/>
      <c r="E107" s="1853"/>
      <c r="F107" s="1845">
        <v>0.05</v>
      </c>
    </row>
    <row r="108" spans="1:6" ht="24.6" thickBot="1">
      <c r="A108" s="1839" t="s">
        <v>1406</v>
      </c>
      <c r="B108" s="1843" t="s">
        <v>2101</v>
      </c>
      <c r="C108" s="1853"/>
      <c r="D108" s="1853"/>
      <c r="E108" s="1853"/>
      <c r="F108" s="1845">
        <v>0.05</v>
      </c>
    </row>
    <row r="109" spans="1:6" ht="24.6" thickBot="1">
      <c r="A109" s="1847" t="s">
        <v>1406</v>
      </c>
      <c r="B109" s="1854" t="s">
        <v>2102</v>
      </c>
      <c r="C109" s="1850"/>
      <c r="D109" s="1850"/>
      <c r="E109" s="1850"/>
      <c r="F109" s="1855">
        <v>0.05</v>
      </c>
    </row>
    <row r="110" spans="1:6" ht="15" thickBot="1">
      <c r="A110" s="1839" t="s">
        <v>1408</v>
      </c>
      <c r="B110" s="1840" t="s">
        <v>2103</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2104</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2105</v>
      </c>
      <c r="C138" s="1844">
        <v>0.105</v>
      </c>
      <c r="D138" s="1844">
        <v>0.125</v>
      </c>
      <c r="E138" s="1844">
        <v>0.112</v>
      </c>
      <c r="F138" s="1852"/>
    </row>
    <row r="139" spans="1:6" ht="15" thickBot="1">
      <c r="A139" s="1839" t="s">
        <v>1408</v>
      </c>
      <c r="B139" s="1843" t="s">
        <v>2106</v>
      </c>
      <c r="C139" s="1844">
        <v>0.127</v>
      </c>
      <c r="D139" s="1844">
        <v>0.127</v>
      </c>
      <c r="E139" s="1844">
        <v>0.122</v>
      </c>
      <c r="F139" s="1845">
        <v>0.13</v>
      </c>
    </row>
    <row r="140" spans="1:6" ht="15" thickBot="1">
      <c r="A140" s="1839" t="s">
        <v>1408</v>
      </c>
      <c r="B140" s="1843" t="s">
        <v>2107</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2108</v>
      </c>
      <c r="C144" s="1857">
        <v>0.126</v>
      </c>
      <c r="D144" s="1857">
        <v>0.126</v>
      </c>
      <c r="E144" s="1857">
        <v>0.121</v>
      </c>
      <c r="F144" s="1852"/>
    </row>
    <row r="145" spans="1:6" ht="15" thickBot="1">
      <c r="A145" s="1847" t="s">
        <v>1408</v>
      </c>
      <c r="B145" s="1858" t="s">
        <v>2109</v>
      </c>
      <c r="C145" s="1859"/>
      <c r="D145" s="1859"/>
      <c r="E145" s="1859"/>
      <c r="F145" s="1860">
        <v>0.05</v>
      </c>
    </row>
    <row r="146" spans="1:6" ht="24.6" thickBot="1">
      <c r="A146" s="1861" t="s">
        <v>1408</v>
      </c>
      <c r="B146" s="1846" t="s">
        <v>2110</v>
      </c>
      <c r="C146" s="1853"/>
      <c r="D146" s="1853"/>
      <c r="E146" s="1853"/>
      <c r="F146" s="1862">
        <v>0.05</v>
      </c>
    </row>
    <row r="147" spans="1:6" ht="24.6" thickBot="1">
      <c r="A147" s="1839" t="s">
        <v>1408</v>
      </c>
      <c r="B147" s="1843" t="s">
        <v>2111</v>
      </c>
      <c r="C147" s="1853"/>
      <c r="D147" s="1853"/>
      <c r="E147" s="1853"/>
      <c r="F147" s="1845">
        <v>0.05</v>
      </c>
    </row>
    <row r="148" spans="1:6" ht="24.6" thickBot="1">
      <c r="A148" s="1839" t="s">
        <v>1408</v>
      </c>
      <c r="B148" s="1843" t="s">
        <v>2112</v>
      </c>
      <c r="C148" s="1853"/>
      <c r="D148" s="1853"/>
      <c r="E148" s="1853"/>
      <c r="F148" s="1845">
        <v>0.05</v>
      </c>
    </row>
    <row r="149" spans="1:6" ht="24.6" thickBot="1">
      <c r="A149" s="1839" t="s">
        <v>1408</v>
      </c>
      <c r="B149" s="1843" t="s">
        <v>2113</v>
      </c>
      <c r="C149" s="1853"/>
      <c r="D149" s="1853"/>
      <c r="E149" s="1853"/>
      <c r="F149" s="1845">
        <v>0.05</v>
      </c>
    </row>
    <row r="150" spans="1:6" ht="24.6" thickBot="1">
      <c r="A150" s="1839" t="s">
        <v>1408</v>
      </c>
      <c r="B150" s="1843" t="s">
        <v>2114</v>
      </c>
      <c r="C150" s="1853"/>
      <c r="D150" s="1853"/>
      <c r="E150" s="1853"/>
      <c r="F150" s="1845">
        <v>0.05</v>
      </c>
    </row>
    <row r="151" spans="1:6" ht="24.6" thickBot="1">
      <c r="A151" s="1839" t="s">
        <v>1408</v>
      </c>
      <c r="B151" s="1843" t="s">
        <v>2115</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2116</v>
      </c>
      <c r="C153" s="1853"/>
      <c r="D153" s="1853"/>
      <c r="E153" s="1853"/>
      <c r="F153" s="1845">
        <v>0.05</v>
      </c>
    </row>
    <row r="154" spans="1:6" ht="15" thickBot="1">
      <c r="A154" s="1839" t="s">
        <v>1408</v>
      </c>
      <c r="B154" s="1843" t="s">
        <v>2117</v>
      </c>
      <c r="C154" s="1853"/>
      <c r="D154" s="1853"/>
      <c r="E154" s="1853"/>
      <c r="F154" s="1845">
        <v>0.05</v>
      </c>
    </row>
    <row r="155" spans="1:6" ht="24.6" thickBot="1">
      <c r="A155" s="1839" t="s">
        <v>1408</v>
      </c>
      <c r="B155" s="1843" t="s">
        <v>2118</v>
      </c>
      <c r="C155" s="1853"/>
      <c r="D155" s="1853"/>
      <c r="E155" s="1853"/>
      <c r="F155" s="1845">
        <v>0.05</v>
      </c>
    </row>
    <row r="156" spans="1:6" ht="24.6" thickBot="1">
      <c r="A156" s="1839" t="s">
        <v>1408</v>
      </c>
      <c r="B156" s="1843" t="s">
        <v>2119</v>
      </c>
      <c r="C156" s="1853"/>
      <c r="D156" s="1853"/>
      <c r="E156" s="1853"/>
      <c r="F156" s="1845">
        <v>0.05</v>
      </c>
    </row>
    <row r="157" spans="1:6" ht="24.6" thickBot="1">
      <c r="A157" s="1847" t="s">
        <v>1408</v>
      </c>
      <c r="B157" s="1854" t="s">
        <v>2120</v>
      </c>
      <c r="C157" s="1850"/>
      <c r="D157" s="1850"/>
      <c r="E157" s="1850"/>
      <c r="F157" s="1855">
        <v>0.05</v>
      </c>
    </row>
    <row r="158" spans="1:6" ht="15" thickBot="1">
      <c r="A158" s="1839" t="s">
        <v>1410</v>
      </c>
      <c r="B158" s="1840" t="s">
        <v>2121</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2122</v>
      </c>
      <c r="C171" s="1844">
        <v>0.127</v>
      </c>
      <c r="D171" s="1844">
        <v>0.126</v>
      </c>
      <c r="E171" s="1844">
        <v>0.126</v>
      </c>
      <c r="F171" s="1845">
        <v>0.11799999999999999</v>
      </c>
    </row>
    <row r="172" spans="1:6" ht="15" thickBot="1">
      <c r="A172" s="1839" t="s">
        <v>1410</v>
      </c>
      <c r="B172" s="1843" t="s">
        <v>2123</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2124</v>
      </c>
      <c r="C174" s="1844">
        <v>0.13</v>
      </c>
      <c r="D174" s="1844">
        <v>0.13</v>
      </c>
      <c r="E174" s="1844">
        <v>0.13</v>
      </c>
      <c r="F174" s="1845">
        <v>0.13</v>
      </c>
    </row>
    <row r="175" spans="1:6" ht="15" thickBot="1">
      <c r="A175" s="1839" t="s">
        <v>1410</v>
      </c>
      <c r="B175" s="1843" t="s">
        <v>2125</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2126</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2127</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2128</v>
      </c>
      <c r="C185" s="1844">
        <v>0.127</v>
      </c>
      <c r="D185" s="1844">
        <v>0.127</v>
      </c>
      <c r="E185" s="1844">
        <v>0.128</v>
      </c>
      <c r="F185" s="1845">
        <v>0.13</v>
      </c>
    </row>
    <row r="186" spans="1:6" ht="24.6" thickBot="1">
      <c r="A186" s="1839" t="s">
        <v>1410</v>
      </c>
      <c r="B186" s="1843" t="s">
        <v>2129</v>
      </c>
      <c r="C186" s="1853"/>
      <c r="D186" s="1853"/>
      <c r="E186" s="1853"/>
      <c r="F186" s="1845">
        <v>0.05</v>
      </c>
    </row>
    <row r="187" spans="1:6" ht="15" thickBot="1">
      <c r="A187" s="1839" t="s">
        <v>1410</v>
      </c>
      <c r="B187" s="1843" t="s">
        <v>2130</v>
      </c>
      <c r="C187" s="1853"/>
      <c r="D187" s="1853"/>
      <c r="E187" s="1853"/>
      <c r="F187" s="1845">
        <v>0.05</v>
      </c>
    </row>
    <row r="188" spans="1:6" ht="24.6" thickBot="1">
      <c r="A188" s="1839" t="s">
        <v>1410</v>
      </c>
      <c r="B188" s="1843" t="s">
        <v>2131</v>
      </c>
      <c r="C188" s="1853"/>
      <c r="D188" s="1853"/>
      <c r="E188" s="1853"/>
      <c r="F188" s="1845">
        <v>0.05</v>
      </c>
    </row>
    <row r="189" spans="1:6" ht="24.6" thickBot="1">
      <c r="A189" s="1839" t="s">
        <v>1410</v>
      </c>
      <c r="B189" s="1843" t="s">
        <v>2132</v>
      </c>
      <c r="C189" s="1853"/>
      <c r="D189" s="1853"/>
      <c r="E189" s="1853"/>
      <c r="F189" s="1845">
        <v>0.05</v>
      </c>
    </row>
    <row r="190" spans="1:6" ht="24.6" thickBot="1">
      <c r="A190" s="1839" t="s">
        <v>1410</v>
      </c>
      <c r="B190" s="1843" t="s">
        <v>2133</v>
      </c>
      <c r="C190" s="1853"/>
      <c r="D190" s="1853"/>
      <c r="E190" s="1853"/>
      <c r="F190" s="1845">
        <v>0.05</v>
      </c>
    </row>
    <row r="191" spans="1:6" ht="24.6" thickBot="1">
      <c r="A191" s="1839" t="s">
        <v>1410</v>
      </c>
      <c r="B191" s="1843" t="s">
        <v>2134</v>
      </c>
      <c r="C191" s="1853"/>
      <c r="D191" s="1853"/>
      <c r="E191" s="1853"/>
      <c r="F191" s="1845">
        <v>0.05</v>
      </c>
    </row>
    <row r="192" spans="1:6" ht="24.6" thickBot="1">
      <c r="A192" s="1839" t="s">
        <v>1410</v>
      </c>
      <c r="B192" s="1843" t="s">
        <v>2135</v>
      </c>
      <c r="C192" s="1853"/>
      <c r="D192" s="1853"/>
      <c r="E192" s="1853"/>
      <c r="F192" s="1845">
        <v>0.05</v>
      </c>
    </row>
    <row r="193" spans="1:6" ht="24.6" thickBot="1">
      <c r="A193" s="1839" t="s">
        <v>1410</v>
      </c>
      <c r="B193" s="1843" t="s">
        <v>2136</v>
      </c>
      <c r="C193" s="1853"/>
      <c r="D193" s="1853"/>
      <c r="E193" s="1853"/>
      <c r="F193" s="1845">
        <v>0.05</v>
      </c>
    </row>
    <row r="194" spans="1:6" ht="24.6" thickBot="1">
      <c r="A194" s="1839" t="s">
        <v>1410</v>
      </c>
      <c r="B194" s="1843" t="s">
        <v>2137</v>
      </c>
      <c r="C194" s="1853"/>
      <c r="D194" s="1853"/>
      <c r="E194" s="1853"/>
      <c r="F194" s="1845">
        <v>0.05</v>
      </c>
    </row>
    <row r="195" spans="1:6" ht="15" thickBot="1">
      <c r="A195" s="1839" t="s">
        <v>1410</v>
      </c>
      <c r="B195" s="1843" t="s">
        <v>2138</v>
      </c>
      <c r="C195" s="1853"/>
      <c r="D195" s="1853"/>
      <c r="E195" s="1853"/>
      <c r="F195" s="1845">
        <v>0.05</v>
      </c>
    </row>
    <row r="196" spans="1:6" ht="24.6" thickBot="1">
      <c r="A196" s="1839" t="s">
        <v>1410</v>
      </c>
      <c r="B196" s="1843" t="s">
        <v>2139</v>
      </c>
      <c r="C196" s="1853"/>
      <c r="D196" s="1853"/>
      <c r="E196" s="1853"/>
      <c r="F196" s="1845">
        <v>0.05</v>
      </c>
    </row>
    <row r="197" spans="1:6" ht="24.6" thickBot="1">
      <c r="A197" s="1839" t="s">
        <v>1410</v>
      </c>
      <c r="B197" s="1843" t="s">
        <v>2140</v>
      </c>
      <c r="C197" s="1853"/>
      <c r="D197" s="1853"/>
      <c r="E197" s="1853"/>
      <c r="F197" s="1845">
        <v>0.05</v>
      </c>
    </row>
    <row r="198" spans="1:6" ht="24.6" thickBot="1">
      <c r="A198" s="1839" t="s">
        <v>1410</v>
      </c>
      <c r="B198" s="1843" t="s">
        <v>2141</v>
      </c>
      <c r="C198" s="1853"/>
      <c r="D198" s="1853"/>
      <c r="E198" s="1853"/>
      <c r="F198" s="1845">
        <v>0.05</v>
      </c>
    </row>
    <row r="199" spans="1:6" ht="24.6" thickBot="1">
      <c r="A199" s="1839" t="s">
        <v>1410</v>
      </c>
      <c r="B199" s="1843" t="s">
        <v>2142</v>
      </c>
      <c r="C199" s="1853"/>
      <c r="D199" s="1853"/>
      <c r="E199" s="1853"/>
      <c r="F199" s="1845">
        <v>0.05</v>
      </c>
    </row>
    <row r="200" spans="1:6" ht="24.6" thickBot="1">
      <c r="A200" s="1839" t="s">
        <v>1410</v>
      </c>
      <c r="B200" s="1843" t="s">
        <v>2143</v>
      </c>
      <c r="C200" s="1853"/>
      <c r="D200" s="1853"/>
      <c r="E200" s="1853"/>
      <c r="F200" s="1845">
        <v>0.05</v>
      </c>
    </row>
    <row r="201" spans="1:6" ht="24.6" thickBot="1">
      <c r="A201" s="1839" t="s">
        <v>1410</v>
      </c>
      <c r="B201" s="1843" t="s">
        <v>2144</v>
      </c>
      <c r="C201" s="1853"/>
      <c r="D201" s="1853"/>
      <c r="E201" s="1853"/>
      <c r="F201" s="1845">
        <v>0.05</v>
      </c>
    </row>
    <row r="202" spans="1:6" ht="24.6" thickBot="1">
      <c r="A202" s="1839" t="s">
        <v>1410</v>
      </c>
      <c r="B202" s="1843" t="s">
        <v>2145</v>
      </c>
      <c r="C202" s="1853"/>
      <c r="D202" s="1853"/>
      <c r="E202" s="1853"/>
      <c r="F202" s="1845">
        <v>0.05</v>
      </c>
    </row>
    <row r="203" spans="1:6" ht="24.6" thickBot="1">
      <c r="A203" s="1839" t="s">
        <v>1410</v>
      </c>
      <c r="B203" s="1843" t="s">
        <v>2146</v>
      </c>
      <c r="C203" s="1853"/>
      <c r="D203" s="1853"/>
      <c r="E203" s="1853"/>
      <c r="F203" s="1845">
        <v>0.05</v>
      </c>
    </row>
    <row r="204" spans="1:6" ht="15" thickBot="1">
      <c r="A204" s="1839" t="s">
        <v>1410</v>
      </c>
      <c r="B204" s="1843" t="s">
        <v>2147</v>
      </c>
      <c r="C204" s="1853"/>
      <c r="D204" s="1853"/>
      <c r="E204" s="1853"/>
      <c r="F204" s="1845">
        <v>0.05</v>
      </c>
    </row>
    <row r="205" spans="1:6" ht="15" thickBot="1">
      <c r="A205" s="1847" t="s">
        <v>1410</v>
      </c>
      <c r="B205" s="1854" t="s">
        <v>2148</v>
      </c>
      <c r="C205" s="1850"/>
      <c r="D205" s="1850"/>
      <c r="E205" s="1850"/>
      <c r="F205" s="1855">
        <v>0.05</v>
      </c>
    </row>
    <row r="206" spans="1:6" ht="15" thickBot="1">
      <c r="A206" s="1839" t="s">
        <v>1412</v>
      </c>
      <c r="B206" s="1840" t="s">
        <v>2149</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2150</v>
      </c>
      <c r="C210" s="1844">
        <v>0.15</v>
      </c>
      <c r="D210" s="1844">
        <v>0.15</v>
      </c>
      <c r="E210" s="1844">
        <v>0.15</v>
      </c>
      <c r="F210" s="1845">
        <v>0.13800000000000001</v>
      </c>
    </row>
    <row r="211" spans="1:6" ht="15" thickBot="1">
      <c r="A211" s="1839" t="s">
        <v>1412</v>
      </c>
      <c r="B211" s="1843" t="s">
        <v>2151</v>
      </c>
      <c r="C211" s="1844">
        <v>0.13700000000000001</v>
      </c>
      <c r="D211" s="1844">
        <v>0.13500000000000001</v>
      </c>
      <c r="E211" s="1844">
        <v>0.13600000000000001</v>
      </c>
      <c r="F211" s="1845">
        <v>0.1</v>
      </c>
    </row>
    <row r="212" spans="1:6" ht="15" thickBot="1">
      <c r="A212" s="1839" t="s">
        <v>1412</v>
      </c>
      <c r="B212" s="1843" t="s">
        <v>2152</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2153</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2154</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2155</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2156</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2157</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2158</v>
      </c>
      <c r="C231" s="1844">
        <v>0.128</v>
      </c>
      <c r="D231" s="1844">
        <v>0.125</v>
      </c>
      <c r="E231" s="1844">
        <v>0.13200000000000001</v>
      </c>
      <c r="F231" s="1852"/>
    </row>
    <row r="232" spans="1:6" ht="15" thickBot="1">
      <c r="A232" s="1839" t="s">
        <v>1412</v>
      </c>
      <c r="B232" s="1843" t="s">
        <v>2159</v>
      </c>
      <c r="C232" s="1844">
        <v>0.14499999999999999</v>
      </c>
      <c r="D232" s="1844">
        <v>0.14399999999999999</v>
      </c>
      <c r="E232" s="1844">
        <v>0.14599999999999999</v>
      </c>
      <c r="F232" s="1845">
        <v>0.13800000000000001</v>
      </c>
    </row>
    <row r="233" spans="1:6" ht="15" thickBot="1">
      <c r="A233" s="1839" t="s">
        <v>1412</v>
      </c>
      <c r="B233" s="1843" t="s">
        <v>2160</v>
      </c>
      <c r="C233" s="1844">
        <v>0.14499999999999999</v>
      </c>
      <c r="D233" s="1844">
        <v>0.14299999999999999</v>
      </c>
      <c r="E233" s="1844">
        <v>0.14199999999999999</v>
      </c>
      <c r="F233" s="1852"/>
    </row>
    <row r="234" spans="1:6" ht="15" thickBot="1">
      <c r="A234" s="1839" t="s">
        <v>1412</v>
      </c>
      <c r="B234" s="1843" t="s">
        <v>2161</v>
      </c>
      <c r="C234" s="1844">
        <v>0.14000000000000001</v>
      </c>
      <c r="D234" s="1844">
        <v>0.14000000000000001</v>
      </c>
      <c r="E234" s="1844">
        <v>0.14399999999999999</v>
      </c>
      <c r="F234" s="1852"/>
    </row>
    <row r="235" spans="1:6" ht="15" thickBot="1">
      <c r="A235" s="1839" t="s">
        <v>1412</v>
      </c>
      <c r="B235" s="1843" t="s">
        <v>2162</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2163</v>
      </c>
      <c r="C237" s="1853"/>
      <c r="D237" s="1853"/>
      <c r="E237" s="1853"/>
      <c r="F237" s="1845">
        <v>0.05</v>
      </c>
    </row>
    <row r="238" spans="1:6" ht="24.6" thickBot="1">
      <c r="A238" s="1839" t="s">
        <v>1412</v>
      </c>
      <c r="B238" s="1843" t="s">
        <v>2164</v>
      </c>
      <c r="C238" s="1853"/>
      <c r="D238" s="1853"/>
      <c r="E238" s="1853"/>
      <c r="F238" s="1845">
        <v>0.05</v>
      </c>
    </row>
    <row r="239" spans="1:6" ht="24.6" thickBot="1">
      <c r="A239" s="1839" t="s">
        <v>1412</v>
      </c>
      <c r="B239" s="1843" t="s">
        <v>2165</v>
      </c>
      <c r="C239" s="1853"/>
      <c r="D239" s="1853"/>
      <c r="E239" s="1853"/>
      <c r="F239" s="1845">
        <v>0.05</v>
      </c>
    </row>
    <row r="240" spans="1:6" ht="24.6" thickBot="1">
      <c r="A240" s="1839" t="s">
        <v>1412</v>
      </c>
      <c r="B240" s="1843" t="s">
        <v>2166</v>
      </c>
      <c r="C240" s="1853"/>
      <c r="D240" s="1853"/>
      <c r="E240" s="1853"/>
      <c r="F240" s="1845">
        <v>0.05</v>
      </c>
    </row>
    <row r="241" spans="1:6" ht="24.6" thickBot="1">
      <c r="A241" s="1839" t="s">
        <v>1412</v>
      </c>
      <c r="B241" s="1843" t="s">
        <v>2167</v>
      </c>
      <c r="C241" s="1853"/>
      <c r="D241" s="1853"/>
      <c r="E241" s="1853"/>
      <c r="F241" s="1845">
        <v>0.05</v>
      </c>
    </row>
    <row r="242" spans="1:6" ht="24.6" thickBot="1">
      <c r="A242" s="1839" t="s">
        <v>1412</v>
      </c>
      <c r="B242" s="1843" t="s">
        <v>2168</v>
      </c>
      <c r="C242" s="1853"/>
      <c r="D242" s="1853"/>
      <c r="E242" s="1853"/>
      <c r="F242" s="1845">
        <v>0.05</v>
      </c>
    </row>
    <row r="243" spans="1:6" ht="24.6" thickBot="1">
      <c r="A243" s="1839" t="s">
        <v>1412</v>
      </c>
      <c r="B243" s="1843" t="s">
        <v>2169</v>
      </c>
      <c r="C243" s="1853"/>
      <c r="D243" s="1853"/>
      <c r="E243" s="1853"/>
      <c r="F243" s="1845">
        <v>0.05</v>
      </c>
    </row>
    <row r="244" spans="1:6" ht="24.6" thickBot="1">
      <c r="A244" s="1847" t="s">
        <v>1412</v>
      </c>
      <c r="B244" s="1854" t="s">
        <v>2170</v>
      </c>
      <c r="C244" s="1850"/>
      <c r="D244" s="1850"/>
      <c r="E244" s="1850"/>
      <c r="F244" s="1855">
        <v>0.05</v>
      </c>
    </row>
    <row r="245" spans="1:6" ht="15" thickBot="1">
      <c r="A245" s="1839" t="s">
        <v>1414</v>
      </c>
      <c r="B245" s="1840" t="s">
        <v>2171</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2172</v>
      </c>
      <c r="C247" s="1844">
        <v>0.15</v>
      </c>
      <c r="D247" s="1844">
        <v>0.15</v>
      </c>
      <c r="E247" s="1844">
        <v>0.15</v>
      </c>
      <c r="F247" s="1845">
        <v>0.15</v>
      </c>
    </row>
    <row r="248" spans="1:6" ht="15" thickBot="1">
      <c r="A248" s="1839" t="s">
        <v>1414</v>
      </c>
      <c r="B248" s="1843" t="s">
        <v>2173</v>
      </c>
      <c r="C248" s="1844">
        <v>0.15</v>
      </c>
      <c r="D248" s="1844">
        <v>0.15</v>
      </c>
      <c r="E248" s="1844">
        <v>0.15</v>
      </c>
      <c r="F248" s="1845">
        <v>0.14000000000000001</v>
      </c>
    </row>
    <row r="249" spans="1:6" ht="15" thickBot="1">
      <c r="A249" s="1839" t="s">
        <v>1414</v>
      </c>
      <c r="B249" s="1843" t="s">
        <v>2174</v>
      </c>
      <c r="C249" s="1844">
        <v>0.15</v>
      </c>
      <c r="D249" s="1844">
        <v>0.14899999999999999</v>
      </c>
      <c r="E249" s="1844">
        <v>0.15</v>
      </c>
      <c r="F249" s="1845">
        <v>0.1</v>
      </c>
    </row>
    <row r="250" spans="1:6" ht="15" thickBot="1">
      <c r="A250" s="1839" t="s">
        <v>1414</v>
      </c>
      <c r="B250" s="1843" t="s">
        <v>2175</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2176</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2177</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2178</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2179</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2180</v>
      </c>
      <c r="C273" s="1844">
        <v>0.14199999999999999</v>
      </c>
      <c r="D273" s="1844">
        <v>0.14299999999999999</v>
      </c>
      <c r="E273" s="1844">
        <v>0.15</v>
      </c>
      <c r="F273" s="1845">
        <v>0.1</v>
      </c>
    </row>
    <row r="274" spans="1:6" ht="15" thickBot="1">
      <c r="A274" s="1839" t="s">
        <v>1414</v>
      </c>
      <c r="B274" s="1843" t="s">
        <v>2181</v>
      </c>
      <c r="C274" s="1844">
        <v>0.14799999999999999</v>
      </c>
      <c r="D274" s="1844">
        <v>0.14799999999999999</v>
      </c>
      <c r="E274" s="1844">
        <v>0.15</v>
      </c>
      <c r="F274" s="1845">
        <v>6.7000000000000004E-2</v>
      </c>
    </row>
    <row r="275" spans="1:6" ht="15" thickBot="1">
      <c r="A275" s="1839" t="s">
        <v>1414</v>
      </c>
      <c r="B275" s="1843" t="s">
        <v>2182</v>
      </c>
      <c r="C275" s="1844">
        <v>0.15</v>
      </c>
      <c r="D275" s="1844">
        <v>0.15</v>
      </c>
      <c r="E275" s="1844">
        <v>0.15</v>
      </c>
      <c r="F275" s="1845">
        <v>0.15</v>
      </c>
    </row>
    <row r="276" spans="1:6" ht="15" thickBot="1">
      <c r="A276" s="1839" t="s">
        <v>1414</v>
      </c>
      <c r="B276" s="1843" t="s">
        <v>2183</v>
      </c>
      <c r="C276" s="1844">
        <v>0.14499999999999999</v>
      </c>
      <c r="D276" s="1844">
        <v>0.14299999999999999</v>
      </c>
      <c r="E276" s="1844">
        <v>0.15</v>
      </c>
      <c r="F276" s="1845">
        <v>5.8999999999999997E-2</v>
      </c>
    </row>
    <row r="277" spans="1:6" ht="15" thickBot="1">
      <c r="A277" s="1839" t="s">
        <v>1414</v>
      </c>
      <c r="B277" s="1843" t="s">
        <v>2184</v>
      </c>
      <c r="C277" s="1844">
        <v>0.15</v>
      </c>
      <c r="D277" s="1844">
        <v>0.15</v>
      </c>
      <c r="E277" s="1844">
        <v>0.15</v>
      </c>
      <c r="F277" s="1845">
        <v>0.121</v>
      </c>
    </row>
    <row r="278" spans="1:6" ht="15" thickBot="1">
      <c r="A278" s="1839" t="s">
        <v>1414</v>
      </c>
      <c r="B278" s="1843" t="s">
        <v>2185</v>
      </c>
      <c r="C278" s="1844">
        <v>0.15</v>
      </c>
      <c r="D278" s="1844">
        <v>0.15</v>
      </c>
      <c r="E278" s="1844">
        <v>0.15</v>
      </c>
      <c r="F278" s="1845">
        <v>0.13800000000000001</v>
      </c>
    </row>
    <row r="279" spans="1:6" ht="24.6" thickBot="1">
      <c r="A279" s="1839" t="s">
        <v>1414</v>
      </c>
      <c r="B279" s="1843" t="s">
        <v>2186</v>
      </c>
      <c r="C279" s="1853"/>
      <c r="D279" s="1853"/>
      <c r="E279" s="1853"/>
      <c r="F279" s="1845">
        <v>0.05</v>
      </c>
    </row>
    <row r="280" spans="1:6" ht="24.6" thickBot="1">
      <c r="A280" s="1839" t="s">
        <v>1414</v>
      </c>
      <c r="B280" s="1843" t="s">
        <v>2187</v>
      </c>
      <c r="C280" s="1853"/>
      <c r="D280" s="1853"/>
      <c r="E280" s="1853"/>
      <c r="F280" s="1845">
        <v>0.05</v>
      </c>
    </row>
    <row r="281" spans="1:6" ht="24.6" thickBot="1">
      <c r="A281" s="1839" t="s">
        <v>1414</v>
      </c>
      <c r="B281" s="1843" t="s">
        <v>2188</v>
      </c>
      <c r="C281" s="1853"/>
      <c r="D281" s="1853"/>
      <c r="E281" s="1853"/>
      <c r="F281" s="1845">
        <v>0.05</v>
      </c>
    </row>
    <row r="282" spans="1:6" ht="24.6" thickBot="1">
      <c r="A282" s="1839" t="s">
        <v>1414</v>
      </c>
      <c r="B282" s="1843" t="s">
        <v>2189</v>
      </c>
      <c r="C282" s="1853"/>
      <c r="D282" s="1853"/>
      <c r="E282" s="1853"/>
      <c r="F282" s="1845">
        <v>0.05</v>
      </c>
    </row>
    <row r="283" spans="1:6" ht="24.6" thickBot="1">
      <c r="A283" s="1839" t="s">
        <v>1414</v>
      </c>
      <c r="B283" s="1843" t="s">
        <v>2190</v>
      </c>
      <c r="C283" s="1853"/>
      <c r="D283" s="1853"/>
      <c r="E283" s="1853"/>
      <c r="F283" s="1845">
        <v>0.05</v>
      </c>
    </row>
    <row r="284" spans="1:6" ht="24.6" thickBot="1">
      <c r="A284" s="1839" t="s">
        <v>1414</v>
      </c>
      <c r="B284" s="1843" t="s">
        <v>2191</v>
      </c>
      <c r="C284" s="1853"/>
      <c r="D284" s="1853"/>
      <c r="E284" s="1853"/>
      <c r="F284" s="1845">
        <v>0.05</v>
      </c>
    </row>
    <row r="285" spans="1:6" ht="24.6" thickBot="1">
      <c r="A285" s="1839" t="s">
        <v>1414</v>
      </c>
      <c r="B285" s="1843" t="s">
        <v>2192</v>
      </c>
      <c r="C285" s="1853"/>
      <c r="D285" s="1853"/>
      <c r="E285" s="1853"/>
      <c r="F285" s="1845">
        <v>0.05</v>
      </c>
    </row>
    <row r="286" spans="1:6" ht="24.6" thickBot="1">
      <c r="A286" s="1839" t="s">
        <v>1414</v>
      </c>
      <c r="B286" s="1843" t="s">
        <v>2193</v>
      </c>
      <c r="C286" s="1853"/>
      <c r="D286" s="1853"/>
      <c r="E286" s="1853"/>
      <c r="F286" s="1845">
        <v>0.05</v>
      </c>
    </row>
    <row r="287" spans="1:6" ht="24.6" thickBot="1">
      <c r="A287" s="1839" t="s">
        <v>1414</v>
      </c>
      <c r="B287" s="1843" t="s">
        <v>2194</v>
      </c>
      <c r="C287" s="1853"/>
      <c r="D287" s="1853"/>
      <c r="E287" s="1853"/>
      <c r="F287" s="1845">
        <v>0.05</v>
      </c>
    </row>
    <row r="288" spans="1:6" ht="24.6" thickBot="1">
      <c r="A288" s="1839" t="s">
        <v>1414</v>
      </c>
      <c r="B288" s="1843" t="s">
        <v>2195</v>
      </c>
      <c r="C288" s="1853"/>
      <c r="D288" s="1853"/>
      <c r="E288" s="1853"/>
      <c r="F288" s="1845">
        <v>0.05</v>
      </c>
    </row>
    <row r="289" spans="1:6" ht="24.6" thickBot="1">
      <c r="A289" s="1847" t="s">
        <v>1414</v>
      </c>
      <c r="B289" s="1854" t="s">
        <v>2196</v>
      </c>
      <c r="C289" s="1850"/>
      <c r="D289" s="1850"/>
      <c r="E289" s="1850"/>
      <c r="F289" s="1855">
        <v>0.05</v>
      </c>
    </row>
    <row r="290" spans="1:6" ht="15" thickBot="1">
      <c r="A290" s="1839" t="s">
        <v>1418</v>
      </c>
      <c r="B290" s="1840" t="s">
        <v>2197</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2198</v>
      </c>
      <c r="C292" s="1844">
        <v>0.15</v>
      </c>
      <c r="D292" s="1844">
        <v>0.15</v>
      </c>
      <c r="E292" s="1844">
        <v>0.15</v>
      </c>
      <c r="F292" s="1845">
        <v>0.14699999999999999</v>
      </c>
    </row>
    <row r="293" spans="1:6" ht="15" thickBot="1">
      <c r="A293" s="1839" t="s">
        <v>1418</v>
      </c>
      <c r="B293" s="1843" t="s">
        <v>2199</v>
      </c>
      <c r="C293" s="1853"/>
      <c r="D293" s="1853"/>
      <c r="E293" s="1853"/>
      <c r="F293" s="1845">
        <v>0.1</v>
      </c>
    </row>
    <row r="294" spans="1:6" ht="15" thickBot="1">
      <c r="A294" s="1839" t="s">
        <v>1418</v>
      </c>
      <c r="B294" s="1843" t="s">
        <v>2200</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2201</v>
      </c>
      <c r="C296" s="1844">
        <v>0.15</v>
      </c>
      <c r="D296" s="1844">
        <v>0.15</v>
      </c>
      <c r="E296" s="1844">
        <v>0.15</v>
      </c>
      <c r="F296" s="1845">
        <v>0.15</v>
      </c>
    </row>
    <row r="297" spans="1:6" ht="15" thickBot="1">
      <c r="A297" s="1839" t="s">
        <v>1418</v>
      </c>
      <c r="B297" s="1843" t="s">
        <v>2202</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2203</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2204</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2205</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2206</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2207</v>
      </c>
      <c r="C310" s="1844">
        <v>0.15</v>
      </c>
      <c r="D310" s="1844">
        <v>0.15</v>
      </c>
      <c r="E310" s="1844">
        <v>0.15</v>
      </c>
      <c r="F310" s="1845">
        <v>0.13700000000000001</v>
      </c>
    </row>
    <row r="311" spans="1:6" ht="15" thickBot="1">
      <c r="A311" s="1839" t="s">
        <v>1418</v>
      </c>
      <c r="B311" s="1843" t="s">
        <v>2208</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2209</v>
      </c>
      <c r="C313" s="1844">
        <v>0.15</v>
      </c>
      <c r="D313" s="1844">
        <v>0.15</v>
      </c>
      <c r="E313" s="1844">
        <v>0.15</v>
      </c>
      <c r="F313" s="1845">
        <v>0.15</v>
      </c>
    </row>
    <row r="314" spans="1:6" ht="24.6" thickBot="1">
      <c r="A314" s="1839" t="s">
        <v>1418</v>
      </c>
      <c r="B314" s="1843" t="s">
        <v>2210</v>
      </c>
      <c r="C314" s="1853"/>
      <c r="D314" s="1853"/>
      <c r="E314" s="1853"/>
      <c r="F314" s="1845">
        <v>0.05</v>
      </c>
    </row>
    <row r="315" spans="1:6" ht="24.6" thickBot="1">
      <c r="A315" s="1839" t="s">
        <v>1418</v>
      </c>
      <c r="B315" s="1843" t="s">
        <v>2211</v>
      </c>
      <c r="C315" s="1853"/>
      <c r="D315" s="1853"/>
      <c r="E315" s="1853"/>
      <c r="F315" s="1845">
        <v>0.05</v>
      </c>
    </row>
    <row r="316" spans="1:6" ht="24.6" thickBot="1">
      <c r="A316" s="1847" t="s">
        <v>1418</v>
      </c>
      <c r="B316" s="1854" t="s">
        <v>2212</v>
      </c>
      <c r="C316" s="1850"/>
      <c r="D316" s="1850"/>
      <c r="E316" s="1850"/>
      <c r="F316" s="1855">
        <v>0.05</v>
      </c>
    </row>
    <row r="317" spans="1:6" ht="15" thickBot="1">
      <c r="A317" s="1839" t="s">
        <v>2213</v>
      </c>
      <c r="B317" s="1840" t="s">
        <v>2214</v>
      </c>
      <c r="C317" s="1841">
        <v>0.15</v>
      </c>
      <c r="D317" s="1841">
        <v>0.15</v>
      </c>
      <c r="E317" s="1841">
        <v>0.15</v>
      </c>
      <c r="F317" s="1842">
        <v>0.15</v>
      </c>
    </row>
    <row r="318" spans="1:6" ht="15" thickBot="1">
      <c r="A318" s="1839" t="s">
        <v>2213</v>
      </c>
      <c r="B318" s="1843" t="s">
        <v>2215</v>
      </c>
      <c r="C318" s="1844">
        <v>0.107</v>
      </c>
      <c r="D318" s="1844">
        <v>0.11</v>
      </c>
      <c r="E318" s="1844">
        <v>0.112</v>
      </c>
      <c r="F318" s="1852"/>
    </row>
    <row r="319" spans="1:6" ht="15" thickBot="1">
      <c r="A319" s="1839" t="s">
        <v>2213</v>
      </c>
      <c r="B319" s="1843" t="s">
        <v>2216</v>
      </c>
      <c r="C319" s="1844">
        <v>0.15</v>
      </c>
      <c r="D319" s="1844">
        <v>0.15</v>
      </c>
      <c r="E319" s="1844">
        <v>0.15</v>
      </c>
      <c r="F319" s="1845">
        <v>0.15</v>
      </c>
    </row>
    <row r="320" spans="1:6" ht="15" thickBot="1">
      <c r="A320" s="1839" t="s">
        <v>2213</v>
      </c>
      <c r="B320" s="1843" t="s">
        <v>1106</v>
      </c>
      <c r="C320" s="1844">
        <v>0.15</v>
      </c>
      <c r="D320" s="1844">
        <v>0.15</v>
      </c>
      <c r="E320" s="1844">
        <v>0.15</v>
      </c>
      <c r="F320" s="1852"/>
    </row>
    <row r="321" spans="1:6" ht="15" thickBot="1">
      <c r="A321" s="1839" t="s">
        <v>2213</v>
      </c>
      <c r="B321" s="1843" t="s">
        <v>2217</v>
      </c>
      <c r="C321" s="1844">
        <v>0.15</v>
      </c>
      <c r="D321" s="1844">
        <v>0.15</v>
      </c>
      <c r="E321" s="1844">
        <v>0.15</v>
      </c>
      <c r="F321" s="1852"/>
    </row>
    <row r="322" spans="1:6" ht="15" thickBot="1">
      <c r="A322" s="1839" t="s">
        <v>2213</v>
      </c>
      <c r="B322" s="1843" t="s">
        <v>2218</v>
      </c>
      <c r="C322" s="1844">
        <v>0.15</v>
      </c>
      <c r="D322" s="1844">
        <v>0.15</v>
      </c>
      <c r="E322" s="1844">
        <v>0.15</v>
      </c>
      <c r="F322" s="1845">
        <v>0.15</v>
      </c>
    </row>
    <row r="323" spans="1:6" ht="15" thickBot="1">
      <c r="A323" s="1839" t="s">
        <v>2213</v>
      </c>
      <c r="B323" s="1843" t="s">
        <v>2219</v>
      </c>
      <c r="C323" s="1844">
        <v>0.15</v>
      </c>
      <c r="D323" s="1844">
        <v>0.15</v>
      </c>
      <c r="E323" s="1844">
        <v>0.15</v>
      </c>
      <c r="F323" s="1852"/>
    </row>
    <row r="324" spans="1:6" ht="15" thickBot="1">
      <c r="A324" s="1839" t="s">
        <v>2213</v>
      </c>
      <c r="B324" s="1843" t="s">
        <v>2220</v>
      </c>
      <c r="C324" s="1844">
        <v>0.15</v>
      </c>
      <c r="D324" s="1844">
        <v>0.15</v>
      </c>
      <c r="E324" s="1844">
        <v>0.15</v>
      </c>
      <c r="F324" s="1852"/>
    </row>
    <row r="325" spans="1:6" ht="15" thickBot="1">
      <c r="A325" s="1839" t="s">
        <v>2213</v>
      </c>
      <c r="B325" s="1843" t="s">
        <v>2221</v>
      </c>
      <c r="C325" s="1844">
        <v>0.15</v>
      </c>
      <c r="D325" s="1844">
        <v>0.15</v>
      </c>
      <c r="E325" s="1844">
        <v>0.15</v>
      </c>
      <c r="F325" s="1845">
        <v>0.14699999999999999</v>
      </c>
    </row>
    <row r="326" spans="1:6" ht="15" thickBot="1">
      <c r="A326" s="1839" t="s">
        <v>2213</v>
      </c>
      <c r="B326" s="1843" t="s">
        <v>1175</v>
      </c>
      <c r="C326" s="1844">
        <v>0.15</v>
      </c>
      <c r="D326" s="1844">
        <v>0.15</v>
      </c>
      <c r="E326" s="1844">
        <v>0.15</v>
      </c>
      <c r="F326" s="1852"/>
    </row>
    <row r="327" spans="1:6" ht="15" thickBot="1">
      <c r="A327" s="1839" t="s">
        <v>2213</v>
      </c>
      <c r="B327" s="1843" t="s">
        <v>2222</v>
      </c>
      <c r="C327" s="1844">
        <v>0.15</v>
      </c>
      <c r="D327" s="1844">
        <v>0.15</v>
      </c>
      <c r="E327" s="1844">
        <v>0.15</v>
      </c>
      <c r="F327" s="1845">
        <v>0.15</v>
      </c>
    </row>
    <row r="328" spans="1:6" ht="15" thickBot="1">
      <c r="A328" s="1839" t="s">
        <v>2213</v>
      </c>
      <c r="B328" s="1843" t="s">
        <v>1195</v>
      </c>
      <c r="C328" s="1844">
        <v>0.15</v>
      </c>
      <c r="D328" s="1844">
        <v>0.15</v>
      </c>
      <c r="E328" s="1844">
        <v>0.15</v>
      </c>
      <c r="F328" s="1845">
        <v>0.14099999999999999</v>
      </c>
    </row>
    <row r="329" spans="1:6" ht="15" thickBot="1">
      <c r="A329" s="1839" t="s">
        <v>2213</v>
      </c>
      <c r="B329" s="1843" t="s">
        <v>1205</v>
      </c>
      <c r="C329" s="1844">
        <v>0.15</v>
      </c>
      <c r="D329" s="1844">
        <v>0.15</v>
      </c>
      <c r="E329" s="1844">
        <v>0.15</v>
      </c>
      <c r="F329" s="1845">
        <v>0.15</v>
      </c>
    </row>
    <row r="330" spans="1:6" ht="15" thickBot="1">
      <c r="A330" s="1839" t="s">
        <v>2213</v>
      </c>
      <c r="B330" s="1843" t="s">
        <v>1215</v>
      </c>
      <c r="C330" s="1844">
        <v>0.15</v>
      </c>
      <c r="D330" s="1844">
        <v>0.15</v>
      </c>
      <c r="E330" s="1844">
        <v>0.15</v>
      </c>
      <c r="F330" s="1852"/>
    </row>
    <row r="331" spans="1:6" ht="15" thickBot="1">
      <c r="A331" s="1839" t="s">
        <v>2213</v>
      </c>
      <c r="B331" s="1843" t="s">
        <v>2223</v>
      </c>
      <c r="C331" s="1844">
        <v>0.15</v>
      </c>
      <c r="D331" s="1844">
        <v>0.15</v>
      </c>
      <c r="E331" s="1844">
        <v>0.15</v>
      </c>
      <c r="F331" s="1845">
        <v>0.15</v>
      </c>
    </row>
    <row r="332" spans="1:6" ht="15" thickBot="1">
      <c r="A332" s="1839" t="s">
        <v>2213</v>
      </c>
      <c r="B332" s="1843" t="s">
        <v>1235</v>
      </c>
      <c r="C332" s="1844">
        <v>0.15</v>
      </c>
      <c r="D332" s="1844">
        <v>0.15</v>
      </c>
      <c r="E332" s="1844">
        <v>0.15</v>
      </c>
      <c r="F332" s="1845">
        <v>0.15</v>
      </c>
    </row>
    <row r="333" spans="1:6" ht="15" thickBot="1">
      <c r="A333" s="1839" t="s">
        <v>2213</v>
      </c>
      <c r="B333" s="1843" t="s">
        <v>2224</v>
      </c>
      <c r="C333" s="1844">
        <v>0.15</v>
      </c>
      <c r="D333" s="1844">
        <v>0.15</v>
      </c>
      <c r="E333" s="1844">
        <v>0.15</v>
      </c>
      <c r="F333" s="1845">
        <v>0.14099999999999999</v>
      </c>
    </row>
    <row r="334" spans="1:6" ht="15" thickBot="1">
      <c r="A334" s="1839" t="s">
        <v>2213</v>
      </c>
      <c r="B334" s="1843" t="s">
        <v>1255</v>
      </c>
      <c r="C334" s="1844">
        <v>0.15</v>
      </c>
      <c r="D334" s="1844">
        <v>0.15</v>
      </c>
      <c r="E334" s="1844">
        <v>0.15</v>
      </c>
      <c r="F334" s="1845">
        <v>0.15</v>
      </c>
    </row>
    <row r="335" spans="1:6" ht="15" thickBot="1">
      <c r="A335" s="1839" t="s">
        <v>2213</v>
      </c>
      <c r="B335" s="1843" t="s">
        <v>1265</v>
      </c>
      <c r="C335" s="1844">
        <v>0.15</v>
      </c>
      <c r="D335" s="1844">
        <v>0.15</v>
      </c>
      <c r="E335" s="1844">
        <v>0.15</v>
      </c>
      <c r="F335" s="1852"/>
    </row>
    <row r="336" spans="1:6" ht="15" thickBot="1">
      <c r="A336" s="1839" t="s">
        <v>2213</v>
      </c>
      <c r="B336" s="1843" t="s">
        <v>2225</v>
      </c>
      <c r="C336" s="1844">
        <v>0.15</v>
      </c>
      <c r="D336" s="1844">
        <v>0.15</v>
      </c>
      <c r="E336" s="1844">
        <v>0.15</v>
      </c>
      <c r="F336" s="1845">
        <v>0.11799999999999999</v>
      </c>
    </row>
    <row r="337" spans="1:6" ht="15" thickBot="1">
      <c r="A337" s="1847" t="s">
        <v>2213</v>
      </c>
      <c r="B337" s="1854" t="s">
        <v>1283</v>
      </c>
      <c r="C337" s="1850"/>
      <c r="D337" s="1850"/>
      <c r="E337" s="1850"/>
      <c r="F337" s="1855">
        <v>0.14299999999999999</v>
      </c>
    </row>
    <row r="338" spans="1:6" ht="15" thickBot="1">
      <c r="A338" s="1839" t="s">
        <v>2226</v>
      </c>
      <c r="B338" s="1840" t="s">
        <v>2227</v>
      </c>
      <c r="C338" s="1841">
        <v>0.15</v>
      </c>
      <c r="D338" s="1841">
        <v>0.15</v>
      </c>
      <c r="E338" s="1841">
        <v>0.15</v>
      </c>
      <c r="F338" s="1863"/>
    </row>
    <row r="339" spans="1:6" ht="15" thickBot="1">
      <c r="A339" s="1839" t="s">
        <v>2226</v>
      </c>
      <c r="B339" s="1843" t="s">
        <v>2228</v>
      </c>
      <c r="C339" s="1844">
        <v>0.15</v>
      </c>
      <c r="D339" s="1844">
        <v>0.15</v>
      </c>
      <c r="E339" s="1844">
        <v>0.15</v>
      </c>
      <c r="F339" s="1852"/>
    </row>
    <row r="340" spans="1:6" ht="15" thickBot="1">
      <c r="A340" s="1839" t="s">
        <v>2226</v>
      </c>
      <c r="B340" s="1843" t="s">
        <v>2229</v>
      </c>
      <c r="C340" s="1844">
        <v>0.15</v>
      </c>
      <c r="D340" s="1844">
        <v>0.15</v>
      </c>
      <c r="E340" s="1844">
        <v>0.15</v>
      </c>
      <c r="F340" s="1852"/>
    </row>
    <row r="341" spans="1:6" ht="15" thickBot="1">
      <c r="A341" s="1839" t="s">
        <v>2230</v>
      </c>
      <c r="B341" s="1843" t="s">
        <v>2231</v>
      </c>
      <c r="C341" s="1844">
        <v>0.15</v>
      </c>
      <c r="D341" s="1844">
        <v>0.15</v>
      </c>
      <c r="E341" s="1844">
        <v>0.15</v>
      </c>
      <c r="F341" s="1845">
        <v>0.15</v>
      </c>
    </row>
    <row r="342" spans="1:6" ht="15" thickBot="1">
      <c r="A342" s="1839" t="s">
        <v>2226</v>
      </c>
      <c r="B342" s="1843" t="s">
        <v>2232</v>
      </c>
      <c r="C342" s="1844">
        <v>0.15</v>
      </c>
      <c r="D342" s="1844">
        <v>0.15</v>
      </c>
      <c r="E342" s="1844">
        <v>0.15</v>
      </c>
      <c r="F342" s="1845">
        <v>0.15</v>
      </c>
    </row>
    <row r="343" spans="1:6" ht="15" thickBot="1">
      <c r="A343" s="1839" t="s">
        <v>2226</v>
      </c>
      <c r="B343" s="1843" t="s">
        <v>2233</v>
      </c>
      <c r="C343" s="1844">
        <v>0.15</v>
      </c>
      <c r="D343" s="1844">
        <v>0.15</v>
      </c>
      <c r="E343" s="1844">
        <v>0.15</v>
      </c>
      <c r="F343" s="1845">
        <v>0.15</v>
      </c>
    </row>
    <row r="344" spans="1:6" ht="1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D38" sqref="D38"/>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4" t="s">
        <v>2572</v>
      </c>
      <c r="C1" s="3444"/>
      <c r="D1" s="3444"/>
      <c r="E1" s="3444"/>
      <c r="F1" s="3444"/>
      <c r="G1" s="3443" t="s">
        <v>2573</v>
      </c>
      <c r="H1" s="3443"/>
      <c r="I1" s="3443"/>
      <c r="J1" s="3443"/>
      <c r="K1" s="3443"/>
      <c r="L1" s="3443"/>
      <c r="N1" s="3443" t="s">
        <v>2574</v>
      </c>
      <c r="O1" s="3443"/>
      <c r="P1" s="3443"/>
      <c r="Q1" s="3443"/>
      <c r="R1" s="2617"/>
      <c r="S1" s="3443" t="s">
        <v>2575</v>
      </c>
      <c r="T1" s="3443"/>
      <c r="U1" s="3443"/>
      <c r="V1" s="3443"/>
      <c r="X1" s="3442" t="s">
        <v>2635</v>
      </c>
      <c r="Y1" s="3443"/>
      <c r="Z1" s="3443"/>
      <c r="AA1" s="3443"/>
      <c r="AB1" s="3443"/>
      <c r="AD1" s="3442" t="s">
        <v>2639</v>
      </c>
      <c r="AE1" s="3443"/>
      <c r="AF1" s="3443"/>
      <c r="AG1" s="3443"/>
      <c r="AH1" s="3443"/>
    </row>
    <row r="2" spans="1:34" s="2718" customFormat="1" ht="15" thickBot="1">
      <c r="B2" s="2726" t="s">
        <v>2576</v>
      </c>
      <c r="C2" s="2726" t="s">
        <v>2637</v>
      </c>
      <c r="D2" s="2719" t="s">
        <v>1643</v>
      </c>
      <c r="E2" s="2719" t="s">
        <v>1946</v>
      </c>
      <c r="F2" s="2726" t="s">
        <v>2638</v>
      </c>
      <c r="G2" s="2722"/>
      <c r="H2" s="2721"/>
      <c r="I2" s="2726" t="s">
        <v>2948</v>
      </c>
      <c r="J2" s="2719" t="s">
        <v>2950</v>
      </c>
      <c r="K2" s="2719" t="s">
        <v>2951</v>
      </c>
      <c r="L2" s="2726" t="s">
        <v>2952</v>
      </c>
      <c r="N2" s="2726" t="s">
        <v>2576</v>
      </c>
      <c r="O2" s="2719" t="s">
        <v>2949</v>
      </c>
      <c r="P2" s="2719" t="s">
        <v>1946</v>
      </c>
      <c r="Q2" s="2726" t="s">
        <v>2638</v>
      </c>
      <c r="R2" s="2720"/>
      <c r="S2" s="2726" t="s">
        <v>2576</v>
      </c>
      <c r="T2" s="2719" t="s">
        <v>2949</v>
      </c>
      <c r="U2" s="2719" t="s">
        <v>1946</v>
      </c>
      <c r="V2" s="2726" t="s">
        <v>2638</v>
      </c>
      <c r="X2" s="2726" t="s">
        <v>2576</v>
      </c>
      <c r="Y2" s="2726" t="s">
        <v>2637</v>
      </c>
      <c r="Z2" s="2719" t="s">
        <v>1643</v>
      </c>
      <c r="AA2" s="2719" t="s">
        <v>1946</v>
      </c>
      <c r="AB2" s="2726" t="s">
        <v>2638</v>
      </c>
      <c r="AD2" s="2726" t="s">
        <v>2576</v>
      </c>
      <c r="AE2" s="2726" t="s">
        <v>2637</v>
      </c>
      <c r="AF2" s="2719" t="s">
        <v>1643</v>
      </c>
      <c r="AG2" s="2719" t="s">
        <v>1946</v>
      </c>
      <c r="AH2" s="2726" t="s">
        <v>2638</v>
      </c>
    </row>
    <row r="3" spans="1:34" s="3081" customFormat="1" ht="14.4">
      <c r="A3" s="3093" t="s">
        <v>2961</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2990</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2962</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2986</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2985</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2982</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2981</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2978</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46">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2971</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6"/>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2972</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6"/>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2968</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2"/>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2959</v>
      </c>
      <c r="B14" s="3095">
        <v>439</v>
      </c>
      <c r="C14" s="3095">
        <v>327</v>
      </c>
      <c r="D14" s="3095">
        <f t="shared" si="87"/>
        <v>327</v>
      </c>
      <c r="E14" s="3095">
        <v>627</v>
      </c>
      <c r="F14" s="3096">
        <v>283</v>
      </c>
      <c r="G14" s="3451">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2963</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6"/>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2577</v>
      </c>
      <c r="B16" s="2631">
        <f t="shared" si="99"/>
        <v>419.31181600000002</v>
      </c>
      <c r="C16" s="2631">
        <f t="shared" si="99"/>
        <v>313.95436800000004</v>
      </c>
      <c r="D16" s="2631">
        <f t="shared" si="87"/>
        <v>313.95436800000004</v>
      </c>
      <c r="E16" s="2631">
        <f t="shared" si="100"/>
        <v>596.63028431999999</v>
      </c>
      <c r="F16" s="2631">
        <f t="shared" si="100"/>
        <v>274.74220703999998</v>
      </c>
      <c r="G16" s="3446"/>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2578</v>
      </c>
      <c r="B17" s="2631">
        <f t="shared" si="99"/>
        <v>405.524</v>
      </c>
      <c r="C17" s="2631">
        <f t="shared" si="99"/>
        <v>307.79840000000002</v>
      </c>
      <c r="D17" s="2631">
        <f t="shared" si="87"/>
        <v>307.79840000000002</v>
      </c>
      <c r="E17" s="2631">
        <f t="shared" si="100"/>
        <v>574.67759999999998</v>
      </c>
      <c r="F17" s="2631">
        <f t="shared" si="100"/>
        <v>270.20280000000002</v>
      </c>
      <c r="G17" s="3452"/>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51">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6"/>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46"/>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47"/>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09"/>
        <v>277</v>
      </c>
      <c r="E22" s="2623">
        <v>459</v>
      </c>
      <c r="F22" s="2624">
        <v>249</v>
      </c>
      <c r="G22" s="3445">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6"/>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46"/>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47"/>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09"/>
        <v>268</v>
      </c>
      <c r="E26" s="2645">
        <v>437</v>
      </c>
      <c r="F26" s="2646">
        <v>237</v>
      </c>
      <c r="G26" s="3445">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6"/>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46"/>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47"/>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2636</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2579</v>
      </c>
      <c r="B30" s="2623">
        <v>299</v>
      </c>
      <c r="C30" s="2623">
        <v>252</v>
      </c>
      <c r="D30" s="2623">
        <f t="shared" si="109"/>
        <v>252</v>
      </c>
      <c r="E30" s="2623">
        <v>409</v>
      </c>
      <c r="F30" s="2624">
        <v>227</v>
      </c>
      <c r="G30" s="3448">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2580</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49"/>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2581</v>
      </c>
      <c r="B32" s="2631">
        <f t="shared" si="118"/>
        <v>288.2649053828776</v>
      </c>
      <c r="C32" s="2631">
        <f t="shared" si="118"/>
        <v>243.64564425013293</v>
      </c>
      <c r="D32" s="2631">
        <f t="shared" si="109"/>
        <v>243.64564425013293</v>
      </c>
      <c r="E32" s="2631">
        <f t="shared" si="119"/>
        <v>393.31080825986544</v>
      </c>
      <c r="F32" s="2631">
        <f t="shared" si="119"/>
        <v>223.07903790551154</v>
      </c>
      <c r="G32" s="3449"/>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2582</v>
      </c>
      <c r="B33" s="2631">
        <f t="shared" si="118"/>
        <v>282.50186729015837</v>
      </c>
      <c r="C33" s="2631">
        <f t="shared" si="118"/>
        <v>238.09796174155468</v>
      </c>
      <c r="D33" s="2631">
        <f t="shared" si="109"/>
        <v>238.09796174155468</v>
      </c>
      <c r="E33" s="2631">
        <f t="shared" si="119"/>
        <v>385.33438646014054</v>
      </c>
      <c r="F33" s="2631">
        <f t="shared" si="119"/>
        <v>221.55034055567739</v>
      </c>
      <c r="G33" s="3450"/>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2583</v>
      </c>
      <c r="B34" s="2661">
        <v>278</v>
      </c>
      <c r="C34" s="2661">
        <v>234</v>
      </c>
      <c r="D34" s="2661">
        <f t="shared" si="109"/>
        <v>234</v>
      </c>
      <c r="E34" s="2661">
        <v>379</v>
      </c>
      <c r="F34" s="2662">
        <v>220</v>
      </c>
      <c r="G34" s="3445">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2584</v>
      </c>
      <c r="B35" s="2631">
        <f>B34/(1+N34)</f>
        <v>275.49301357645425</v>
      </c>
      <c r="C35" s="2631">
        <f>C34/(1+O34)</f>
        <v>232.41954707985698</v>
      </c>
      <c r="D35" s="2631">
        <f t="shared" si="109"/>
        <v>232.41954707985698</v>
      </c>
      <c r="E35" s="2631">
        <f t="shared" ref="E35:F37" si="120">E34/(1+P34)</f>
        <v>375.32184591008121</v>
      </c>
      <c r="F35" s="2631">
        <f t="shared" si="120"/>
        <v>218.03766105054513</v>
      </c>
      <c r="G35" s="3446"/>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2585</v>
      </c>
      <c r="B36" s="2631">
        <f>B35/(1+N35)</f>
        <v>275.24529281292263</v>
      </c>
      <c r="C36" s="2631">
        <f>C35/(1+O35)</f>
        <v>231.74747938962707</v>
      </c>
      <c r="D36" s="2631">
        <f t="shared" si="109"/>
        <v>231.74747938962707</v>
      </c>
      <c r="E36" s="2631">
        <f t="shared" si="120"/>
        <v>375.35938184826603</v>
      </c>
      <c r="F36" s="2631">
        <f t="shared" si="120"/>
        <v>216.78033510692495</v>
      </c>
      <c r="G36" s="3446"/>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2586</v>
      </c>
      <c r="B37" s="2631">
        <f>B36/(1+N36)</f>
        <v>275.19025476197027</v>
      </c>
      <c r="C37" s="2663">
        <v>232</v>
      </c>
      <c r="D37" s="2663">
        <f t="shared" si="109"/>
        <v>232</v>
      </c>
      <c r="E37" s="2631">
        <f t="shared" si="120"/>
        <v>375.65990977608692</v>
      </c>
      <c r="F37" s="2631">
        <f t="shared" si="120"/>
        <v>214.12518283971252</v>
      </c>
      <c r="G37" s="3447"/>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2587</v>
      </c>
      <c r="B38" s="2623">
        <v>275</v>
      </c>
      <c r="C38" s="2623">
        <v>232</v>
      </c>
      <c r="D38" s="2623">
        <f t="shared" si="109"/>
        <v>232</v>
      </c>
      <c r="E38" s="2623">
        <v>376</v>
      </c>
      <c r="F38" s="2624">
        <v>213</v>
      </c>
      <c r="G38" s="3445">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2588</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6">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2589</v>
      </c>
      <c r="B40" s="2631">
        <f t="shared" si="121"/>
        <v>275.19335084830601</v>
      </c>
      <c r="C40" s="2631">
        <f t="shared" si="121"/>
        <v>230.18088050139744</v>
      </c>
      <c r="D40" s="2631">
        <f t="shared" si="109"/>
        <v>230.18088050139744</v>
      </c>
      <c r="E40" s="2631">
        <f t="shared" si="122"/>
        <v>377.58482925212331</v>
      </c>
      <c r="F40" s="2631">
        <f t="shared" si="122"/>
        <v>210.90687997847917</v>
      </c>
      <c r="G40" s="3446">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2590</v>
      </c>
      <c r="B41" s="2631">
        <f t="shared" si="121"/>
        <v>276.29854502841971</v>
      </c>
      <c r="C41" s="2631">
        <f t="shared" si="121"/>
        <v>229.79023709833027</v>
      </c>
      <c r="D41" s="2631">
        <f t="shared" si="109"/>
        <v>229.79023709833027</v>
      </c>
      <c r="E41" s="2631">
        <f t="shared" si="122"/>
        <v>379.78759731655936</v>
      </c>
      <c r="F41" s="2631">
        <f t="shared" si="122"/>
        <v>211.32953905659235</v>
      </c>
      <c r="G41" s="3447">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2591</v>
      </c>
      <c r="B42" s="2623">
        <v>269</v>
      </c>
      <c r="C42" s="2623">
        <v>221</v>
      </c>
      <c r="D42" s="2623">
        <f t="shared" si="109"/>
        <v>221</v>
      </c>
      <c r="E42" s="2623">
        <v>373</v>
      </c>
      <c r="F42" s="2624">
        <v>196</v>
      </c>
      <c r="G42" s="3445">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2592</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6">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2593</v>
      </c>
      <c r="B44" s="2631">
        <f t="shared" si="123"/>
        <v>242.95398227588385</v>
      </c>
      <c r="C44" s="2631">
        <f t="shared" si="123"/>
        <v>199.59137053614126</v>
      </c>
      <c r="D44" s="2631">
        <f t="shared" si="109"/>
        <v>199.59137053614126</v>
      </c>
      <c r="E44" s="2631">
        <f t="shared" si="124"/>
        <v>335.92189522342125</v>
      </c>
      <c r="F44" s="2631">
        <f t="shared" si="124"/>
        <v>183.10139991109489</v>
      </c>
      <c r="G44" s="3446">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2594</v>
      </c>
      <c r="B45" s="2631">
        <f t="shared" si="123"/>
        <v>232.06990378821649</v>
      </c>
      <c r="C45" s="2631">
        <f t="shared" si="123"/>
        <v>192.74878854286936</v>
      </c>
      <c r="D45" s="2631">
        <f t="shared" si="109"/>
        <v>192.74878854286936</v>
      </c>
      <c r="E45" s="2631">
        <f t="shared" si="124"/>
        <v>319.71247284992984</v>
      </c>
      <c r="F45" s="2631">
        <f t="shared" si="124"/>
        <v>175.67053622862409</v>
      </c>
      <c r="G45" s="3447">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2595</v>
      </c>
      <c r="B46" s="2623">
        <v>220</v>
      </c>
      <c r="C46" s="2623">
        <v>187</v>
      </c>
      <c r="D46" s="2623">
        <f t="shared" si="109"/>
        <v>187</v>
      </c>
      <c r="E46" s="2623">
        <v>301</v>
      </c>
      <c r="F46" s="2624">
        <v>168</v>
      </c>
      <c r="G46" s="3445">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2596</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6">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2597</v>
      </c>
      <c r="B48" s="2631">
        <f t="shared" si="125"/>
        <v>210.630522469011</v>
      </c>
      <c r="C48" s="2631">
        <f t="shared" si="125"/>
        <v>181.69567812247232</v>
      </c>
      <c r="D48" s="2631">
        <f t="shared" si="109"/>
        <v>181.69567812247232</v>
      </c>
      <c r="E48" s="2631">
        <f t="shared" si="126"/>
        <v>286.13517466736738</v>
      </c>
      <c r="F48" s="2631">
        <f t="shared" si="126"/>
        <v>165.47535084591149</v>
      </c>
      <c r="G48" s="3446">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2598</v>
      </c>
      <c r="B49" s="2631">
        <f t="shared" si="125"/>
        <v>208.83454537875372</v>
      </c>
      <c r="C49" s="2631">
        <f t="shared" si="125"/>
        <v>183.77230517090351</v>
      </c>
      <c r="D49" s="2631">
        <f t="shared" si="109"/>
        <v>183.77230517090351</v>
      </c>
      <c r="E49" s="2631">
        <f t="shared" si="126"/>
        <v>281.10342338870947</v>
      </c>
      <c r="F49" s="2631">
        <f t="shared" si="126"/>
        <v>168.97309388942256</v>
      </c>
      <c r="G49" s="3447">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2599</v>
      </c>
      <c r="B50" s="2661">
        <v>214</v>
      </c>
      <c r="C50" s="2661">
        <v>188</v>
      </c>
      <c r="D50" s="2661">
        <f t="shared" si="109"/>
        <v>188</v>
      </c>
      <c r="E50" s="2661">
        <v>289</v>
      </c>
      <c r="F50" s="2662">
        <v>166</v>
      </c>
      <c r="G50" s="3445">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2600</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6">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2601</v>
      </c>
      <c r="B52" s="2631">
        <f t="shared" si="127"/>
        <v>206.31694671589116</v>
      </c>
      <c r="C52" s="2631">
        <f t="shared" si="127"/>
        <v>183.61041121036101</v>
      </c>
      <c r="D52" s="2631">
        <f t="shared" si="109"/>
        <v>183.61041121036101</v>
      </c>
      <c r="E52" s="2631">
        <f t="shared" si="128"/>
        <v>276.66850301795557</v>
      </c>
      <c r="F52" s="2631">
        <f t="shared" si="128"/>
        <v>165.1360938278614</v>
      </c>
      <c r="G52" s="3446">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2602</v>
      </c>
      <c r="B53" s="2664">
        <f t="shared" si="127"/>
        <v>196.62341248059772</v>
      </c>
      <c r="C53" s="2664">
        <f t="shared" si="127"/>
        <v>170.99125648199012</v>
      </c>
      <c r="D53" s="2664">
        <f t="shared" si="109"/>
        <v>170.99125648199012</v>
      </c>
      <c r="E53" s="2664">
        <f t="shared" si="128"/>
        <v>266.07857570490052</v>
      </c>
      <c r="F53" s="2664">
        <f t="shared" si="128"/>
        <v>154.53499328828505</v>
      </c>
      <c r="G53" s="3447">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2603</v>
      </c>
      <c r="B54" s="2623">
        <v>188</v>
      </c>
      <c r="C54" s="2623">
        <v>165</v>
      </c>
      <c r="D54" s="2623">
        <f t="shared" si="109"/>
        <v>165</v>
      </c>
      <c r="E54" s="2623">
        <v>254</v>
      </c>
      <c r="F54" s="2624">
        <v>148</v>
      </c>
      <c r="G54" s="3445">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2604</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6">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2605</v>
      </c>
      <c r="B56" s="2631">
        <f t="shared" si="131"/>
        <v>168.82017748715555</v>
      </c>
      <c r="C56" s="2631">
        <f t="shared" si="131"/>
        <v>148.06267029972753</v>
      </c>
      <c r="D56" s="2631">
        <f t="shared" si="109"/>
        <v>148.06267029972753</v>
      </c>
      <c r="E56" s="2631">
        <f t="shared" si="132"/>
        <v>216.46288379323747</v>
      </c>
      <c r="F56" s="2631">
        <f t="shared" si="132"/>
        <v>134.23529411764704</v>
      </c>
      <c r="G56" s="3446">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2606</v>
      </c>
      <c r="B57" s="2631">
        <f t="shared" si="131"/>
        <v>163.84913591779542</v>
      </c>
      <c r="C57" s="2631">
        <f t="shared" si="131"/>
        <v>145.0283378746594</v>
      </c>
      <c r="D57" s="2631">
        <f t="shared" si="109"/>
        <v>145.0283378746594</v>
      </c>
      <c r="E57" s="2631">
        <f t="shared" si="132"/>
        <v>204.95180722891567</v>
      </c>
      <c r="F57" s="2631">
        <f t="shared" si="132"/>
        <v>125.95920303605313</v>
      </c>
      <c r="G57" s="3447">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2607</v>
      </c>
      <c r="B58" s="2645">
        <v>159</v>
      </c>
      <c r="C58" s="2645">
        <v>141</v>
      </c>
      <c r="D58" s="2645">
        <f t="shared" si="109"/>
        <v>141</v>
      </c>
      <c r="E58" s="2645">
        <v>195</v>
      </c>
      <c r="F58" s="2646">
        <v>122</v>
      </c>
      <c r="G58" s="3445">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2608</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6">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2609</v>
      </c>
      <c r="B60" s="2631">
        <f t="shared" si="135"/>
        <v>146.57412060301507</v>
      </c>
      <c r="C60" s="2631">
        <f t="shared" si="135"/>
        <v>136.46831955922866</v>
      </c>
      <c r="D60" s="2631">
        <f t="shared" si="109"/>
        <v>136.46831955922866</v>
      </c>
      <c r="E60" s="2631">
        <f t="shared" si="136"/>
        <v>166.73864894795128</v>
      </c>
      <c r="F60" s="2631">
        <f t="shared" si="136"/>
        <v>115.05882352941177</v>
      </c>
      <c r="G60" s="3446">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2610</v>
      </c>
      <c r="B61" s="2631">
        <f t="shared" si="135"/>
        <v>144.04145728643215</v>
      </c>
      <c r="C61" s="2631">
        <f t="shared" si="135"/>
        <v>136.12396694214877</v>
      </c>
      <c r="D61" s="2631">
        <f t="shared" si="109"/>
        <v>136.12396694214877</v>
      </c>
      <c r="E61" s="2631">
        <f t="shared" si="136"/>
        <v>158.32225913621264</v>
      </c>
      <c r="F61" s="2631">
        <f t="shared" si="136"/>
        <v>114.04278074866311</v>
      </c>
      <c r="G61" s="3447">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2611</v>
      </c>
      <c r="B62" s="2645">
        <v>138</v>
      </c>
      <c r="C62" s="2645">
        <v>131</v>
      </c>
      <c r="D62" s="2645">
        <f t="shared" si="109"/>
        <v>131</v>
      </c>
      <c r="E62" s="2645">
        <v>155</v>
      </c>
      <c r="F62" s="2646">
        <v>114</v>
      </c>
      <c r="G62" s="3445">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2612</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6">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2613</v>
      </c>
      <c r="B64" s="2631">
        <f t="shared" si="139"/>
        <v>124.29032258064517</v>
      </c>
      <c r="C64" s="2631">
        <f t="shared" si="139"/>
        <v>123.8968609865471</v>
      </c>
      <c r="D64" s="2631">
        <f t="shared" si="109"/>
        <v>123.8968609865471</v>
      </c>
      <c r="E64" s="2631">
        <f t="shared" si="140"/>
        <v>138.00507614213197</v>
      </c>
      <c r="F64" s="2631">
        <f t="shared" si="140"/>
        <v>107.96106557377048</v>
      </c>
      <c r="G64" s="3446">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2614</v>
      </c>
      <c r="B65" s="2631">
        <f t="shared" si="139"/>
        <v>122.57204301075269</v>
      </c>
      <c r="C65" s="2631">
        <f t="shared" si="139"/>
        <v>123.4932735426009</v>
      </c>
      <c r="D65" s="2631">
        <f t="shared" si="109"/>
        <v>123.4932735426009</v>
      </c>
      <c r="E65" s="2631">
        <f t="shared" si="140"/>
        <v>129.82233502538071</v>
      </c>
      <c r="F65" s="2631">
        <f t="shared" si="140"/>
        <v>107.39446721311475</v>
      </c>
      <c r="G65" s="3447">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2615</v>
      </c>
      <c r="B66" s="2661">
        <v>121</v>
      </c>
      <c r="C66" s="2661">
        <v>122</v>
      </c>
      <c r="D66" s="2661">
        <f t="shared" si="109"/>
        <v>122</v>
      </c>
      <c r="E66" s="2661">
        <v>124</v>
      </c>
      <c r="F66" s="2662">
        <v>107</v>
      </c>
      <c r="G66" s="3445">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2616</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6">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2617</v>
      </c>
      <c r="B68" s="2631">
        <f t="shared" si="143"/>
        <v>116.99099099099099</v>
      </c>
      <c r="C68" s="2631">
        <f t="shared" si="143"/>
        <v>118.84848484848486</v>
      </c>
      <c r="D68" s="2631">
        <f t="shared" si="109"/>
        <v>118.84848484848486</v>
      </c>
      <c r="E68" s="2631">
        <f t="shared" si="144"/>
        <v>117.60960960960961</v>
      </c>
      <c r="F68" s="2631">
        <f t="shared" si="144"/>
        <v>104</v>
      </c>
      <c r="G68" s="3446">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2618</v>
      </c>
      <c r="B69" s="2664">
        <f t="shared" si="143"/>
        <v>112.48648648648648</v>
      </c>
      <c r="C69" s="2664">
        <f t="shared" si="143"/>
        <v>115.21212121212122</v>
      </c>
      <c r="D69" s="2664">
        <f t="shared" si="109"/>
        <v>115.21212121212122</v>
      </c>
      <c r="E69" s="2664">
        <f t="shared" si="144"/>
        <v>110.4024024024024</v>
      </c>
      <c r="F69" s="2664">
        <f t="shared" si="144"/>
        <v>104</v>
      </c>
      <c r="G69" s="3447">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2619</v>
      </c>
      <c r="B70" s="2682">
        <v>111</v>
      </c>
      <c r="C70" s="2682">
        <v>114</v>
      </c>
      <c r="D70" s="2682">
        <f t="shared" si="109"/>
        <v>114</v>
      </c>
      <c r="E70" s="2682">
        <v>108</v>
      </c>
      <c r="F70" s="2683">
        <v>104</v>
      </c>
      <c r="G70" s="3445">
        <v>2003</v>
      </c>
      <c r="H70" s="2672">
        <v>4</v>
      </c>
      <c r="I70" s="2684"/>
      <c r="J70" s="2684"/>
      <c r="K70" s="2684"/>
      <c r="L70" s="2684"/>
      <c r="N70" s="2685"/>
      <c r="O70" s="2684"/>
      <c r="P70" s="2684"/>
      <c r="Q70" s="2684"/>
      <c r="S70" s="2685"/>
      <c r="T70" s="2684"/>
      <c r="U70" s="2684"/>
      <c r="V70" s="2684"/>
      <c r="X70" s="2676"/>
      <c r="Y70" s="2676"/>
      <c r="Z70" s="2676"/>
    </row>
    <row r="71" spans="1:26">
      <c r="A71" s="2618" t="s">
        <v>2620</v>
      </c>
      <c r="B71" s="2686">
        <f t="shared" ref="B71:C73" si="145">B72+(B$70-B$74)/4</f>
        <v>109.75</v>
      </c>
      <c r="C71" s="2686">
        <f t="shared" si="145"/>
        <v>112.25</v>
      </c>
      <c r="D71" s="2686">
        <f t="shared" si="109"/>
        <v>112.25</v>
      </c>
      <c r="E71" s="2686">
        <f t="shared" ref="E71:F73" si="146">E72+(E$70-E$74)/4</f>
        <v>107.25</v>
      </c>
      <c r="F71" s="2686">
        <f t="shared" si="146"/>
        <v>103.5</v>
      </c>
      <c r="G71" s="3446">
        <v>2003</v>
      </c>
      <c r="H71" s="2642">
        <v>3</v>
      </c>
      <c r="I71" s="2684"/>
      <c r="J71" s="2684"/>
      <c r="K71" s="2684"/>
      <c r="L71" s="2684"/>
      <c r="X71" s="2676"/>
      <c r="Y71" s="2676"/>
      <c r="Z71" s="2676"/>
    </row>
    <row r="72" spans="1:26">
      <c r="A72" s="2618" t="s">
        <v>2621</v>
      </c>
      <c r="B72" s="2686">
        <f t="shared" si="145"/>
        <v>108.5</v>
      </c>
      <c r="C72" s="2686">
        <f t="shared" si="145"/>
        <v>110.5</v>
      </c>
      <c r="D72" s="2686">
        <f t="shared" si="109"/>
        <v>110.5</v>
      </c>
      <c r="E72" s="2686">
        <f t="shared" si="146"/>
        <v>106.5</v>
      </c>
      <c r="F72" s="2686">
        <f t="shared" si="146"/>
        <v>103</v>
      </c>
      <c r="G72" s="3446">
        <v>2003</v>
      </c>
      <c r="H72" s="2622">
        <v>2</v>
      </c>
      <c r="I72" s="2684"/>
      <c r="J72" s="2684"/>
      <c r="K72" s="2684"/>
      <c r="L72" s="2684"/>
      <c r="X72" s="2676"/>
      <c r="Y72" s="2676"/>
      <c r="Z72" s="2676"/>
    </row>
    <row r="73" spans="1:26" ht="13.8" thickBot="1">
      <c r="A73" s="2618" t="s">
        <v>2622</v>
      </c>
      <c r="B73" s="2686">
        <f t="shared" si="145"/>
        <v>107.25</v>
      </c>
      <c r="C73" s="2686">
        <f t="shared" si="145"/>
        <v>108.75</v>
      </c>
      <c r="D73" s="2686">
        <f t="shared" si="109"/>
        <v>108.75</v>
      </c>
      <c r="E73" s="2686">
        <f t="shared" si="146"/>
        <v>105.75</v>
      </c>
      <c r="F73" s="2686">
        <f t="shared" si="146"/>
        <v>102.5</v>
      </c>
      <c r="G73" s="3447">
        <v>2003</v>
      </c>
      <c r="H73" s="2687">
        <v>1</v>
      </c>
      <c r="I73" s="2684"/>
      <c r="J73" s="2684"/>
      <c r="K73" s="2684"/>
      <c r="L73" s="2684"/>
      <c r="S73" s="2626"/>
      <c r="T73" s="2627"/>
      <c r="U73" s="2627"/>
      <c r="X73" s="2676"/>
      <c r="Y73" s="2676"/>
      <c r="Z73" s="2676"/>
    </row>
    <row r="74" spans="1:26" ht="13.8" thickBot="1">
      <c r="A74" s="2618" t="s">
        <v>2623</v>
      </c>
      <c r="B74" s="2688">
        <v>106</v>
      </c>
      <c r="C74" s="2688">
        <v>107</v>
      </c>
      <c r="D74" s="2688">
        <f t="shared" si="109"/>
        <v>107</v>
      </c>
      <c r="E74" s="2688">
        <v>105</v>
      </c>
      <c r="F74" s="2689">
        <v>102</v>
      </c>
      <c r="G74" s="3445">
        <v>2002</v>
      </c>
      <c r="H74" s="2637">
        <v>4</v>
      </c>
      <c r="I74" s="2684"/>
      <c r="J74" s="2684"/>
      <c r="K74" s="2684"/>
      <c r="L74" s="2684"/>
      <c r="N74" s="2685"/>
      <c r="O74" s="2684"/>
      <c r="P74" s="2684"/>
      <c r="Q74" s="2684"/>
      <c r="S74" s="2685"/>
      <c r="T74" s="2684"/>
      <c r="U74" s="2684"/>
      <c r="V74" s="2684"/>
      <c r="X74" s="2676"/>
      <c r="Y74" s="2676"/>
      <c r="Z74" s="2676"/>
    </row>
    <row r="75" spans="1:26">
      <c r="A75" s="2618" t="s">
        <v>2624</v>
      </c>
      <c r="B75" s="2686">
        <f t="shared" ref="B75:C77" si="147">B76+(B$74-B$78)/4</f>
        <v>105</v>
      </c>
      <c r="C75" s="2686">
        <f t="shared" si="147"/>
        <v>106</v>
      </c>
      <c r="D75" s="2686">
        <f t="shared" si="109"/>
        <v>106</v>
      </c>
      <c r="E75" s="2686">
        <f t="shared" ref="E75:F77" si="148">E76+(E$74-E$78)/4</f>
        <v>104.5</v>
      </c>
      <c r="F75" s="2686">
        <f t="shared" si="148"/>
        <v>101.5</v>
      </c>
      <c r="G75" s="3446">
        <v>2002</v>
      </c>
      <c r="H75" s="2642">
        <v>3</v>
      </c>
      <c r="I75" s="2684"/>
      <c r="J75" s="2684"/>
      <c r="K75" s="2684"/>
      <c r="L75" s="2684"/>
      <c r="X75" s="2676"/>
      <c r="Y75" s="2676"/>
      <c r="Z75" s="2676"/>
    </row>
    <row r="76" spans="1:26">
      <c r="A76" s="2618" t="s">
        <v>2625</v>
      </c>
      <c r="B76" s="2686">
        <f t="shared" si="147"/>
        <v>104</v>
      </c>
      <c r="C76" s="2686">
        <f t="shared" si="147"/>
        <v>105</v>
      </c>
      <c r="D76" s="2686">
        <f t="shared" si="109"/>
        <v>105</v>
      </c>
      <c r="E76" s="2686">
        <f t="shared" si="148"/>
        <v>104</v>
      </c>
      <c r="F76" s="2686">
        <f t="shared" si="148"/>
        <v>101</v>
      </c>
      <c r="G76" s="3446">
        <v>2002</v>
      </c>
      <c r="H76" s="2622">
        <v>2</v>
      </c>
      <c r="I76" s="2684"/>
      <c r="J76" s="2684"/>
      <c r="K76" s="2684"/>
      <c r="L76" s="2684"/>
      <c r="X76" s="2676"/>
      <c r="Y76" s="2676"/>
      <c r="Z76" s="2676"/>
    </row>
    <row r="77" spans="1:26" s="2653" customFormat="1" ht="13.8" thickBot="1">
      <c r="A77" s="2649" t="s">
        <v>2626</v>
      </c>
      <c r="B77" s="2690">
        <f t="shared" si="147"/>
        <v>103</v>
      </c>
      <c r="C77" s="2690">
        <f t="shared" si="147"/>
        <v>104</v>
      </c>
      <c r="D77" s="2690">
        <f t="shared" si="109"/>
        <v>104</v>
      </c>
      <c r="E77" s="2690">
        <f t="shared" si="148"/>
        <v>103.5</v>
      </c>
      <c r="F77" s="2690">
        <f t="shared" si="148"/>
        <v>100.5</v>
      </c>
      <c r="G77" s="3447">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2627</v>
      </c>
      <c r="G80" s="2700"/>
      <c r="N80" s="2700"/>
      <c r="S80" s="2700"/>
    </row>
    <row r="81" spans="1:22" s="2699" customFormat="1">
      <c r="A81" s="2699" t="s">
        <v>2628</v>
      </c>
      <c r="G81" s="2700"/>
      <c r="N81" s="2700"/>
      <c r="S81" s="2700"/>
    </row>
    <row r="82" spans="1:22" s="2699" customFormat="1">
      <c r="A82" s="2699" t="s">
        <v>2629</v>
      </c>
      <c r="G82" s="2700"/>
      <c r="I82" s="2701"/>
      <c r="J82" s="2701"/>
      <c r="K82" s="2701"/>
      <c r="L82" s="2701"/>
      <c r="N82" s="2702"/>
      <c r="O82" s="2701"/>
      <c r="P82" s="2701"/>
      <c r="Q82" s="2701"/>
      <c r="S82" s="2702"/>
      <c r="T82" s="2701"/>
      <c r="U82" s="2701"/>
      <c r="V82" s="2701"/>
    </row>
    <row r="83" spans="1:22" s="2699" customFormat="1">
      <c r="A83" s="2699" t="s">
        <v>2630</v>
      </c>
      <c r="G83" s="2700"/>
      <c r="N83" s="2700"/>
      <c r="S83" s="2700"/>
    </row>
    <row r="90" spans="1:22" ht="13.8" thickBot="1"/>
    <row r="91" spans="1:22">
      <c r="G91" s="2625"/>
      <c r="S91" s="2703" t="s">
        <v>2631</v>
      </c>
      <c r="T91" s="2704" t="s">
        <v>2632</v>
      </c>
      <c r="U91" s="2704" t="s">
        <v>2633</v>
      </c>
      <c r="V91" s="2704" t="s">
        <v>2634</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2941</v>
      </c>
      <c r="B1" s="3055"/>
      <c r="C1" s="3055"/>
      <c r="D1" s="3055"/>
      <c r="E1" s="3055"/>
      <c r="F1" s="3055"/>
    </row>
    <row r="2" spans="1:6" ht="15.6">
      <c r="A2" s="3056" t="s">
        <v>2936</v>
      </c>
      <c r="B2" s="3057" t="e">
        <f ca="1">SUMIF(B7:B14,"&lt;&gt;#ref!",B7:B14)</f>
        <v>#DIV/0!</v>
      </c>
      <c r="C2" s="3056" t="s">
        <v>2937</v>
      </c>
      <c r="D2" s="3055"/>
      <c r="E2" s="3055"/>
      <c r="F2" s="3055"/>
    </row>
    <row r="3" spans="1:6" ht="15.6">
      <c r="A3" s="3056" t="s">
        <v>2969</v>
      </c>
      <c r="B3" s="3057" t="e">
        <f ca="1">ROUND(B2*10000/E3,0)</f>
        <v>#DIV/0!</v>
      </c>
      <c r="C3" s="3056" t="s">
        <v>2075</v>
      </c>
      <c r="D3" s="3056" t="s">
        <v>2938</v>
      </c>
      <c r="E3" s="3057">
        <f ca="1">SUMIF(E7:E14,"&lt;&gt;#ref!",E7:E14)</f>
        <v>0</v>
      </c>
      <c r="F3" s="3055"/>
    </row>
    <row r="4" spans="1:6" ht="15.6">
      <c r="A4" s="3056" t="s">
        <v>2945</v>
      </c>
      <c r="B4" s="3057" t="e">
        <f ca="1">ROUND(B2*10000/E4,0)</f>
        <v>#DIV/0!</v>
      </c>
      <c r="C4" s="3056" t="s">
        <v>2075</v>
      </c>
      <c r="D4" s="3056" t="s">
        <v>2946</v>
      </c>
      <c r="E4" s="3057">
        <f ca="1">SUMIF(F7:F14,"&lt;&gt;#ref!",F7:F14)</f>
        <v>0</v>
      </c>
      <c r="F4" s="3055"/>
    </row>
    <row r="5" spans="1:6" ht="15.6">
      <c r="A5" s="3058"/>
      <c r="B5" s="1865"/>
      <c r="C5" s="1865"/>
      <c r="D5" s="1865"/>
      <c r="E5" s="1865"/>
      <c r="F5" s="3055"/>
    </row>
    <row r="6" spans="1:6" ht="31.2">
      <c r="A6" s="3059" t="s">
        <v>2942</v>
      </c>
      <c r="B6" s="3056" t="s">
        <v>2939</v>
      </c>
      <c r="C6" s="3057"/>
      <c r="D6" s="1865"/>
      <c r="E6" s="3056" t="s">
        <v>2940</v>
      </c>
      <c r="F6" s="3056" t="s">
        <v>2944</v>
      </c>
    </row>
    <row r="7" spans="1:6" ht="15.6">
      <c r="A7" s="260" t="s">
        <v>2943</v>
      </c>
      <c r="B7" s="3060" t="e">
        <f ca="1">SUMIF(INDIRECT("'"&amp;A7&amp;"'"&amp;"!A:A"),"总价",INDIRECT("'"&amp;A7&amp;"'"&amp;"!B:B"))</f>
        <v>#DIV/0!</v>
      </c>
      <c r="C7" s="3056" t="s">
        <v>2937</v>
      </c>
      <c r="D7" s="1865"/>
      <c r="E7" s="3061">
        <f ca="1">SUMIF(INDIRECT("'"&amp;A7&amp;"'"&amp;"!C:C"),"建筑面积",INDIRECT("'"&amp;A7&amp;"'"&amp;"!D:D"))</f>
        <v>0</v>
      </c>
      <c r="F7" s="3061">
        <f ca="1">SUMIF(INDIRECT("'"&amp;A7&amp;"'"&amp;"!E:E"),"土地面积",INDIRECT("'"&amp;A7&amp;"'"&amp;"!F:F"))</f>
        <v>0</v>
      </c>
    </row>
    <row r="8" spans="1:6" ht="15.6">
      <c r="A8" s="260"/>
      <c r="B8" s="3060" t="e">
        <f t="shared" ref="B8:B14" ca="1" si="0">SUMIF(INDIRECT("'"&amp;A8&amp;"'"&amp;"!A:A"),"总价",INDIRECT("'"&amp;A8&amp;"'"&amp;"!B:B"))</f>
        <v>#REF!</v>
      </c>
      <c r="C8" s="3056" t="s">
        <v>2937</v>
      </c>
      <c r="D8" s="1865"/>
      <c r="E8" s="3061" t="e">
        <f t="shared" ref="E8:E14" ca="1" si="1">SUMIF(INDIRECT("'"&amp;A8&amp;"'"&amp;"!C:C"),"建筑面积",INDIRECT("'"&amp;A8&amp;"'"&amp;"!D:D"))</f>
        <v>#REF!</v>
      </c>
      <c r="F8" s="3061" t="e">
        <f t="shared" ref="F8:F14" ca="1" si="2">SUMIF(INDIRECT("'"&amp;A8&amp;"'"&amp;"!E:E"),"土地面积",INDIRECT("'"&amp;A8&amp;"'"&amp;"!F:F"))</f>
        <v>#REF!</v>
      </c>
    </row>
    <row r="9" spans="1:6" ht="15.6">
      <c r="A9" s="260"/>
      <c r="B9" s="3060" t="e">
        <f t="shared" ca="1" si="0"/>
        <v>#REF!</v>
      </c>
      <c r="C9" s="3056" t="s">
        <v>2937</v>
      </c>
      <c r="D9" s="1865"/>
      <c r="E9" s="3061" t="e">
        <f t="shared" ca="1" si="1"/>
        <v>#REF!</v>
      </c>
      <c r="F9" s="3061" t="e">
        <f t="shared" ca="1" si="2"/>
        <v>#REF!</v>
      </c>
    </row>
    <row r="10" spans="1:6" ht="15.6">
      <c r="A10" s="260"/>
      <c r="B10" s="3060" t="e">
        <f t="shared" ca="1" si="0"/>
        <v>#REF!</v>
      </c>
      <c r="C10" s="3056" t="s">
        <v>2937</v>
      </c>
      <c r="D10" s="1865"/>
      <c r="E10" s="3061" t="e">
        <f t="shared" ca="1" si="1"/>
        <v>#REF!</v>
      </c>
      <c r="F10" s="3061" t="e">
        <f t="shared" ca="1" si="2"/>
        <v>#REF!</v>
      </c>
    </row>
    <row r="11" spans="1:6" ht="15.6">
      <c r="A11" s="260"/>
      <c r="B11" s="3060" t="e">
        <f t="shared" ca="1" si="0"/>
        <v>#REF!</v>
      </c>
      <c r="C11" s="3056" t="s">
        <v>2937</v>
      </c>
      <c r="D11" s="1865"/>
      <c r="E11" s="3061" t="e">
        <f t="shared" ca="1" si="1"/>
        <v>#REF!</v>
      </c>
      <c r="F11" s="3061" t="e">
        <f t="shared" ca="1" si="2"/>
        <v>#REF!</v>
      </c>
    </row>
    <row r="12" spans="1:6" ht="15.6">
      <c r="A12" s="260"/>
      <c r="B12" s="3060" t="e">
        <f t="shared" ca="1" si="0"/>
        <v>#REF!</v>
      </c>
      <c r="C12" s="3056" t="s">
        <v>2937</v>
      </c>
      <c r="D12" s="1865"/>
      <c r="E12" s="3061" t="e">
        <f t="shared" ca="1" si="1"/>
        <v>#REF!</v>
      </c>
      <c r="F12" s="3061" t="e">
        <f t="shared" ca="1" si="2"/>
        <v>#REF!</v>
      </c>
    </row>
    <row r="13" spans="1:6" ht="15.6">
      <c r="A13" s="260"/>
      <c r="B13" s="3060" t="e">
        <f t="shared" ca="1" si="0"/>
        <v>#REF!</v>
      </c>
      <c r="C13" s="3056" t="s">
        <v>2937</v>
      </c>
      <c r="D13" s="1865"/>
      <c r="E13" s="3061" t="e">
        <f t="shared" ca="1" si="1"/>
        <v>#REF!</v>
      </c>
      <c r="F13" s="3061" t="e">
        <f t="shared" ca="1" si="2"/>
        <v>#REF!</v>
      </c>
    </row>
    <row r="14" spans="1:6" ht="15.6">
      <c r="A14" s="3054"/>
      <c r="B14" s="3060" t="e">
        <f t="shared" ca="1" si="0"/>
        <v>#REF!</v>
      </c>
      <c r="C14" s="3056" t="s">
        <v>2937</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2371</v>
      </c>
      <c r="F1" s="2351">
        <f ca="1">J54</f>
        <v>-2</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1685</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1823</v>
      </c>
      <c r="B8" s="3454" t="s">
        <v>2460</v>
      </c>
      <c r="C8" s="1809">
        <f ca="1">ROUND(F8*F10*F9*(1-F11)/10000,0)</f>
        <v>0</v>
      </c>
      <c r="D8" s="1806" t="s">
        <v>2531</v>
      </c>
      <c r="E8" s="61" t="s">
        <v>637</v>
      </c>
      <c r="F8" s="785">
        <f ca="1">INDIRECT("'数据-取费表'!u"&amp;$G$1)</f>
        <v>0</v>
      </c>
      <c r="G8" s="1579"/>
      <c r="H8" s="2467" t="s">
        <v>1823</v>
      </c>
      <c r="I8" s="3454" t="s">
        <v>2460</v>
      </c>
      <c r="J8" s="783">
        <f ca="1">ROUND(M8*M10*M9*(1-M11)/10000,0)</f>
        <v>0</v>
      </c>
      <c r="K8" s="341" t="s">
        <v>2531</v>
      </c>
      <c r="L8" s="784" t="s">
        <v>1737</v>
      </c>
      <c r="M8" s="785">
        <f ca="1">INDIRECT("'数据-取费表'!z"&amp;$G$1)</f>
        <v>0</v>
      </c>
    </row>
    <row r="9" spans="1:25" ht="18" customHeight="1">
      <c r="A9" s="2463"/>
      <c r="B9" s="3455"/>
      <c r="C9" s="1810"/>
      <c r="D9" s="1807"/>
      <c r="E9" s="61" t="s">
        <v>638</v>
      </c>
      <c r="F9" s="785">
        <f ca="1">IF(INDIRECT("'数据-取费表'!ah"&amp;$G$1)="",INDIRECT("'数据-取费表'!k"&amp;$G$1),INDIRECT("'数据-取费表'!ah"&amp;$G$1))</f>
        <v>0</v>
      </c>
      <c r="G9" s="1579"/>
      <c r="H9" s="2452"/>
      <c r="I9" s="3455"/>
      <c r="J9" s="788"/>
      <c r="K9" s="789"/>
      <c r="L9" s="784" t="s">
        <v>1738</v>
      </c>
      <c r="M9" s="785">
        <f ca="1">F9</f>
        <v>0</v>
      </c>
    </row>
    <row r="10" spans="1:25" ht="18" customHeight="1">
      <c r="A10" s="2456"/>
      <c r="B10" s="3456"/>
      <c r="C10" s="1810"/>
      <c r="D10" s="1807"/>
      <c r="E10" s="61" t="s">
        <v>639</v>
      </c>
      <c r="F10" s="785">
        <f ca="1">INDIRECT("'数据-取费表'!ai"&amp;$G$1)</f>
        <v>0</v>
      </c>
      <c r="G10" s="1579"/>
      <c r="H10" s="2452"/>
      <c r="I10" s="3456"/>
      <c r="J10" s="788"/>
      <c r="K10" s="789"/>
      <c r="L10" s="784" t="s">
        <v>1739</v>
      </c>
      <c r="M10" s="785">
        <f ca="1">INDIRECT("'数据-取费表'!ai"&amp;$G$1)</f>
        <v>0</v>
      </c>
    </row>
    <row r="11" spans="1:25" ht="18" customHeight="1">
      <c r="A11" s="786"/>
      <c r="B11" s="3457"/>
      <c r="C11" s="1810"/>
      <c r="D11" s="1807"/>
      <c r="E11" s="61" t="s">
        <v>640</v>
      </c>
      <c r="F11" s="794">
        <f ca="1">INDIRECT("'数据-取费表'!w"&amp;$G$1)</f>
        <v>0</v>
      </c>
      <c r="G11" s="1579"/>
      <c r="H11" s="2468"/>
      <c r="I11" s="3456"/>
      <c r="J11" s="788"/>
      <c r="K11" s="789"/>
      <c r="L11" s="795" t="s">
        <v>1740</v>
      </c>
      <c r="M11" s="796">
        <f ca="1">INDIRECT("'数据-取费表'!ab"&amp;$G$1)</f>
        <v>0</v>
      </c>
    </row>
    <row r="12" spans="1:25" ht="18" customHeight="1">
      <c r="A12" s="1814" t="s">
        <v>1824</v>
      </c>
      <c r="B12" s="2457" t="s">
        <v>2456</v>
      </c>
      <c r="C12" s="799">
        <f ca="1">ROUND(IF(F12="押一",C8/12*F13,IF(F12="押二",C8/12*2*F13,IF(F12="押三",C8/12*3*F13,C13*F13))),0)</f>
        <v>0</v>
      </c>
      <c r="D12" s="2464" t="s">
        <v>2966</v>
      </c>
      <c r="E12" s="2461" t="s">
        <v>2461</v>
      </c>
      <c r="F12" s="2584"/>
      <c r="G12" s="1579"/>
      <c r="H12" s="2524" t="s">
        <v>1824</v>
      </c>
      <c r="I12" s="2529" t="s">
        <v>2456</v>
      </c>
      <c r="J12" s="783">
        <f ca="1">ROUND(IF(M12="押一",J8/12*M13,IF(M12="押二",J8/12*2*M13,IF(M12="押三",J8/12*3*M13,J13*M13))),0)</f>
        <v>0</v>
      </c>
      <c r="K12" s="2464" t="s">
        <v>2966</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1873</v>
      </c>
      <c r="B15" s="1811" t="s">
        <v>641</v>
      </c>
      <c r="C15" s="792">
        <f ca="1">ROUND(C31*F15,0)</f>
        <v>0</v>
      </c>
      <c r="D15" s="1818" t="s">
        <v>642</v>
      </c>
      <c r="E15" s="795" t="s">
        <v>643</v>
      </c>
      <c r="F15" s="800">
        <f ca="1">INDIRECT("'数据-取费表'!y"&amp;$G$1)</f>
        <v>0</v>
      </c>
      <c r="G15" s="1579"/>
      <c r="H15" s="1813" t="s">
        <v>1825</v>
      </c>
      <c r="I15" s="1811" t="s">
        <v>644</v>
      </c>
      <c r="J15" s="1803">
        <f ca="1">ROUND(J16*J17,0)</f>
        <v>0</v>
      </c>
      <c r="K15" s="1805" t="s">
        <v>642</v>
      </c>
      <c r="L15" s="801"/>
      <c r="M15" s="802"/>
    </row>
    <row r="16" spans="1:25" ht="18" customHeight="1">
      <c r="A16" s="803" t="s">
        <v>1874</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6"/>
      <c r="M18" s="56"/>
    </row>
    <row r="19" spans="1:25" s="2048"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1875</v>
      </c>
      <c r="B21" s="784" t="s">
        <v>662</v>
      </c>
      <c r="C21" s="53">
        <f ca="1">SUM(C16:C20)</f>
        <v>0</v>
      </c>
      <c r="D21" s="261" t="s">
        <v>663</v>
      </c>
      <c r="E21" s="1966"/>
      <c r="F21" s="56"/>
      <c r="G21" s="1579"/>
      <c r="H21" s="1814"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1876</v>
      </c>
      <c r="B22" s="784" t="s">
        <v>666</v>
      </c>
      <c r="C22" s="53">
        <f ca="1">ROUND(C21*F22,0)</f>
        <v>0</v>
      </c>
      <c r="D22" s="812" t="s">
        <v>667</v>
      </c>
      <c r="E22" s="784" t="s">
        <v>649</v>
      </c>
      <c r="F22" s="809">
        <f>'数据-取费表'!B37</f>
        <v>0.02</v>
      </c>
      <c r="G22" s="1580"/>
      <c r="H22" s="1816" t="s">
        <v>1849</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1877</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675</v>
      </c>
      <c r="C24" s="53"/>
      <c r="D24" s="2535" t="str">
        <f>IF(F25&lt;=1,"单利计息。","复利计息。")&amp;"建造成本、管理费用、销售费用产生的利息。"</f>
        <v>复利计息。建造成本、管理费用、销售费用产生的利息。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1874</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684</v>
      </c>
      <c r="C27" s="53"/>
      <c r="D27" s="261" t="s">
        <v>685</v>
      </c>
      <c r="E27" s="1966"/>
      <c r="F27" s="56"/>
      <c r="G27" s="1579"/>
      <c r="H27" s="797" t="s">
        <v>1827</v>
      </c>
      <c r="I27" s="2962" t="s">
        <v>2818</v>
      </c>
      <c r="J27" s="799">
        <f ca="1">J7-J18</f>
        <v>0</v>
      </c>
      <c r="K27" s="1963" t="s">
        <v>700</v>
      </c>
      <c r="L27" s="1965"/>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2819</v>
      </c>
      <c r="C31" s="2507">
        <f ca="1">ROUND((C21+C22+C25+C28)/(1-F23-C26-C29-C30),0)</f>
        <v>0</v>
      </c>
      <c r="D31" s="2508"/>
      <c r="E31" s="2509"/>
      <c r="F31" s="2510"/>
      <c r="G31" s="1580"/>
      <c r="H31" s="823" t="s">
        <v>1871</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1875</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6"/>
      <c r="H35" s="2061"/>
      <c r="I35" s="2061"/>
      <c r="J35" s="2061"/>
      <c r="K35" s="2062"/>
      <c r="L35" s="2061"/>
      <c r="M35" s="2061"/>
    </row>
    <row r="36" spans="1:18" ht="18" customHeight="1">
      <c r="A36" s="813" t="s">
        <v>1879</v>
      </c>
      <c r="B36" s="341" t="s">
        <v>668</v>
      </c>
      <c r="C36" s="54">
        <f ca="1">ROUND(F36*F37/10000,1)</f>
        <v>0</v>
      </c>
      <c r="D36" s="814" t="s">
        <v>669</v>
      </c>
      <c r="E36" s="784" t="s">
        <v>670</v>
      </c>
      <c r="F36" s="640">
        <f>'数据-取费表'!B52</f>
        <v>15</v>
      </c>
      <c r="G36" s="2046"/>
      <c r="H36" s="2049"/>
      <c r="I36" s="3453"/>
      <c r="J36" s="2063"/>
      <c r="K36" s="2064"/>
      <c r="L36" s="2063"/>
      <c r="M36" s="2063"/>
    </row>
    <row r="37" spans="1:18" ht="18" customHeight="1">
      <c r="A37" s="815"/>
      <c r="B37" s="793"/>
      <c r="C37" s="69"/>
      <c r="D37" s="816"/>
      <c r="E37" s="784" t="s">
        <v>674</v>
      </c>
      <c r="F37" s="785">
        <f ca="1">INDIRECT("'数据-取费表'!r"&amp;$G$1)</f>
        <v>0</v>
      </c>
      <c r="G37" s="2046"/>
      <c r="H37" s="2049"/>
      <c r="I37" s="3453"/>
      <c r="J37" s="2061"/>
      <c r="K37" s="2062"/>
      <c r="L37" s="2061"/>
      <c r="M37" s="2061"/>
    </row>
    <row r="38" spans="1:18" ht="18" customHeight="1">
      <c r="A38" s="803" t="s">
        <v>1876</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1877</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1878</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1875</v>
      </c>
      <c r="B42" s="835" t="s">
        <v>693</v>
      </c>
      <c r="C42" s="829">
        <f ca="1">C7-C32</f>
        <v>0</v>
      </c>
      <c r="D42" s="1963" t="s">
        <v>694</v>
      </c>
      <c r="E42" s="1965"/>
      <c r="F42" s="820"/>
      <c r="G42" s="2046"/>
      <c r="H42" s="2046"/>
      <c r="I42" s="2046"/>
      <c r="J42" s="2046"/>
      <c r="K42" s="2067"/>
      <c r="L42" s="2046"/>
      <c r="M42" s="2046"/>
    </row>
    <row r="43" spans="1:18" ht="18" customHeight="1">
      <c r="A43" s="803" t="s">
        <v>1876</v>
      </c>
      <c r="B43" s="835" t="s">
        <v>711</v>
      </c>
      <c r="C43" s="836">
        <f ca="1">ROUND(C15*F43,0)</f>
        <v>0</v>
      </c>
      <c r="D43" s="1352" t="s">
        <v>712</v>
      </c>
      <c r="E43" s="3072" t="s">
        <v>2954</v>
      </c>
      <c r="F43" s="3073">
        <f ca="1">INDIRECT("'数据-取费表'!j"&amp;$G$1)</f>
        <v>0</v>
      </c>
      <c r="G43" s="2046"/>
      <c r="H43" s="2046"/>
      <c r="I43" s="2046"/>
      <c r="J43" s="2046"/>
      <c r="K43" s="2067"/>
      <c r="L43" s="2046"/>
      <c r="M43" s="2046"/>
    </row>
    <row r="44" spans="1:18" ht="18" customHeight="1">
      <c r="A44" s="803" t="s">
        <v>1877</v>
      </c>
      <c r="B44" s="835" t="s">
        <v>713</v>
      </c>
      <c r="C44" s="1353">
        <f ca="1">C42-C43</f>
        <v>0</v>
      </c>
      <c r="D44" s="463" t="s">
        <v>714</v>
      </c>
      <c r="E44" s="464"/>
      <c r="F44" s="465"/>
      <c r="G44" s="2046"/>
      <c r="H44" s="2046"/>
      <c r="I44" s="2046"/>
      <c r="J44" s="2046"/>
      <c r="K44" s="2067"/>
      <c r="L44" s="2046"/>
      <c r="M44" s="2046"/>
    </row>
    <row r="45" spans="1:18" ht="18" customHeight="1">
      <c r="A45" s="803" t="s">
        <v>1878</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4" t="s">
        <v>2957</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6" t="str">
        <f ca="1">IF(M48="住宅",0,IF(L49&gt;J52,L61,J61))</f>
        <v>0</v>
      </c>
      <c r="O47" s="2357" t="s">
        <v>2407</v>
      </c>
      <c r="P47" s="1579"/>
      <c r="Q47" s="1590"/>
      <c r="R47" s="1579"/>
    </row>
    <row r="48" spans="1:18" s="2043" customFormat="1" ht="18" customHeight="1" thickBot="1">
      <c r="A48" s="2068"/>
      <c r="C48" s="2071"/>
      <c r="D48" s="2072"/>
      <c r="E48" s="2072"/>
      <c r="F48" s="2073"/>
      <c r="G48" s="2074"/>
      <c r="I48" s="3097" t="s">
        <v>2341</v>
      </c>
      <c r="J48" s="2344"/>
      <c r="K48" s="3103" t="s">
        <v>2346</v>
      </c>
      <c r="L48" s="3107">
        <f ca="1">INDIRECT("'数据-取费表'!d"&amp;$G$1)</f>
        <v>0</v>
      </c>
      <c r="M48" s="3071"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6" t="s">
        <v>2342</v>
      </c>
      <c r="J49" s="2345"/>
      <c r="K49" s="3104"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6" t="s">
        <v>2343</v>
      </c>
      <c r="J50" s="2346"/>
      <c r="K50" s="3105"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6" t="s">
        <v>2344</v>
      </c>
      <c r="J51" s="3101">
        <f>SUMPRODUCT((I64:I66=J48)*(J63:L63=J49)*(J64:L66))</f>
        <v>0</v>
      </c>
      <c r="K51" s="3105" t="s">
        <v>2350</v>
      </c>
      <c r="L51" s="2347"/>
      <c r="O51" s="2364" t="s">
        <v>2380</v>
      </c>
      <c r="P51" s="2362" t="s">
        <v>2404</v>
      </c>
      <c r="Q51" s="2363">
        <f ca="1">C31</f>
        <v>0</v>
      </c>
      <c r="R51" s="2362" t="s">
        <v>2377</v>
      </c>
    </row>
    <row r="52" spans="1:18" s="2043" customFormat="1" ht="18" customHeight="1" thickBot="1">
      <c r="A52" s="2080"/>
      <c r="F52" s="2069"/>
      <c r="I52" s="3098" t="s">
        <v>2345</v>
      </c>
      <c r="J52" s="3102">
        <f>IF(J50="",J51,J50+J51-YEAR('数据-取费表'!B3))</f>
        <v>0</v>
      </c>
      <c r="K52" s="3076" t="s">
        <v>2351</v>
      </c>
      <c r="L52" s="3108">
        <f ca="1">ROUND(-PV(INDIRECT("'数据-取费表'!h"&amp;$G$1),L49,(C40-C14*J36),0),0)</f>
        <v>0</v>
      </c>
      <c r="O52" s="2364" t="s">
        <v>2381</v>
      </c>
      <c r="P52" s="2362" t="s">
        <v>2382</v>
      </c>
      <c r="Q52" s="2365" t="e">
        <f ca="1">J59</f>
        <v>#VALUE!</v>
      </c>
      <c r="R52" s="2366"/>
    </row>
    <row r="53" spans="1:18" s="2043" customFormat="1" ht="18" customHeight="1" thickBot="1">
      <c r="A53" s="2080"/>
      <c r="F53" s="2069"/>
      <c r="I53" s="3099" t="s">
        <v>2418</v>
      </c>
      <c r="J53" s="2348"/>
      <c r="K53" s="3099" t="s">
        <v>2417</v>
      </c>
      <c r="L53" s="2348"/>
      <c r="O53" s="2364" t="s">
        <v>2383</v>
      </c>
      <c r="P53" s="2362" t="s">
        <v>2384</v>
      </c>
      <c r="Q53" s="2365">
        <f>J53</f>
        <v>0</v>
      </c>
      <c r="R53" s="2366"/>
    </row>
    <row r="54" spans="1:18" s="2043" customFormat="1" ht="31.8" thickBot="1">
      <c r="A54" s="2080"/>
      <c r="I54" s="3100" t="s">
        <v>2970</v>
      </c>
      <c r="J54" s="3179">
        <f ca="1">IF(M48="住宅",MAX(J52,L49-'数据-取费表'!B20),MIN(J52,L49-'数据-取费表'!B20))</f>
        <v>-2</v>
      </c>
      <c r="K54" s="3458"/>
      <c r="L54" s="3459"/>
      <c r="O54" s="2364" t="s">
        <v>2385</v>
      </c>
      <c r="P54" s="2362" t="s">
        <v>2386</v>
      </c>
      <c r="Q54" s="2363">
        <f ca="1">J54</f>
        <v>-2</v>
      </c>
      <c r="R54" s="2362" t="s">
        <v>2387</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2388</v>
      </c>
      <c r="P55" s="2362" t="s">
        <v>2405</v>
      </c>
      <c r="Q55" s="2363">
        <f ca="1">Q49+Q50</f>
        <v>0</v>
      </c>
      <c r="R55" s="2366" t="s">
        <v>2389</v>
      </c>
    </row>
    <row r="56" spans="1:18" s="2043" customFormat="1" ht="16.2" thickBot="1">
      <c r="A56" s="2080"/>
      <c r="B56" s="2081"/>
      <c r="C56" s="2081"/>
      <c r="I56" s="3111" t="s">
        <v>2352</v>
      </c>
      <c r="J56" s="3051" t="e">
        <f ca="1">ROUND(IF(J48="钢混",J58/J51,1-(1-2%)*(J51-J58)/J51),3)</f>
        <v>#VALUE!</v>
      </c>
      <c r="K56" s="3112" t="s">
        <v>2353</v>
      </c>
      <c r="L56" s="2349"/>
      <c r="O56" s="2367" t="s">
        <v>2408</v>
      </c>
      <c r="P56" s="1579"/>
      <c r="Q56" s="1590"/>
      <c r="R56" s="1579"/>
    </row>
    <row r="57" spans="1:18" s="2043" customFormat="1" ht="47.4" thickBot="1">
      <c r="A57" s="2080"/>
      <c r="B57" s="2081"/>
      <c r="C57" s="2081"/>
      <c r="I57" s="3113" t="s">
        <v>2354</v>
      </c>
      <c r="J57" s="3123" t="s">
        <v>1677</v>
      </c>
      <c r="K57" s="3076" t="s">
        <v>2359</v>
      </c>
      <c r="L57" s="1892">
        <f ca="1">IF(L49&lt;J52,"——",L49-J52)</f>
        <v>0</v>
      </c>
      <c r="O57" s="2358" t="s">
        <v>2372</v>
      </c>
      <c r="P57" s="2359" t="s">
        <v>2373</v>
      </c>
      <c r="Q57" s="2360" t="s">
        <v>2374</v>
      </c>
      <c r="R57" s="2359" t="s">
        <v>2375</v>
      </c>
    </row>
    <row r="58" spans="1:18" s="2043" customFormat="1" ht="31.8" thickBot="1">
      <c r="A58" s="2080"/>
      <c r="B58" s="2081"/>
      <c r="C58" s="2081"/>
      <c r="I58" s="3114" t="s">
        <v>2355</v>
      </c>
      <c r="J58" s="3115" t="str">
        <f ca="1">IF(OR(M48="住宅",J52&lt;L49,J57="是"),"——",J52-L49)</f>
        <v>——</v>
      </c>
      <c r="K58" s="3076" t="s">
        <v>2360</v>
      </c>
      <c r="L58" s="1892">
        <f ca="1">IF(L49&lt;J52,"——",IF(L56="比较法",L50,IF(L56="基准地价",L51,L52)))</f>
        <v>0</v>
      </c>
      <c r="O58" s="2361" t="s">
        <v>2376</v>
      </c>
      <c r="P58" s="2362" t="s">
        <v>2402</v>
      </c>
      <c r="Q58" s="2363">
        <f ca="1">C41+J31</f>
        <v>0</v>
      </c>
      <c r="R58" s="2362" t="s">
        <v>2377</v>
      </c>
    </row>
    <row r="59" spans="1:18" s="2043" customFormat="1" ht="31.8" thickBot="1">
      <c r="A59" s="2080"/>
      <c r="B59" s="2081"/>
      <c r="C59" s="2081"/>
      <c r="I59" s="3114" t="s">
        <v>2356</v>
      </c>
      <c r="J59" s="3052" t="e">
        <f ca="1">IF(J56&lt;0.4,0.4,J56)</f>
        <v>#VALUE!</v>
      </c>
      <c r="K59" s="3076"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31.8" thickBot="1">
      <c r="A60" s="2080"/>
      <c r="B60" s="2081"/>
      <c r="C60" s="2081"/>
      <c r="I60" s="3114" t="s">
        <v>2357</v>
      </c>
      <c r="J60" s="3115" t="str">
        <f ca="1">IF(OR(M48="住宅",J52&lt;L49,J57="是"),"——",ROUND(C30*J59,0))</f>
        <v>——</v>
      </c>
      <c r="K60" s="3076"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6.2" thickBot="1">
      <c r="A61" s="2080"/>
      <c r="B61" s="2081"/>
      <c r="C61" s="2081"/>
      <c r="I61" s="3116" t="s">
        <v>2358</v>
      </c>
      <c r="J61" s="3117" t="str">
        <f ca="1">IF(OR(M48="住宅",J52&lt;L49,J57="是"),"0",ROUND(J60/(1+J53)^J54,0))</f>
        <v>0</v>
      </c>
      <c r="K61" s="3118" t="s">
        <v>2363</v>
      </c>
      <c r="L61" s="3117" t="e">
        <f ca="1">IF(OR(M48="住宅",L49&lt;J52),0,ROUND(L58*(L59/L60-1),0))</f>
        <v>#DIV/0!</v>
      </c>
      <c r="O61" s="2364" t="s">
        <v>2381</v>
      </c>
      <c r="P61" s="2362" t="s">
        <v>2390</v>
      </c>
      <c r="Q61" s="2365">
        <f>L53</f>
        <v>0</v>
      </c>
      <c r="R61" s="2366"/>
    </row>
    <row r="62" spans="1:18" s="2043" customFormat="1" ht="19.2" thickBot="1">
      <c r="A62" s="2080"/>
      <c r="B62" s="2081"/>
      <c r="C62" s="2081"/>
      <c r="K62" s="2070"/>
      <c r="O62" s="2364" t="s">
        <v>2383</v>
      </c>
      <c r="P62" s="2362" t="s">
        <v>2391</v>
      </c>
      <c r="Q62" s="2363">
        <f ca="1">L59</f>
        <v>0</v>
      </c>
      <c r="R62" s="2366" t="s">
        <v>2392</v>
      </c>
    </row>
    <row r="63" spans="1:18" s="2043" customFormat="1" ht="19.2" thickBot="1">
      <c r="A63" s="2080"/>
      <c r="B63" s="2081"/>
      <c r="C63" s="2081"/>
      <c r="I63" s="3119" t="s">
        <v>2364</v>
      </c>
      <c r="J63" s="3120" t="s">
        <v>2365</v>
      </c>
      <c r="K63" s="3120" t="s">
        <v>2366</v>
      </c>
      <c r="L63" s="3120" t="s">
        <v>2347</v>
      </c>
      <c r="M63" s="3121" t="s">
        <v>2935</v>
      </c>
      <c r="O63" s="2364" t="s">
        <v>2385</v>
      </c>
      <c r="P63" s="2362" t="s">
        <v>2393</v>
      </c>
      <c r="Q63" s="2363">
        <f ca="1">L60</f>
        <v>0</v>
      </c>
      <c r="R63" s="2366" t="s">
        <v>2394</v>
      </c>
    </row>
    <row r="64" spans="1:18" s="2043" customFormat="1" ht="16.2" thickBot="1">
      <c r="A64" s="2080"/>
      <c r="B64" s="2081"/>
      <c r="C64" s="2081"/>
      <c r="I64" s="3119" t="s">
        <v>2367</v>
      </c>
      <c r="J64" s="3120">
        <v>70</v>
      </c>
      <c r="K64" s="3120">
        <v>50</v>
      </c>
      <c r="L64" s="3120">
        <v>80</v>
      </c>
      <c r="M64" s="3122">
        <v>0.02</v>
      </c>
      <c r="O64" s="2361" t="s">
        <v>2388</v>
      </c>
      <c r="P64" s="2362" t="s">
        <v>2405</v>
      </c>
      <c r="Q64" s="2363" t="e">
        <f ca="1">Q58+Q59</f>
        <v>#DIV/0!</v>
      </c>
      <c r="R64" s="2366" t="s">
        <v>2389</v>
      </c>
    </row>
    <row r="65" spans="1:18" s="2043" customFormat="1" ht="16.2" thickBot="1">
      <c r="A65" s="2080"/>
      <c r="B65" s="2081"/>
      <c r="C65" s="2081"/>
      <c r="I65" s="3119" t="s">
        <v>2368</v>
      </c>
      <c r="J65" s="3120">
        <v>50</v>
      </c>
      <c r="K65" s="3120">
        <v>35</v>
      </c>
      <c r="L65" s="3120">
        <v>60</v>
      </c>
      <c r="M65" s="846">
        <v>0</v>
      </c>
      <c r="O65" s="2367" t="s">
        <v>2412</v>
      </c>
      <c r="P65" s="1579"/>
      <c r="Q65" s="1590"/>
      <c r="R65" s="1579"/>
    </row>
    <row r="66" spans="1:18" s="2043" customFormat="1" ht="16.2" thickBot="1">
      <c r="A66" s="2080"/>
      <c r="B66" s="2081"/>
      <c r="C66" s="2081"/>
      <c r="I66" s="3119" t="s">
        <v>2369</v>
      </c>
      <c r="J66" s="3120">
        <v>40</v>
      </c>
      <c r="K66" s="3120">
        <v>30</v>
      </c>
      <c r="L66" s="3120">
        <v>50</v>
      </c>
      <c r="M66" s="3122">
        <v>0.02</v>
      </c>
      <c r="O66" s="2358" t="s">
        <v>2372</v>
      </c>
      <c r="P66" s="2359" t="s">
        <v>2373</v>
      </c>
      <c r="Q66" s="2360" t="s">
        <v>2374</v>
      </c>
      <c r="R66" s="2359" t="s">
        <v>2375</v>
      </c>
    </row>
    <row r="67" spans="1:18" s="2043" customFormat="1" ht="16.2" thickBot="1">
      <c r="A67" s="2080"/>
      <c r="B67" s="2081"/>
      <c r="C67" s="2081"/>
      <c r="K67" s="2070"/>
      <c r="O67" s="2361" t="s">
        <v>2376</v>
      </c>
      <c r="P67" s="2362" t="s">
        <v>2402</v>
      </c>
      <c r="Q67" s="2363">
        <f ca="1">C41+J31</f>
        <v>0</v>
      </c>
      <c r="R67" s="2362" t="s">
        <v>2377</v>
      </c>
    </row>
    <row r="68" spans="1:18" s="2043" customFormat="1" ht="19.2" thickBot="1">
      <c r="A68" s="2080"/>
      <c r="B68" s="2081"/>
      <c r="C68" s="2081"/>
      <c r="K68" s="2070"/>
      <c r="O68" s="2361" t="s">
        <v>2378</v>
      </c>
      <c r="P68" s="2362" t="s">
        <v>2409</v>
      </c>
      <c r="Q68" s="2363" t="e">
        <f ca="1">L61</f>
        <v>#DIV/0!</v>
      </c>
      <c r="R68" s="2366" t="s">
        <v>2411</v>
      </c>
    </row>
    <row r="69" spans="1:18" s="2043" customFormat="1" ht="20.399999999999999" thickBot="1">
      <c r="A69" s="2080"/>
      <c r="B69" s="2081"/>
      <c r="C69" s="2081"/>
      <c r="K69" s="2070"/>
      <c r="O69" s="2364" t="s">
        <v>2380</v>
      </c>
      <c r="P69" s="2362" t="s">
        <v>2410</v>
      </c>
      <c r="Q69" s="2368">
        <f ca="1">L52</f>
        <v>0</v>
      </c>
      <c r="R69" s="2369" t="s">
        <v>2413</v>
      </c>
    </row>
    <row r="70" spans="1:18" s="2043" customFormat="1" ht="19.2" thickBot="1">
      <c r="A70" s="2080"/>
      <c r="B70" s="2081"/>
      <c r="C70" s="2081"/>
      <c r="K70" s="2070"/>
      <c r="O70" s="2364" t="s">
        <v>2381</v>
      </c>
      <c r="P70" s="2370" t="s">
        <v>2395</v>
      </c>
      <c r="Q70" s="2363">
        <f ca="1">ROUND(Q71-Q72*Q73,0)</f>
        <v>0</v>
      </c>
      <c r="R70" s="2366"/>
    </row>
    <row r="71" spans="1:18" s="2043" customFormat="1" ht="16.2" thickBot="1">
      <c r="A71" s="2080"/>
      <c r="B71" s="2081"/>
      <c r="C71" s="2081"/>
      <c r="K71" s="2070"/>
      <c r="O71" s="2364" t="s">
        <v>2396</v>
      </c>
      <c r="P71" s="2370" t="s">
        <v>2397</v>
      </c>
      <c r="Q71" s="2363">
        <f ca="1">C42</f>
        <v>0</v>
      </c>
      <c r="R71" s="2362" t="s">
        <v>2377</v>
      </c>
    </row>
    <row r="72" spans="1:18" s="2043" customFormat="1" ht="16.2" thickBot="1">
      <c r="A72" s="2080"/>
      <c r="B72" s="2081"/>
      <c r="C72" s="2081"/>
      <c r="K72" s="2070"/>
      <c r="O72" s="2364" t="s">
        <v>2398</v>
      </c>
      <c r="P72" s="2370" t="s">
        <v>2399</v>
      </c>
      <c r="Q72" s="2363">
        <f ca="1">C15</f>
        <v>0</v>
      </c>
      <c r="R72" s="2362" t="s">
        <v>2377</v>
      </c>
    </row>
    <row r="73" spans="1:18" s="2043" customFormat="1" ht="16.2" thickBot="1">
      <c r="A73" s="2080"/>
      <c r="B73" s="2081"/>
      <c r="C73" s="2081"/>
      <c r="K73" s="2070"/>
      <c r="O73" s="2364" t="s">
        <v>2400</v>
      </c>
      <c r="P73" s="2370" t="s">
        <v>2401</v>
      </c>
      <c r="Q73" s="2365">
        <f ca="1">F43</f>
        <v>0</v>
      </c>
      <c r="R73" s="2366"/>
    </row>
    <row r="74" spans="1:18" s="2043" customFormat="1" ht="16.2" thickBot="1">
      <c r="A74" s="2080"/>
      <c r="B74" s="2081"/>
      <c r="C74" s="2081"/>
      <c r="K74" s="2070"/>
      <c r="O74" s="2364" t="s">
        <v>2383</v>
      </c>
      <c r="P74" s="2362" t="s">
        <v>2390</v>
      </c>
      <c r="Q74" s="2365">
        <f>L53</f>
        <v>0</v>
      </c>
      <c r="R74" s="2366"/>
    </row>
    <row r="75" spans="1:18" s="2043" customFormat="1" ht="19.2" thickBot="1">
      <c r="A75" s="2080"/>
      <c r="B75" s="2081"/>
      <c r="C75" s="2081"/>
      <c r="K75" s="2070"/>
      <c r="O75" s="2364" t="s">
        <v>2385</v>
      </c>
      <c r="P75" s="2362" t="s">
        <v>2391</v>
      </c>
      <c r="Q75" s="2363">
        <f ca="1">L59</f>
        <v>0</v>
      </c>
      <c r="R75" s="2366" t="s">
        <v>2392</v>
      </c>
    </row>
    <row r="76" spans="1:18" s="2043" customFormat="1" ht="19.2" thickBot="1">
      <c r="A76" s="2080"/>
      <c r="B76" s="2081"/>
      <c r="C76" s="2081"/>
      <c r="K76" s="2070"/>
      <c r="O76" s="2364" t="s">
        <v>2414</v>
      </c>
      <c r="P76" s="2362" t="s">
        <v>2393</v>
      </c>
      <c r="Q76" s="2363">
        <f ca="1">L60</f>
        <v>0</v>
      </c>
      <c r="R76" s="2366" t="s">
        <v>2394</v>
      </c>
    </row>
    <row r="77" spans="1:18" s="2043" customFormat="1" ht="16.2"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52.2">
      <c r="A7" s="1779" t="s">
        <v>2743</v>
      </c>
    </row>
    <row r="8" spans="1:4" ht="17.399999999999999">
      <c r="A8" s="1778" t="s">
        <v>1905</v>
      </c>
    </row>
    <row r="9" spans="1:4" ht="87">
      <c r="A9" s="1780" t="str">
        <f>IF(项目基本情况!B8="抵押",IF(项目基本情况!B5=项目基本情况!B6,定义!C51,定义!B51),定义!D51)</f>
        <v>拟使用天山路以东，赤水河街以南，嘉陵江路以北等6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2934</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17.399999999999999">
      <c r="A21" s="1775" t="s">
        <v>2071</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10月24日、商业2059年10月24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61CB-FDEF-4044-9B09-33FC8F0E1080}">
  <sheetPr>
    <outlinePr summaryBelow="0" summaryRight="0"/>
    <pageSetUpPr autoPageBreaks="0" fitToPage="1"/>
  </sheetPr>
  <dimension ref="A1:O51"/>
  <sheetViews>
    <sheetView topLeftCell="A46" workbookViewId="0">
      <selection activeCell="G18" sqref="G18"/>
    </sheetView>
  </sheetViews>
  <sheetFormatPr defaultRowHeight="13.2"/>
  <cols>
    <col min="1" max="1" width="44.33203125" style="3190" customWidth="1"/>
    <col min="2" max="2" width="7.109375" style="3190" customWidth="1"/>
    <col min="3" max="3" width="9" style="3190" customWidth="1"/>
    <col min="4" max="4" width="12" style="3190" customWidth="1"/>
    <col min="5" max="5" width="11.5546875" style="3190" customWidth="1"/>
    <col min="6" max="6" width="24.6640625" style="3190" customWidth="1"/>
    <col min="7" max="7" width="9" style="3190" customWidth="1"/>
    <col min="8" max="8" width="10.21875" style="3190" customWidth="1"/>
    <col min="9" max="10" width="12.109375" style="3190" customWidth="1"/>
    <col min="11" max="11" width="16.33203125" style="3190" customWidth="1"/>
    <col min="12" max="12" width="7.109375" style="3190" customWidth="1"/>
    <col min="13" max="13" width="31.77734375" style="3190" customWidth="1"/>
    <col min="14" max="14" width="9" style="3190" customWidth="1"/>
    <col min="15" max="256" width="8.88671875" style="3190"/>
    <col min="257" max="257" width="52.44140625" style="3190" customWidth="1"/>
    <col min="258" max="258" width="7.109375" style="3190" customWidth="1"/>
    <col min="259" max="259" width="9" style="3190" customWidth="1"/>
    <col min="260" max="261" width="15.88671875" style="3190" customWidth="1"/>
    <col min="262" max="262" width="29" style="3190" customWidth="1"/>
    <col min="263" max="263" width="9" style="3190" customWidth="1"/>
    <col min="264" max="264" width="10.21875" style="3190" customWidth="1"/>
    <col min="265" max="266" width="12.109375" style="3190" customWidth="1"/>
    <col min="267" max="267" width="16.33203125" style="3190" customWidth="1"/>
    <col min="268" max="268" width="7.109375" style="3190" customWidth="1"/>
    <col min="269" max="269" width="31.77734375" style="3190" customWidth="1"/>
    <col min="270" max="270" width="9" style="3190" customWidth="1"/>
    <col min="271" max="512" width="8.88671875" style="3190"/>
    <col min="513" max="513" width="52.44140625" style="3190" customWidth="1"/>
    <col min="514" max="514" width="7.109375" style="3190" customWidth="1"/>
    <col min="515" max="515" width="9" style="3190" customWidth="1"/>
    <col min="516" max="517" width="15.88671875" style="3190" customWidth="1"/>
    <col min="518" max="518" width="29" style="3190" customWidth="1"/>
    <col min="519" max="519" width="9" style="3190" customWidth="1"/>
    <col min="520" max="520" width="10.21875" style="3190" customWidth="1"/>
    <col min="521" max="522" width="12.109375" style="3190" customWidth="1"/>
    <col min="523" max="523" width="16.33203125" style="3190" customWidth="1"/>
    <col min="524" max="524" width="7.109375" style="3190" customWidth="1"/>
    <col min="525" max="525" width="31.77734375" style="3190" customWidth="1"/>
    <col min="526" max="526" width="9" style="3190" customWidth="1"/>
    <col min="527" max="768" width="8.88671875" style="3190"/>
    <col min="769" max="769" width="52.44140625" style="3190" customWidth="1"/>
    <col min="770" max="770" width="7.109375" style="3190" customWidth="1"/>
    <col min="771" max="771" width="9" style="3190" customWidth="1"/>
    <col min="772" max="773" width="15.88671875" style="3190" customWidth="1"/>
    <col min="774" max="774" width="29" style="3190" customWidth="1"/>
    <col min="775" max="775" width="9" style="3190" customWidth="1"/>
    <col min="776" max="776" width="10.21875" style="3190" customWidth="1"/>
    <col min="777" max="778" width="12.109375" style="3190" customWidth="1"/>
    <col min="779" max="779" width="16.33203125" style="3190" customWidth="1"/>
    <col min="780" max="780" width="7.109375" style="3190" customWidth="1"/>
    <col min="781" max="781" width="31.77734375" style="3190" customWidth="1"/>
    <col min="782" max="782" width="9" style="3190" customWidth="1"/>
    <col min="783" max="1024" width="8.88671875" style="3190"/>
    <col min="1025" max="1025" width="52.44140625" style="3190" customWidth="1"/>
    <col min="1026" max="1026" width="7.109375" style="3190" customWidth="1"/>
    <col min="1027" max="1027" width="9" style="3190" customWidth="1"/>
    <col min="1028" max="1029" width="15.88671875" style="3190" customWidth="1"/>
    <col min="1030" max="1030" width="29" style="3190" customWidth="1"/>
    <col min="1031" max="1031" width="9" style="3190" customWidth="1"/>
    <col min="1032" max="1032" width="10.21875" style="3190" customWidth="1"/>
    <col min="1033" max="1034" width="12.109375" style="3190" customWidth="1"/>
    <col min="1035" max="1035" width="16.33203125" style="3190" customWidth="1"/>
    <col min="1036" max="1036" width="7.109375" style="3190" customWidth="1"/>
    <col min="1037" max="1037" width="31.77734375" style="3190" customWidth="1"/>
    <col min="1038" max="1038" width="9" style="3190" customWidth="1"/>
    <col min="1039" max="1280" width="8.88671875" style="3190"/>
    <col min="1281" max="1281" width="52.44140625" style="3190" customWidth="1"/>
    <col min="1282" max="1282" width="7.109375" style="3190" customWidth="1"/>
    <col min="1283" max="1283" width="9" style="3190" customWidth="1"/>
    <col min="1284" max="1285" width="15.88671875" style="3190" customWidth="1"/>
    <col min="1286" max="1286" width="29" style="3190" customWidth="1"/>
    <col min="1287" max="1287" width="9" style="3190" customWidth="1"/>
    <col min="1288" max="1288" width="10.21875" style="3190" customWidth="1"/>
    <col min="1289" max="1290" width="12.109375" style="3190" customWidth="1"/>
    <col min="1291" max="1291" width="16.33203125" style="3190" customWidth="1"/>
    <col min="1292" max="1292" width="7.109375" style="3190" customWidth="1"/>
    <col min="1293" max="1293" width="31.77734375" style="3190" customWidth="1"/>
    <col min="1294" max="1294" width="9" style="3190" customWidth="1"/>
    <col min="1295" max="1536" width="8.88671875" style="3190"/>
    <col min="1537" max="1537" width="52.44140625" style="3190" customWidth="1"/>
    <col min="1538" max="1538" width="7.109375" style="3190" customWidth="1"/>
    <col min="1539" max="1539" width="9" style="3190" customWidth="1"/>
    <col min="1540" max="1541" width="15.88671875" style="3190" customWidth="1"/>
    <col min="1542" max="1542" width="29" style="3190" customWidth="1"/>
    <col min="1543" max="1543" width="9" style="3190" customWidth="1"/>
    <col min="1544" max="1544" width="10.21875" style="3190" customWidth="1"/>
    <col min="1545" max="1546" width="12.109375" style="3190" customWidth="1"/>
    <col min="1547" max="1547" width="16.33203125" style="3190" customWidth="1"/>
    <col min="1548" max="1548" width="7.109375" style="3190" customWidth="1"/>
    <col min="1549" max="1549" width="31.77734375" style="3190" customWidth="1"/>
    <col min="1550" max="1550" width="9" style="3190" customWidth="1"/>
    <col min="1551" max="1792" width="8.88671875" style="3190"/>
    <col min="1793" max="1793" width="52.44140625" style="3190" customWidth="1"/>
    <col min="1794" max="1794" width="7.109375" style="3190" customWidth="1"/>
    <col min="1795" max="1795" width="9" style="3190" customWidth="1"/>
    <col min="1796" max="1797" width="15.88671875" style="3190" customWidth="1"/>
    <col min="1798" max="1798" width="29" style="3190" customWidth="1"/>
    <col min="1799" max="1799" width="9" style="3190" customWidth="1"/>
    <col min="1800" max="1800" width="10.21875" style="3190" customWidth="1"/>
    <col min="1801" max="1802" width="12.109375" style="3190" customWidth="1"/>
    <col min="1803" max="1803" width="16.33203125" style="3190" customWidth="1"/>
    <col min="1804" max="1804" width="7.109375" style="3190" customWidth="1"/>
    <col min="1805" max="1805" width="31.77734375" style="3190" customWidth="1"/>
    <col min="1806" max="1806" width="9" style="3190" customWidth="1"/>
    <col min="1807" max="2048" width="8.88671875" style="3190"/>
    <col min="2049" max="2049" width="52.44140625" style="3190" customWidth="1"/>
    <col min="2050" max="2050" width="7.109375" style="3190" customWidth="1"/>
    <col min="2051" max="2051" width="9" style="3190" customWidth="1"/>
    <col min="2052" max="2053" width="15.88671875" style="3190" customWidth="1"/>
    <col min="2054" max="2054" width="29" style="3190" customWidth="1"/>
    <col min="2055" max="2055" width="9" style="3190" customWidth="1"/>
    <col min="2056" max="2056" width="10.21875" style="3190" customWidth="1"/>
    <col min="2057" max="2058" width="12.109375" style="3190" customWidth="1"/>
    <col min="2059" max="2059" width="16.33203125" style="3190" customWidth="1"/>
    <col min="2060" max="2060" width="7.109375" style="3190" customWidth="1"/>
    <col min="2061" max="2061" width="31.77734375" style="3190" customWidth="1"/>
    <col min="2062" max="2062" width="9" style="3190" customWidth="1"/>
    <col min="2063" max="2304" width="8.88671875" style="3190"/>
    <col min="2305" max="2305" width="52.44140625" style="3190" customWidth="1"/>
    <col min="2306" max="2306" width="7.109375" style="3190" customWidth="1"/>
    <col min="2307" max="2307" width="9" style="3190" customWidth="1"/>
    <col min="2308" max="2309" width="15.88671875" style="3190" customWidth="1"/>
    <col min="2310" max="2310" width="29" style="3190" customWidth="1"/>
    <col min="2311" max="2311" width="9" style="3190" customWidth="1"/>
    <col min="2312" max="2312" width="10.21875" style="3190" customWidth="1"/>
    <col min="2313" max="2314" width="12.109375" style="3190" customWidth="1"/>
    <col min="2315" max="2315" width="16.33203125" style="3190" customWidth="1"/>
    <col min="2316" max="2316" width="7.109375" style="3190" customWidth="1"/>
    <col min="2317" max="2317" width="31.77734375" style="3190" customWidth="1"/>
    <col min="2318" max="2318" width="9" style="3190" customWidth="1"/>
    <col min="2319" max="2560" width="8.88671875" style="3190"/>
    <col min="2561" max="2561" width="52.44140625" style="3190" customWidth="1"/>
    <col min="2562" max="2562" width="7.109375" style="3190" customWidth="1"/>
    <col min="2563" max="2563" width="9" style="3190" customWidth="1"/>
    <col min="2564" max="2565" width="15.88671875" style="3190" customWidth="1"/>
    <col min="2566" max="2566" width="29" style="3190" customWidth="1"/>
    <col min="2567" max="2567" width="9" style="3190" customWidth="1"/>
    <col min="2568" max="2568" width="10.21875" style="3190" customWidth="1"/>
    <col min="2569" max="2570" width="12.109375" style="3190" customWidth="1"/>
    <col min="2571" max="2571" width="16.33203125" style="3190" customWidth="1"/>
    <col min="2572" max="2572" width="7.109375" style="3190" customWidth="1"/>
    <col min="2573" max="2573" width="31.77734375" style="3190" customWidth="1"/>
    <col min="2574" max="2574" width="9" style="3190" customWidth="1"/>
    <col min="2575" max="2816" width="8.88671875" style="3190"/>
    <col min="2817" max="2817" width="52.44140625" style="3190" customWidth="1"/>
    <col min="2818" max="2818" width="7.109375" style="3190" customWidth="1"/>
    <col min="2819" max="2819" width="9" style="3190" customWidth="1"/>
    <col min="2820" max="2821" width="15.88671875" style="3190" customWidth="1"/>
    <col min="2822" max="2822" width="29" style="3190" customWidth="1"/>
    <col min="2823" max="2823" width="9" style="3190" customWidth="1"/>
    <col min="2824" max="2824" width="10.21875" style="3190" customWidth="1"/>
    <col min="2825" max="2826" width="12.109375" style="3190" customWidth="1"/>
    <col min="2827" max="2827" width="16.33203125" style="3190" customWidth="1"/>
    <col min="2828" max="2828" width="7.109375" style="3190" customWidth="1"/>
    <col min="2829" max="2829" width="31.77734375" style="3190" customWidth="1"/>
    <col min="2830" max="2830" width="9" style="3190" customWidth="1"/>
    <col min="2831" max="3072" width="8.88671875" style="3190"/>
    <col min="3073" max="3073" width="52.44140625" style="3190" customWidth="1"/>
    <col min="3074" max="3074" width="7.109375" style="3190" customWidth="1"/>
    <col min="3075" max="3075" width="9" style="3190" customWidth="1"/>
    <col min="3076" max="3077" width="15.88671875" style="3190" customWidth="1"/>
    <col min="3078" max="3078" width="29" style="3190" customWidth="1"/>
    <col min="3079" max="3079" width="9" style="3190" customWidth="1"/>
    <col min="3080" max="3080" width="10.21875" style="3190" customWidth="1"/>
    <col min="3081" max="3082" width="12.109375" style="3190" customWidth="1"/>
    <col min="3083" max="3083" width="16.33203125" style="3190" customWidth="1"/>
    <col min="3084" max="3084" width="7.109375" style="3190" customWidth="1"/>
    <col min="3085" max="3085" width="31.77734375" style="3190" customWidth="1"/>
    <col min="3086" max="3086" width="9" style="3190" customWidth="1"/>
    <col min="3087" max="3328" width="8.88671875" style="3190"/>
    <col min="3329" max="3329" width="52.44140625" style="3190" customWidth="1"/>
    <col min="3330" max="3330" width="7.109375" style="3190" customWidth="1"/>
    <col min="3331" max="3331" width="9" style="3190" customWidth="1"/>
    <col min="3332" max="3333" width="15.88671875" style="3190" customWidth="1"/>
    <col min="3334" max="3334" width="29" style="3190" customWidth="1"/>
    <col min="3335" max="3335" width="9" style="3190" customWidth="1"/>
    <col min="3336" max="3336" width="10.21875" style="3190" customWidth="1"/>
    <col min="3337" max="3338" width="12.109375" style="3190" customWidth="1"/>
    <col min="3339" max="3339" width="16.33203125" style="3190" customWidth="1"/>
    <col min="3340" max="3340" width="7.109375" style="3190" customWidth="1"/>
    <col min="3341" max="3341" width="31.77734375" style="3190" customWidth="1"/>
    <col min="3342" max="3342" width="9" style="3190" customWidth="1"/>
    <col min="3343" max="3584" width="8.88671875" style="3190"/>
    <col min="3585" max="3585" width="52.44140625" style="3190" customWidth="1"/>
    <col min="3586" max="3586" width="7.109375" style="3190" customWidth="1"/>
    <col min="3587" max="3587" width="9" style="3190" customWidth="1"/>
    <col min="3588" max="3589" width="15.88671875" style="3190" customWidth="1"/>
    <col min="3590" max="3590" width="29" style="3190" customWidth="1"/>
    <col min="3591" max="3591" width="9" style="3190" customWidth="1"/>
    <col min="3592" max="3592" width="10.21875" style="3190" customWidth="1"/>
    <col min="3593" max="3594" width="12.109375" style="3190" customWidth="1"/>
    <col min="3595" max="3595" width="16.33203125" style="3190" customWidth="1"/>
    <col min="3596" max="3596" width="7.109375" style="3190" customWidth="1"/>
    <col min="3597" max="3597" width="31.77734375" style="3190" customWidth="1"/>
    <col min="3598" max="3598" width="9" style="3190" customWidth="1"/>
    <col min="3599" max="3840" width="8.88671875" style="3190"/>
    <col min="3841" max="3841" width="52.44140625" style="3190" customWidth="1"/>
    <col min="3842" max="3842" width="7.109375" style="3190" customWidth="1"/>
    <col min="3843" max="3843" width="9" style="3190" customWidth="1"/>
    <col min="3844" max="3845" width="15.88671875" style="3190" customWidth="1"/>
    <col min="3846" max="3846" width="29" style="3190" customWidth="1"/>
    <col min="3847" max="3847" width="9" style="3190" customWidth="1"/>
    <col min="3848" max="3848" width="10.21875" style="3190" customWidth="1"/>
    <col min="3849" max="3850" width="12.109375" style="3190" customWidth="1"/>
    <col min="3851" max="3851" width="16.33203125" style="3190" customWidth="1"/>
    <col min="3852" max="3852" width="7.109375" style="3190" customWidth="1"/>
    <col min="3853" max="3853" width="31.77734375" style="3190" customWidth="1"/>
    <col min="3854" max="3854" width="9" style="3190" customWidth="1"/>
    <col min="3855" max="4096" width="8.88671875" style="3190"/>
    <col min="4097" max="4097" width="52.44140625" style="3190" customWidth="1"/>
    <col min="4098" max="4098" width="7.109375" style="3190" customWidth="1"/>
    <col min="4099" max="4099" width="9" style="3190" customWidth="1"/>
    <col min="4100" max="4101" width="15.88671875" style="3190" customWidth="1"/>
    <col min="4102" max="4102" width="29" style="3190" customWidth="1"/>
    <col min="4103" max="4103" width="9" style="3190" customWidth="1"/>
    <col min="4104" max="4104" width="10.21875" style="3190" customWidth="1"/>
    <col min="4105" max="4106" width="12.109375" style="3190" customWidth="1"/>
    <col min="4107" max="4107" width="16.33203125" style="3190" customWidth="1"/>
    <col min="4108" max="4108" width="7.109375" style="3190" customWidth="1"/>
    <col min="4109" max="4109" width="31.77734375" style="3190" customWidth="1"/>
    <col min="4110" max="4110" width="9" style="3190" customWidth="1"/>
    <col min="4111" max="4352" width="8.88671875" style="3190"/>
    <col min="4353" max="4353" width="52.44140625" style="3190" customWidth="1"/>
    <col min="4354" max="4354" width="7.109375" style="3190" customWidth="1"/>
    <col min="4355" max="4355" width="9" style="3190" customWidth="1"/>
    <col min="4356" max="4357" width="15.88671875" style="3190" customWidth="1"/>
    <col min="4358" max="4358" width="29" style="3190" customWidth="1"/>
    <col min="4359" max="4359" width="9" style="3190" customWidth="1"/>
    <col min="4360" max="4360" width="10.21875" style="3190" customWidth="1"/>
    <col min="4361" max="4362" width="12.109375" style="3190" customWidth="1"/>
    <col min="4363" max="4363" width="16.33203125" style="3190" customWidth="1"/>
    <col min="4364" max="4364" width="7.109375" style="3190" customWidth="1"/>
    <col min="4365" max="4365" width="31.77734375" style="3190" customWidth="1"/>
    <col min="4366" max="4366" width="9" style="3190" customWidth="1"/>
    <col min="4367" max="4608" width="8.88671875" style="3190"/>
    <col min="4609" max="4609" width="52.44140625" style="3190" customWidth="1"/>
    <col min="4610" max="4610" width="7.109375" style="3190" customWidth="1"/>
    <col min="4611" max="4611" width="9" style="3190" customWidth="1"/>
    <col min="4612" max="4613" width="15.88671875" style="3190" customWidth="1"/>
    <col min="4614" max="4614" width="29" style="3190" customWidth="1"/>
    <col min="4615" max="4615" width="9" style="3190" customWidth="1"/>
    <col min="4616" max="4616" width="10.21875" style="3190" customWidth="1"/>
    <col min="4617" max="4618" width="12.109375" style="3190" customWidth="1"/>
    <col min="4619" max="4619" width="16.33203125" style="3190" customWidth="1"/>
    <col min="4620" max="4620" width="7.109375" style="3190" customWidth="1"/>
    <col min="4621" max="4621" width="31.77734375" style="3190" customWidth="1"/>
    <col min="4622" max="4622" width="9" style="3190" customWidth="1"/>
    <col min="4623" max="4864" width="8.88671875" style="3190"/>
    <col min="4865" max="4865" width="52.44140625" style="3190" customWidth="1"/>
    <col min="4866" max="4866" width="7.109375" style="3190" customWidth="1"/>
    <col min="4867" max="4867" width="9" style="3190" customWidth="1"/>
    <col min="4868" max="4869" width="15.88671875" style="3190" customWidth="1"/>
    <col min="4870" max="4870" width="29" style="3190" customWidth="1"/>
    <col min="4871" max="4871" width="9" style="3190" customWidth="1"/>
    <col min="4872" max="4872" width="10.21875" style="3190" customWidth="1"/>
    <col min="4873" max="4874" width="12.109375" style="3190" customWidth="1"/>
    <col min="4875" max="4875" width="16.33203125" style="3190" customWidth="1"/>
    <col min="4876" max="4876" width="7.109375" style="3190" customWidth="1"/>
    <col min="4877" max="4877" width="31.77734375" style="3190" customWidth="1"/>
    <col min="4878" max="4878" width="9" style="3190" customWidth="1"/>
    <col min="4879" max="5120" width="8.88671875" style="3190"/>
    <col min="5121" max="5121" width="52.44140625" style="3190" customWidth="1"/>
    <col min="5122" max="5122" width="7.109375" style="3190" customWidth="1"/>
    <col min="5123" max="5123" width="9" style="3190" customWidth="1"/>
    <col min="5124" max="5125" width="15.88671875" style="3190" customWidth="1"/>
    <col min="5126" max="5126" width="29" style="3190" customWidth="1"/>
    <col min="5127" max="5127" width="9" style="3190" customWidth="1"/>
    <col min="5128" max="5128" width="10.21875" style="3190" customWidth="1"/>
    <col min="5129" max="5130" width="12.109375" style="3190" customWidth="1"/>
    <col min="5131" max="5131" width="16.33203125" style="3190" customWidth="1"/>
    <col min="5132" max="5132" width="7.109375" style="3190" customWidth="1"/>
    <col min="5133" max="5133" width="31.77734375" style="3190" customWidth="1"/>
    <col min="5134" max="5134" width="9" style="3190" customWidth="1"/>
    <col min="5135" max="5376" width="8.88671875" style="3190"/>
    <col min="5377" max="5377" width="52.44140625" style="3190" customWidth="1"/>
    <col min="5378" max="5378" width="7.109375" style="3190" customWidth="1"/>
    <col min="5379" max="5379" width="9" style="3190" customWidth="1"/>
    <col min="5380" max="5381" width="15.88671875" style="3190" customWidth="1"/>
    <col min="5382" max="5382" width="29" style="3190" customWidth="1"/>
    <col min="5383" max="5383" width="9" style="3190" customWidth="1"/>
    <col min="5384" max="5384" width="10.21875" style="3190" customWidth="1"/>
    <col min="5385" max="5386" width="12.109375" style="3190" customWidth="1"/>
    <col min="5387" max="5387" width="16.33203125" style="3190" customWidth="1"/>
    <col min="5388" max="5388" width="7.109375" style="3190" customWidth="1"/>
    <col min="5389" max="5389" width="31.77734375" style="3190" customWidth="1"/>
    <col min="5390" max="5390" width="9" style="3190" customWidth="1"/>
    <col min="5391" max="5632" width="8.88671875" style="3190"/>
    <col min="5633" max="5633" width="52.44140625" style="3190" customWidth="1"/>
    <col min="5634" max="5634" width="7.109375" style="3190" customWidth="1"/>
    <col min="5635" max="5635" width="9" style="3190" customWidth="1"/>
    <col min="5636" max="5637" width="15.88671875" style="3190" customWidth="1"/>
    <col min="5638" max="5638" width="29" style="3190" customWidth="1"/>
    <col min="5639" max="5639" width="9" style="3190" customWidth="1"/>
    <col min="5640" max="5640" width="10.21875" style="3190" customWidth="1"/>
    <col min="5641" max="5642" width="12.109375" style="3190" customWidth="1"/>
    <col min="5643" max="5643" width="16.33203125" style="3190" customWidth="1"/>
    <col min="5644" max="5644" width="7.109375" style="3190" customWidth="1"/>
    <col min="5645" max="5645" width="31.77734375" style="3190" customWidth="1"/>
    <col min="5646" max="5646" width="9" style="3190" customWidth="1"/>
    <col min="5647" max="5888" width="8.88671875" style="3190"/>
    <col min="5889" max="5889" width="52.44140625" style="3190" customWidth="1"/>
    <col min="5890" max="5890" width="7.109375" style="3190" customWidth="1"/>
    <col min="5891" max="5891" width="9" style="3190" customWidth="1"/>
    <col min="5892" max="5893" width="15.88671875" style="3190" customWidth="1"/>
    <col min="5894" max="5894" width="29" style="3190" customWidth="1"/>
    <col min="5895" max="5895" width="9" style="3190" customWidth="1"/>
    <col min="5896" max="5896" width="10.21875" style="3190" customWidth="1"/>
    <col min="5897" max="5898" width="12.109375" style="3190" customWidth="1"/>
    <col min="5899" max="5899" width="16.33203125" style="3190" customWidth="1"/>
    <col min="5900" max="5900" width="7.109375" style="3190" customWidth="1"/>
    <col min="5901" max="5901" width="31.77734375" style="3190" customWidth="1"/>
    <col min="5902" max="5902" width="9" style="3190" customWidth="1"/>
    <col min="5903" max="6144" width="8.88671875" style="3190"/>
    <col min="6145" max="6145" width="52.44140625" style="3190" customWidth="1"/>
    <col min="6146" max="6146" width="7.109375" style="3190" customWidth="1"/>
    <col min="6147" max="6147" width="9" style="3190" customWidth="1"/>
    <col min="6148" max="6149" width="15.88671875" style="3190" customWidth="1"/>
    <col min="6150" max="6150" width="29" style="3190" customWidth="1"/>
    <col min="6151" max="6151" width="9" style="3190" customWidth="1"/>
    <col min="6152" max="6152" width="10.21875" style="3190" customWidth="1"/>
    <col min="6153" max="6154" width="12.109375" style="3190" customWidth="1"/>
    <col min="6155" max="6155" width="16.33203125" style="3190" customWidth="1"/>
    <col min="6156" max="6156" width="7.109375" style="3190" customWidth="1"/>
    <col min="6157" max="6157" width="31.77734375" style="3190" customWidth="1"/>
    <col min="6158" max="6158" width="9" style="3190" customWidth="1"/>
    <col min="6159" max="6400" width="8.88671875" style="3190"/>
    <col min="6401" max="6401" width="52.44140625" style="3190" customWidth="1"/>
    <col min="6402" max="6402" width="7.109375" style="3190" customWidth="1"/>
    <col min="6403" max="6403" width="9" style="3190" customWidth="1"/>
    <col min="6404" max="6405" width="15.88671875" style="3190" customWidth="1"/>
    <col min="6406" max="6406" width="29" style="3190" customWidth="1"/>
    <col min="6407" max="6407" width="9" style="3190" customWidth="1"/>
    <col min="6408" max="6408" width="10.21875" style="3190" customWidth="1"/>
    <col min="6409" max="6410" width="12.109375" style="3190" customWidth="1"/>
    <col min="6411" max="6411" width="16.33203125" style="3190" customWidth="1"/>
    <col min="6412" max="6412" width="7.109375" style="3190" customWidth="1"/>
    <col min="6413" max="6413" width="31.77734375" style="3190" customWidth="1"/>
    <col min="6414" max="6414" width="9" style="3190" customWidth="1"/>
    <col min="6415" max="6656" width="8.88671875" style="3190"/>
    <col min="6657" max="6657" width="52.44140625" style="3190" customWidth="1"/>
    <col min="6658" max="6658" width="7.109375" style="3190" customWidth="1"/>
    <col min="6659" max="6659" width="9" style="3190" customWidth="1"/>
    <col min="6660" max="6661" width="15.88671875" style="3190" customWidth="1"/>
    <col min="6662" max="6662" width="29" style="3190" customWidth="1"/>
    <col min="6663" max="6663" width="9" style="3190" customWidth="1"/>
    <col min="6664" max="6664" width="10.21875" style="3190" customWidth="1"/>
    <col min="6665" max="6666" width="12.109375" style="3190" customWidth="1"/>
    <col min="6667" max="6667" width="16.33203125" style="3190" customWidth="1"/>
    <col min="6668" max="6668" width="7.109375" style="3190" customWidth="1"/>
    <col min="6669" max="6669" width="31.77734375" style="3190" customWidth="1"/>
    <col min="6670" max="6670" width="9" style="3190" customWidth="1"/>
    <col min="6671" max="6912" width="8.88671875" style="3190"/>
    <col min="6913" max="6913" width="52.44140625" style="3190" customWidth="1"/>
    <col min="6914" max="6914" width="7.109375" style="3190" customWidth="1"/>
    <col min="6915" max="6915" width="9" style="3190" customWidth="1"/>
    <col min="6916" max="6917" width="15.88671875" style="3190" customWidth="1"/>
    <col min="6918" max="6918" width="29" style="3190" customWidth="1"/>
    <col min="6919" max="6919" width="9" style="3190" customWidth="1"/>
    <col min="6920" max="6920" width="10.21875" style="3190" customWidth="1"/>
    <col min="6921" max="6922" width="12.109375" style="3190" customWidth="1"/>
    <col min="6923" max="6923" width="16.33203125" style="3190" customWidth="1"/>
    <col min="6924" max="6924" width="7.109375" style="3190" customWidth="1"/>
    <col min="6925" max="6925" width="31.77734375" style="3190" customWidth="1"/>
    <col min="6926" max="6926" width="9" style="3190" customWidth="1"/>
    <col min="6927" max="7168" width="8.88671875" style="3190"/>
    <col min="7169" max="7169" width="52.44140625" style="3190" customWidth="1"/>
    <col min="7170" max="7170" width="7.109375" style="3190" customWidth="1"/>
    <col min="7171" max="7171" width="9" style="3190" customWidth="1"/>
    <col min="7172" max="7173" width="15.88671875" style="3190" customWidth="1"/>
    <col min="7174" max="7174" width="29" style="3190" customWidth="1"/>
    <col min="7175" max="7175" width="9" style="3190" customWidth="1"/>
    <col min="7176" max="7176" width="10.21875" style="3190" customWidth="1"/>
    <col min="7177" max="7178" width="12.109375" style="3190" customWidth="1"/>
    <col min="7179" max="7179" width="16.33203125" style="3190" customWidth="1"/>
    <col min="7180" max="7180" width="7.109375" style="3190" customWidth="1"/>
    <col min="7181" max="7181" width="31.77734375" style="3190" customWidth="1"/>
    <col min="7182" max="7182" width="9" style="3190" customWidth="1"/>
    <col min="7183" max="7424" width="8.88671875" style="3190"/>
    <col min="7425" max="7425" width="52.44140625" style="3190" customWidth="1"/>
    <col min="7426" max="7426" width="7.109375" style="3190" customWidth="1"/>
    <col min="7427" max="7427" width="9" style="3190" customWidth="1"/>
    <col min="7428" max="7429" width="15.88671875" style="3190" customWidth="1"/>
    <col min="7430" max="7430" width="29" style="3190" customWidth="1"/>
    <col min="7431" max="7431" width="9" style="3190" customWidth="1"/>
    <col min="7432" max="7432" width="10.21875" style="3190" customWidth="1"/>
    <col min="7433" max="7434" width="12.109375" style="3190" customWidth="1"/>
    <col min="7435" max="7435" width="16.33203125" style="3190" customWidth="1"/>
    <col min="7436" max="7436" width="7.109375" style="3190" customWidth="1"/>
    <col min="7437" max="7437" width="31.77734375" style="3190" customWidth="1"/>
    <col min="7438" max="7438" width="9" style="3190" customWidth="1"/>
    <col min="7439" max="7680" width="8.88671875" style="3190"/>
    <col min="7681" max="7681" width="52.44140625" style="3190" customWidth="1"/>
    <col min="7682" max="7682" width="7.109375" style="3190" customWidth="1"/>
    <col min="7683" max="7683" width="9" style="3190" customWidth="1"/>
    <col min="7684" max="7685" width="15.88671875" style="3190" customWidth="1"/>
    <col min="7686" max="7686" width="29" style="3190" customWidth="1"/>
    <col min="7687" max="7687" width="9" style="3190" customWidth="1"/>
    <col min="7688" max="7688" width="10.21875" style="3190" customWidth="1"/>
    <col min="7689" max="7690" width="12.109375" style="3190" customWidth="1"/>
    <col min="7691" max="7691" width="16.33203125" style="3190" customWidth="1"/>
    <col min="7692" max="7692" width="7.109375" style="3190" customWidth="1"/>
    <col min="7693" max="7693" width="31.77734375" style="3190" customWidth="1"/>
    <col min="7694" max="7694" width="9" style="3190" customWidth="1"/>
    <col min="7695" max="7936" width="8.88671875" style="3190"/>
    <col min="7937" max="7937" width="52.44140625" style="3190" customWidth="1"/>
    <col min="7938" max="7938" width="7.109375" style="3190" customWidth="1"/>
    <col min="7939" max="7939" width="9" style="3190" customWidth="1"/>
    <col min="7940" max="7941" width="15.88671875" style="3190" customWidth="1"/>
    <col min="7942" max="7942" width="29" style="3190" customWidth="1"/>
    <col min="7943" max="7943" width="9" style="3190" customWidth="1"/>
    <col min="7944" max="7944" width="10.21875" style="3190" customWidth="1"/>
    <col min="7945" max="7946" width="12.109375" style="3190" customWidth="1"/>
    <col min="7947" max="7947" width="16.33203125" style="3190" customWidth="1"/>
    <col min="7948" max="7948" width="7.109375" style="3190" customWidth="1"/>
    <col min="7949" max="7949" width="31.77734375" style="3190" customWidth="1"/>
    <col min="7950" max="7950" width="9" style="3190" customWidth="1"/>
    <col min="7951" max="8192" width="8.88671875" style="3190"/>
    <col min="8193" max="8193" width="52.44140625" style="3190" customWidth="1"/>
    <col min="8194" max="8194" width="7.109375" style="3190" customWidth="1"/>
    <col min="8195" max="8195" width="9" style="3190" customWidth="1"/>
    <col min="8196" max="8197" width="15.88671875" style="3190" customWidth="1"/>
    <col min="8198" max="8198" width="29" style="3190" customWidth="1"/>
    <col min="8199" max="8199" width="9" style="3190" customWidth="1"/>
    <col min="8200" max="8200" width="10.21875" style="3190" customWidth="1"/>
    <col min="8201" max="8202" width="12.109375" style="3190" customWidth="1"/>
    <col min="8203" max="8203" width="16.33203125" style="3190" customWidth="1"/>
    <col min="8204" max="8204" width="7.109375" style="3190" customWidth="1"/>
    <col min="8205" max="8205" width="31.77734375" style="3190" customWidth="1"/>
    <col min="8206" max="8206" width="9" style="3190" customWidth="1"/>
    <col min="8207" max="8448" width="8.88671875" style="3190"/>
    <col min="8449" max="8449" width="52.44140625" style="3190" customWidth="1"/>
    <col min="8450" max="8450" width="7.109375" style="3190" customWidth="1"/>
    <col min="8451" max="8451" width="9" style="3190" customWidth="1"/>
    <col min="8452" max="8453" width="15.88671875" style="3190" customWidth="1"/>
    <col min="8454" max="8454" width="29" style="3190" customWidth="1"/>
    <col min="8455" max="8455" width="9" style="3190" customWidth="1"/>
    <col min="8456" max="8456" width="10.21875" style="3190" customWidth="1"/>
    <col min="8457" max="8458" width="12.109375" style="3190" customWidth="1"/>
    <col min="8459" max="8459" width="16.33203125" style="3190" customWidth="1"/>
    <col min="8460" max="8460" width="7.109375" style="3190" customWidth="1"/>
    <col min="8461" max="8461" width="31.77734375" style="3190" customWidth="1"/>
    <col min="8462" max="8462" width="9" style="3190" customWidth="1"/>
    <col min="8463" max="8704" width="8.88671875" style="3190"/>
    <col min="8705" max="8705" width="52.44140625" style="3190" customWidth="1"/>
    <col min="8706" max="8706" width="7.109375" style="3190" customWidth="1"/>
    <col min="8707" max="8707" width="9" style="3190" customWidth="1"/>
    <col min="8708" max="8709" width="15.88671875" style="3190" customWidth="1"/>
    <col min="8710" max="8710" width="29" style="3190" customWidth="1"/>
    <col min="8711" max="8711" width="9" style="3190" customWidth="1"/>
    <col min="8712" max="8712" width="10.21875" style="3190" customWidth="1"/>
    <col min="8713" max="8714" width="12.109375" style="3190" customWidth="1"/>
    <col min="8715" max="8715" width="16.33203125" style="3190" customWidth="1"/>
    <col min="8716" max="8716" width="7.109375" style="3190" customWidth="1"/>
    <col min="8717" max="8717" width="31.77734375" style="3190" customWidth="1"/>
    <col min="8718" max="8718" width="9" style="3190" customWidth="1"/>
    <col min="8719" max="8960" width="8.88671875" style="3190"/>
    <col min="8961" max="8961" width="52.44140625" style="3190" customWidth="1"/>
    <col min="8962" max="8962" width="7.109375" style="3190" customWidth="1"/>
    <col min="8963" max="8963" width="9" style="3190" customWidth="1"/>
    <col min="8964" max="8965" width="15.88671875" style="3190" customWidth="1"/>
    <col min="8966" max="8966" width="29" style="3190" customWidth="1"/>
    <col min="8967" max="8967" width="9" style="3190" customWidth="1"/>
    <col min="8968" max="8968" width="10.21875" style="3190" customWidth="1"/>
    <col min="8969" max="8970" width="12.109375" style="3190" customWidth="1"/>
    <col min="8971" max="8971" width="16.33203125" style="3190" customWidth="1"/>
    <col min="8972" max="8972" width="7.109375" style="3190" customWidth="1"/>
    <col min="8973" max="8973" width="31.77734375" style="3190" customWidth="1"/>
    <col min="8974" max="8974" width="9" style="3190" customWidth="1"/>
    <col min="8975" max="9216" width="8.88671875" style="3190"/>
    <col min="9217" max="9217" width="52.44140625" style="3190" customWidth="1"/>
    <col min="9218" max="9218" width="7.109375" style="3190" customWidth="1"/>
    <col min="9219" max="9219" width="9" style="3190" customWidth="1"/>
    <col min="9220" max="9221" width="15.88671875" style="3190" customWidth="1"/>
    <col min="9222" max="9222" width="29" style="3190" customWidth="1"/>
    <col min="9223" max="9223" width="9" style="3190" customWidth="1"/>
    <col min="9224" max="9224" width="10.21875" style="3190" customWidth="1"/>
    <col min="9225" max="9226" width="12.109375" style="3190" customWidth="1"/>
    <col min="9227" max="9227" width="16.33203125" style="3190" customWidth="1"/>
    <col min="9228" max="9228" width="7.109375" style="3190" customWidth="1"/>
    <col min="9229" max="9229" width="31.77734375" style="3190" customWidth="1"/>
    <col min="9230" max="9230" width="9" style="3190" customWidth="1"/>
    <col min="9231" max="9472" width="8.88671875" style="3190"/>
    <col min="9473" max="9473" width="52.44140625" style="3190" customWidth="1"/>
    <col min="9474" max="9474" width="7.109375" style="3190" customWidth="1"/>
    <col min="9475" max="9475" width="9" style="3190" customWidth="1"/>
    <col min="9476" max="9477" width="15.88671875" style="3190" customWidth="1"/>
    <col min="9478" max="9478" width="29" style="3190" customWidth="1"/>
    <col min="9479" max="9479" width="9" style="3190" customWidth="1"/>
    <col min="9480" max="9480" width="10.21875" style="3190" customWidth="1"/>
    <col min="9481" max="9482" width="12.109375" style="3190" customWidth="1"/>
    <col min="9483" max="9483" width="16.33203125" style="3190" customWidth="1"/>
    <col min="9484" max="9484" width="7.109375" style="3190" customWidth="1"/>
    <col min="9485" max="9485" width="31.77734375" style="3190" customWidth="1"/>
    <col min="9486" max="9486" width="9" style="3190" customWidth="1"/>
    <col min="9487" max="9728" width="8.88671875" style="3190"/>
    <col min="9729" max="9729" width="52.44140625" style="3190" customWidth="1"/>
    <col min="9730" max="9730" width="7.109375" style="3190" customWidth="1"/>
    <col min="9731" max="9731" width="9" style="3190" customWidth="1"/>
    <col min="9732" max="9733" width="15.88671875" style="3190" customWidth="1"/>
    <col min="9734" max="9734" width="29" style="3190" customWidth="1"/>
    <col min="9735" max="9735" width="9" style="3190" customWidth="1"/>
    <col min="9736" max="9736" width="10.21875" style="3190" customWidth="1"/>
    <col min="9737" max="9738" width="12.109375" style="3190" customWidth="1"/>
    <col min="9739" max="9739" width="16.33203125" style="3190" customWidth="1"/>
    <col min="9740" max="9740" width="7.109375" style="3190" customWidth="1"/>
    <col min="9741" max="9741" width="31.77734375" style="3190" customWidth="1"/>
    <col min="9742" max="9742" width="9" style="3190" customWidth="1"/>
    <col min="9743" max="9984" width="8.88671875" style="3190"/>
    <col min="9985" max="9985" width="52.44140625" style="3190" customWidth="1"/>
    <col min="9986" max="9986" width="7.109375" style="3190" customWidth="1"/>
    <col min="9987" max="9987" width="9" style="3190" customWidth="1"/>
    <col min="9988" max="9989" width="15.88671875" style="3190" customWidth="1"/>
    <col min="9990" max="9990" width="29" style="3190" customWidth="1"/>
    <col min="9991" max="9991" width="9" style="3190" customWidth="1"/>
    <col min="9992" max="9992" width="10.21875" style="3190" customWidth="1"/>
    <col min="9993" max="9994" width="12.109375" style="3190" customWidth="1"/>
    <col min="9995" max="9995" width="16.33203125" style="3190" customWidth="1"/>
    <col min="9996" max="9996" width="7.109375" style="3190" customWidth="1"/>
    <col min="9997" max="9997" width="31.77734375" style="3190" customWidth="1"/>
    <col min="9998" max="9998" width="9" style="3190" customWidth="1"/>
    <col min="9999" max="10240" width="8.88671875" style="3190"/>
    <col min="10241" max="10241" width="52.44140625" style="3190" customWidth="1"/>
    <col min="10242" max="10242" width="7.109375" style="3190" customWidth="1"/>
    <col min="10243" max="10243" width="9" style="3190" customWidth="1"/>
    <col min="10244" max="10245" width="15.88671875" style="3190" customWidth="1"/>
    <col min="10246" max="10246" width="29" style="3190" customWidth="1"/>
    <col min="10247" max="10247" width="9" style="3190" customWidth="1"/>
    <col min="10248" max="10248" width="10.21875" style="3190" customWidth="1"/>
    <col min="10249" max="10250" width="12.109375" style="3190" customWidth="1"/>
    <col min="10251" max="10251" width="16.33203125" style="3190" customWidth="1"/>
    <col min="10252" max="10252" width="7.109375" style="3190" customWidth="1"/>
    <col min="10253" max="10253" width="31.77734375" style="3190" customWidth="1"/>
    <col min="10254" max="10254" width="9" style="3190" customWidth="1"/>
    <col min="10255" max="10496" width="8.88671875" style="3190"/>
    <col min="10497" max="10497" width="52.44140625" style="3190" customWidth="1"/>
    <col min="10498" max="10498" width="7.109375" style="3190" customWidth="1"/>
    <col min="10499" max="10499" width="9" style="3190" customWidth="1"/>
    <col min="10500" max="10501" width="15.88671875" style="3190" customWidth="1"/>
    <col min="10502" max="10502" width="29" style="3190" customWidth="1"/>
    <col min="10503" max="10503" width="9" style="3190" customWidth="1"/>
    <col min="10504" max="10504" width="10.21875" style="3190" customWidth="1"/>
    <col min="10505" max="10506" width="12.109375" style="3190" customWidth="1"/>
    <col min="10507" max="10507" width="16.33203125" style="3190" customWidth="1"/>
    <col min="10508" max="10508" width="7.109375" style="3190" customWidth="1"/>
    <col min="10509" max="10509" width="31.77734375" style="3190" customWidth="1"/>
    <col min="10510" max="10510" width="9" style="3190" customWidth="1"/>
    <col min="10511" max="10752" width="8.88671875" style="3190"/>
    <col min="10753" max="10753" width="52.44140625" style="3190" customWidth="1"/>
    <col min="10754" max="10754" width="7.109375" style="3190" customWidth="1"/>
    <col min="10755" max="10755" width="9" style="3190" customWidth="1"/>
    <col min="10756" max="10757" width="15.88671875" style="3190" customWidth="1"/>
    <col min="10758" max="10758" width="29" style="3190" customWidth="1"/>
    <col min="10759" max="10759" width="9" style="3190" customWidth="1"/>
    <col min="10760" max="10760" width="10.21875" style="3190" customWidth="1"/>
    <col min="10761" max="10762" width="12.109375" style="3190" customWidth="1"/>
    <col min="10763" max="10763" width="16.33203125" style="3190" customWidth="1"/>
    <col min="10764" max="10764" width="7.109375" style="3190" customWidth="1"/>
    <col min="10765" max="10765" width="31.77734375" style="3190" customWidth="1"/>
    <col min="10766" max="10766" width="9" style="3190" customWidth="1"/>
    <col min="10767" max="11008" width="8.88671875" style="3190"/>
    <col min="11009" max="11009" width="52.44140625" style="3190" customWidth="1"/>
    <col min="11010" max="11010" width="7.109375" style="3190" customWidth="1"/>
    <col min="11011" max="11011" width="9" style="3190" customWidth="1"/>
    <col min="11012" max="11013" width="15.88671875" style="3190" customWidth="1"/>
    <col min="11014" max="11014" width="29" style="3190" customWidth="1"/>
    <col min="11015" max="11015" width="9" style="3190" customWidth="1"/>
    <col min="11016" max="11016" width="10.21875" style="3190" customWidth="1"/>
    <col min="11017" max="11018" width="12.109375" style="3190" customWidth="1"/>
    <col min="11019" max="11019" width="16.33203125" style="3190" customWidth="1"/>
    <col min="11020" max="11020" width="7.109375" style="3190" customWidth="1"/>
    <col min="11021" max="11021" width="31.77734375" style="3190" customWidth="1"/>
    <col min="11022" max="11022" width="9" style="3190" customWidth="1"/>
    <col min="11023" max="11264" width="8.88671875" style="3190"/>
    <col min="11265" max="11265" width="52.44140625" style="3190" customWidth="1"/>
    <col min="11266" max="11266" width="7.109375" style="3190" customWidth="1"/>
    <col min="11267" max="11267" width="9" style="3190" customWidth="1"/>
    <col min="11268" max="11269" width="15.88671875" style="3190" customWidth="1"/>
    <col min="11270" max="11270" width="29" style="3190" customWidth="1"/>
    <col min="11271" max="11271" width="9" style="3190" customWidth="1"/>
    <col min="11272" max="11272" width="10.21875" style="3190" customWidth="1"/>
    <col min="11273" max="11274" width="12.109375" style="3190" customWidth="1"/>
    <col min="11275" max="11275" width="16.33203125" style="3190" customWidth="1"/>
    <col min="11276" max="11276" width="7.109375" style="3190" customWidth="1"/>
    <col min="11277" max="11277" width="31.77734375" style="3190" customWidth="1"/>
    <col min="11278" max="11278" width="9" style="3190" customWidth="1"/>
    <col min="11279" max="11520" width="8.88671875" style="3190"/>
    <col min="11521" max="11521" width="52.44140625" style="3190" customWidth="1"/>
    <col min="11522" max="11522" width="7.109375" style="3190" customWidth="1"/>
    <col min="11523" max="11523" width="9" style="3190" customWidth="1"/>
    <col min="11524" max="11525" width="15.88671875" style="3190" customWidth="1"/>
    <col min="11526" max="11526" width="29" style="3190" customWidth="1"/>
    <col min="11527" max="11527" width="9" style="3190" customWidth="1"/>
    <col min="11528" max="11528" width="10.21875" style="3190" customWidth="1"/>
    <col min="11529" max="11530" width="12.109375" style="3190" customWidth="1"/>
    <col min="11531" max="11531" width="16.33203125" style="3190" customWidth="1"/>
    <col min="11532" max="11532" width="7.109375" style="3190" customWidth="1"/>
    <col min="11533" max="11533" width="31.77734375" style="3190" customWidth="1"/>
    <col min="11534" max="11534" width="9" style="3190" customWidth="1"/>
    <col min="11535" max="11776" width="8.88671875" style="3190"/>
    <col min="11777" max="11777" width="52.44140625" style="3190" customWidth="1"/>
    <col min="11778" max="11778" width="7.109375" style="3190" customWidth="1"/>
    <col min="11779" max="11779" width="9" style="3190" customWidth="1"/>
    <col min="11780" max="11781" width="15.88671875" style="3190" customWidth="1"/>
    <col min="11782" max="11782" width="29" style="3190" customWidth="1"/>
    <col min="11783" max="11783" width="9" style="3190" customWidth="1"/>
    <col min="11784" max="11784" width="10.21875" style="3190" customWidth="1"/>
    <col min="11785" max="11786" width="12.109375" style="3190" customWidth="1"/>
    <col min="11787" max="11787" width="16.33203125" style="3190" customWidth="1"/>
    <col min="11788" max="11788" width="7.109375" style="3190" customWidth="1"/>
    <col min="11789" max="11789" width="31.77734375" style="3190" customWidth="1"/>
    <col min="11790" max="11790" width="9" style="3190" customWidth="1"/>
    <col min="11791" max="12032" width="8.88671875" style="3190"/>
    <col min="12033" max="12033" width="52.44140625" style="3190" customWidth="1"/>
    <col min="12034" max="12034" width="7.109375" style="3190" customWidth="1"/>
    <col min="12035" max="12035" width="9" style="3190" customWidth="1"/>
    <col min="12036" max="12037" width="15.88671875" style="3190" customWidth="1"/>
    <col min="12038" max="12038" width="29" style="3190" customWidth="1"/>
    <col min="12039" max="12039" width="9" style="3190" customWidth="1"/>
    <col min="12040" max="12040" width="10.21875" style="3190" customWidth="1"/>
    <col min="12041" max="12042" width="12.109375" style="3190" customWidth="1"/>
    <col min="12043" max="12043" width="16.33203125" style="3190" customWidth="1"/>
    <col min="12044" max="12044" width="7.109375" style="3190" customWidth="1"/>
    <col min="12045" max="12045" width="31.77734375" style="3190" customWidth="1"/>
    <col min="12046" max="12046" width="9" style="3190" customWidth="1"/>
    <col min="12047" max="12288" width="8.88671875" style="3190"/>
    <col min="12289" max="12289" width="52.44140625" style="3190" customWidth="1"/>
    <col min="12290" max="12290" width="7.109375" style="3190" customWidth="1"/>
    <col min="12291" max="12291" width="9" style="3190" customWidth="1"/>
    <col min="12292" max="12293" width="15.88671875" style="3190" customWidth="1"/>
    <col min="12294" max="12294" width="29" style="3190" customWidth="1"/>
    <col min="12295" max="12295" width="9" style="3190" customWidth="1"/>
    <col min="12296" max="12296" width="10.21875" style="3190" customWidth="1"/>
    <col min="12297" max="12298" width="12.109375" style="3190" customWidth="1"/>
    <col min="12299" max="12299" width="16.33203125" style="3190" customWidth="1"/>
    <col min="12300" max="12300" width="7.109375" style="3190" customWidth="1"/>
    <col min="12301" max="12301" width="31.77734375" style="3190" customWidth="1"/>
    <col min="12302" max="12302" width="9" style="3190" customWidth="1"/>
    <col min="12303" max="12544" width="8.88671875" style="3190"/>
    <col min="12545" max="12545" width="52.44140625" style="3190" customWidth="1"/>
    <col min="12546" max="12546" width="7.109375" style="3190" customWidth="1"/>
    <col min="12547" max="12547" width="9" style="3190" customWidth="1"/>
    <col min="12548" max="12549" width="15.88671875" style="3190" customWidth="1"/>
    <col min="12550" max="12550" width="29" style="3190" customWidth="1"/>
    <col min="12551" max="12551" width="9" style="3190" customWidth="1"/>
    <col min="12552" max="12552" width="10.21875" style="3190" customWidth="1"/>
    <col min="12553" max="12554" width="12.109375" style="3190" customWidth="1"/>
    <col min="12555" max="12555" width="16.33203125" style="3190" customWidth="1"/>
    <col min="12556" max="12556" width="7.109375" style="3190" customWidth="1"/>
    <col min="12557" max="12557" width="31.77734375" style="3190" customWidth="1"/>
    <col min="12558" max="12558" width="9" style="3190" customWidth="1"/>
    <col min="12559" max="12800" width="8.88671875" style="3190"/>
    <col min="12801" max="12801" width="52.44140625" style="3190" customWidth="1"/>
    <col min="12802" max="12802" width="7.109375" style="3190" customWidth="1"/>
    <col min="12803" max="12803" width="9" style="3190" customWidth="1"/>
    <col min="12804" max="12805" width="15.88671875" style="3190" customWidth="1"/>
    <col min="12806" max="12806" width="29" style="3190" customWidth="1"/>
    <col min="12807" max="12807" width="9" style="3190" customWidth="1"/>
    <col min="12808" max="12808" width="10.21875" style="3190" customWidth="1"/>
    <col min="12809" max="12810" width="12.109375" style="3190" customWidth="1"/>
    <col min="12811" max="12811" width="16.33203125" style="3190" customWidth="1"/>
    <col min="12812" max="12812" width="7.109375" style="3190" customWidth="1"/>
    <col min="12813" max="12813" width="31.77734375" style="3190" customWidth="1"/>
    <col min="12814" max="12814" width="9" style="3190" customWidth="1"/>
    <col min="12815" max="13056" width="8.88671875" style="3190"/>
    <col min="13057" max="13057" width="52.44140625" style="3190" customWidth="1"/>
    <col min="13058" max="13058" width="7.109375" style="3190" customWidth="1"/>
    <col min="13059" max="13059" width="9" style="3190" customWidth="1"/>
    <col min="13060" max="13061" width="15.88671875" style="3190" customWidth="1"/>
    <col min="13062" max="13062" width="29" style="3190" customWidth="1"/>
    <col min="13063" max="13063" width="9" style="3190" customWidth="1"/>
    <col min="13064" max="13064" width="10.21875" style="3190" customWidth="1"/>
    <col min="13065" max="13066" width="12.109375" style="3190" customWidth="1"/>
    <col min="13067" max="13067" width="16.33203125" style="3190" customWidth="1"/>
    <col min="13068" max="13068" width="7.109375" style="3190" customWidth="1"/>
    <col min="13069" max="13069" width="31.77734375" style="3190" customWidth="1"/>
    <col min="13070" max="13070" width="9" style="3190" customWidth="1"/>
    <col min="13071" max="13312" width="8.88671875" style="3190"/>
    <col min="13313" max="13313" width="52.44140625" style="3190" customWidth="1"/>
    <col min="13314" max="13314" width="7.109375" style="3190" customWidth="1"/>
    <col min="13315" max="13315" width="9" style="3190" customWidth="1"/>
    <col min="13316" max="13317" width="15.88671875" style="3190" customWidth="1"/>
    <col min="13318" max="13318" width="29" style="3190" customWidth="1"/>
    <col min="13319" max="13319" width="9" style="3190" customWidth="1"/>
    <col min="13320" max="13320" width="10.21875" style="3190" customWidth="1"/>
    <col min="13321" max="13322" width="12.109375" style="3190" customWidth="1"/>
    <col min="13323" max="13323" width="16.33203125" style="3190" customWidth="1"/>
    <col min="13324" max="13324" width="7.109375" style="3190" customWidth="1"/>
    <col min="13325" max="13325" width="31.77734375" style="3190" customWidth="1"/>
    <col min="13326" max="13326" width="9" style="3190" customWidth="1"/>
    <col min="13327" max="13568" width="8.88671875" style="3190"/>
    <col min="13569" max="13569" width="52.44140625" style="3190" customWidth="1"/>
    <col min="13570" max="13570" width="7.109375" style="3190" customWidth="1"/>
    <col min="13571" max="13571" width="9" style="3190" customWidth="1"/>
    <col min="13572" max="13573" width="15.88671875" style="3190" customWidth="1"/>
    <col min="13574" max="13574" width="29" style="3190" customWidth="1"/>
    <col min="13575" max="13575" width="9" style="3190" customWidth="1"/>
    <col min="13576" max="13576" width="10.21875" style="3190" customWidth="1"/>
    <col min="13577" max="13578" width="12.109375" style="3190" customWidth="1"/>
    <col min="13579" max="13579" width="16.33203125" style="3190" customWidth="1"/>
    <col min="13580" max="13580" width="7.109375" style="3190" customWidth="1"/>
    <col min="13581" max="13581" width="31.77734375" style="3190" customWidth="1"/>
    <col min="13582" max="13582" width="9" style="3190" customWidth="1"/>
    <col min="13583" max="13824" width="8.88671875" style="3190"/>
    <col min="13825" max="13825" width="52.44140625" style="3190" customWidth="1"/>
    <col min="13826" max="13826" width="7.109375" style="3190" customWidth="1"/>
    <col min="13827" max="13827" width="9" style="3190" customWidth="1"/>
    <col min="13828" max="13829" width="15.88671875" style="3190" customWidth="1"/>
    <col min="13830" max="13830" width="29" style="3190" customWidth="1"/>
    <col min="13831" max="13831" width="9" style="3190" customWidth="1"/>
    <col min="13832" max="13832" width="10.21875" style="3190" customWidth="1"/>
    <col min="13833" max="13834" width="12.109375" style="3190" customWidth="1"/>
    <col min="13835" max="13835" width="16.33203125" style="3190" customWidth="1"/>
    <col min="13836" max="13836" width="7.109375" style="3190" customWidth="1"/>
    <col min="13837" max="13837" width="31.77734375" style="3190" customWidth="1"/>
    <col min="13838" max="13838" width="9" style="3190" customWidth="1"/>
    <col min="13839" max="14080" width="8.88671875" style="3190"/>
    <col min="14081" max="14081" width="52.44140625" style="3190" customWidth="1"/>
    <col min="14082" max="14082" width="7.109375" style="3190" customWidth="1"/>
    <col min="14083" max="14083" width="9" style="3190" customWidth="1"/>
    <col min="14084" max="14085" width="15.88671875" style="3190" customWidth="1"/>
    <col min="14086" max="14086" width="29" style="3190" customWidth="1"/>
    <col min="14087" max="14087" width="9" style="3190" customWidth="1"/>
    <col min="14088" max="14088" width="10.21875" style="3190" customWidth="1"/>
    <col min="14089" max="14090" width="12.109375" style="3190" customWidth="1"/>
    <col min="14091" max="14091" width="16.33203125" style="3190" customWidth="1"/>
    <col min="14092" max="14092" width="7.109375" style="3190" customWidth="1"/>
    <col min="14093" max="14093" width="31.77734375" style="3190" customWidth="1"/>
    <col min="14094" max="14094" width="9" style="3190" customWidth="1"/>
    <col min="14095" max="14336" width="8.88671875" style="3190"/>
    <col min="14337" max="14337" width="52.44140625" style="3190" customWidth="1"/>
    <col min="14338" max="14338" width="7.109375" style="3190" customWidth="1"/>
    <col min="14339" max="14339" width="9" style="3190" customWidth="1"/>
    <col min="14340" max="14341" width="15.88671875" style="3190" customWidth="1"/>
    <col min="14342" max="14342" width="29" style="3190" customWidth="1"/>
    <col min="14343" max="14343" width="9" style="3190" customWidth="1"/>
    <col min="14344" max="14344" width="10.21875" style="3190" customWidth="1"/>
    <col min="14345" max="14346" width="12.109375" style="3190" customWidth="1"/>
    <col min="14347" max="14347" width="16.33203125" style="3190" customWidth="1"/>
    <col min="14348" max="14348" width="7.109375" style="3190" customWidth="1"/>
    <col min="14349" max="14349" width="31.77734375" style="3190" customWidth="1"/>
    <col min="14350" max="14350" width="9" style="3190" customWidth="1"/>
    <col min="14351" max="14592" width="8.88671875" style="3190"/>
    <col min="14593" max="14593" width="52.44140625" style="3190" customWidth="1"/>
    <col min="14594" max="14594" width="7.109375" style="3190" customWidth="1"/>
    <col min="14595" max="14595" width="9" style="3190" customWidth="1"/>
    <col min="14596" max="14597" width="15.88671875" style="3190" customWidth="1"/>
    <col min="14598" max="14598" width="29" style="3190" customWidth="1"/>
    <col min="14599" max="14599" width="9" style="3190" customWidth="1"/>
    <col min="14600" max="14600" width="10.21875" style="3190" customWidth="1"/>
    <col min="14601" max="14602" width="12.109375" style="3190" customWidth="1"/>
    <col min="14603" max="14603" width="16.33203125" style="3190" customWidth="1"/>
    <col min="14604" max="14604" width="7.109375" style="3190" customWidth="1"/>
    <col min="14605" max="14605" width="31.77734375" style="3190" customWidth="1"/>
    <col min="14606" max="14606" width="9" style="3190" customWidth="1"/>
    <col min="14607" max="14848" width="8.88671875" style="3190"/>
    <col min="14849" max="14849" width="52.44140625" style="3190" customWidth="1"/>
    <col min="14850" max="14850" width="7.109375" style="3190" customWidth="1"/>
    <col min="14851" max="14851" width="9" style="3190" customWidth="1"/>
    <col min="14852" max="14853" width="15.88671875" style="3190" customWidth="1"/>
    <col min="14854" max="14854" width="29" style="3190" customWidth="1"/>
    <col min="14855" max="14855" width="9" style="3190" customWidth="1"/>
    <col min="14856" max="14856" width="10.21875" style="3190" customWidth="1"/>
    <col min="14857" max="14858" width="12.109375" style="3190" customWidth="1"/>
    <col min="14859" max="14859" width="16.33203125" style="3190" customWidth="1"/>
    <col min="14860" max="14860" width="7.109375" style="3190" customWidth="1"/>
    <col min="14861" max="14861" width="31.77734375" style="3190" customWidth="1"/>
    <col min="14862" max="14862" width="9" style="3190" customWidth="1"/>
    <col min="14863" max="15104" width="8.88671875" style="3190"/>
    <col min="15105" max="15105" width="52.44140625" style="3190" customWidth="1"/>
    <col min="15106" max="15106" width="7.109375" style="3190" customWidth="1"/>
    <col min="15107" max="15107" width="9" style="3190" customWidth="1"/>
    <col min="15108" max="15109" width="15.88671875" style="3190" customWidth="1"/>
    <col min="15110" max="15110" width="29" style="3190" customWidth="1"/>
    <col min="15111" max="15111" width="9" style="3190" customWidth="1"/>
    <col min="15112" max="15112" width="10.21875" style="3190" customWidth="1"/>
    <col min="15113" max="15114" width="12.109375" style="3190" customWidth="1"/>
    <col min="15115" max="15115" width="16.33203125" style="3190" customWidth="1"/>
    <col min="15116" max="15116" width="7.109375" style="3190" customWidth="1"/>
    <col min="15117" max="15117" width="31.77734375" style="3190" customWidth="1"/>
    <col min="15118" max="15118" width="9" style="3190" customWidth="1"/>
    <col min="15119" max="15360" width="8.88671875" style="3190"/>
    <col min="15361" max="15361" width="52.44140625" style="3190" customWidth="1"/>
    <col min="15362" max="15362" width="7.109375" style="3190" customWidth="1"/>
    <col min="15363" max="15363" width="9" style="3190" customWidth="1"/>
    <col min="15364" max="15365" width="15.88671875" style="3190" customWidth="1"/>
    <col min="15366" max="15366" width="29" style="3190" customWidth="1"/>
    <col min="15367" max="15367" width="9" style="3190" customWidth="1"/>
    <col min="15368" max="15368" width="10.21875" style="3190" customWidth="1"/>
    <col min="15369" max="15370" width="12.109375" style="3190" customWidth="1"/>
    <col min="15371" max="15371" width="16.33203125" style="3190" customWidth="1"/>
    <col min="15372" max="15372" width="7.109375" style="3190" customWidth="1"/>
    <col min="15373" max="15373" width="31.77734375" style="3190" customWidth="1"/>
    <col min="15374" max="15374" width="9" style="3190" customWidth="1"/>
    <col min="15375" max="15616" width="8.88671875" style="3190"/>
    <col min="15617" max="15617" width="52.44140625" style="3190" customWidth="1"/>
    <col min="15618" max="15618" width="7.109375" style="3190" customWidth="1"/>
    <col min="15619" max="15619" width="9" style="3190" customWidth="1"/>
    <col min="15620" max="15621" width="15.88671875" style="3190" customWidth="1"/>
    <col min="15622" max="15622" width="29" style="3190" customWidth="1"/>
    <col min="15623" max="15623" width="9" style="3190" customWidth="1"/>
    <col min="15624" max="15624" width="10.21875" style="3190" customWidth="1"/>
    <col min="15625" max="15626" width="12.109375" style="3190" customWidth="1"/>
    <col min="15627" max="15627" width="16.33203125" style="3190" customWidth="1"/>
    <col min="15628" max="15628" width="7.109375" style="3190" customWidth="1"/>
    <col min="15629" max="15629" width="31.77734375" style="3190" customWidth="1"/>
    <col min="15630" max="15630" width="9" style="3190" customWidth="1"/>
    <col min="15631" max="15872" width="8.88671875" style="3190"/>
    <col min="15873" max="15873" width="52.44140625" style="3190" customWidth="1"/>
    <col min="15874" max="15874" width="7.109375" style="3190" customWidth="1"/>
    <col min="15875" max="15875" width="9" style="3190" customWidth="1"/>
    <col min="15876" max="15877" width="15.88671875" style="3190" customWidth="1"/>
    <col min="15878" max="15878" width="29" style="3190" customWidth="1"/>
    <col min="15879" max="15879" width="9" style="3190" customWidth="1"/>
    <col min="15880" max="15880" width="10.21875" style="3190" customWidth="1"/>
    <col min="15881" max="15882" width="12.109375" style="3190" customWidth="1"/>
    <col min="15883" max="15883" width="16.33203125" style="3190" customWidth="1"/>
    <col min="15884" max="15884" width="7.109375" style="3190" customWidth="1"/>
    <col min="15885" max="15885" width="31.77734375" style="3190" customWidth="1"/>
    <col min="15886" max="15886" width="9" style="3190" customWidth="1"/>
    <col min="15887" max="16128" width="8.88671875" style="3190"/>
    <col min="16129" max="16129" width="52.44140625" style="3190" customWidth="1"/>
    <col min="16130" max="16130" width="7.109375" style="3190" customWidth="1"/>
    <col min="16131" max="16131" width="9" style="3190" customWidth="1"/>
    <col min="16132" max="16133" width="15.88671875" style="3190" customWidth="1"/>
    <col min="16134" max="16134" width="29" style="3190" customWidth="1"/>
    <col min="16135" max="16135" width="9" style="3190" customWidth="1"/>
    <col min="16136" max="16136" width="10.21875" style="3190" customWidth="1"/>
    <col min="16137" max="16138" width="12.109375" style="3190" customWidth="1"/>
    <col min="16139" max="16139" width="16.33203125" style="3190" customWidth="1"/>
    <col min="16140" max="16140" width="7.109375" style="3190" customWidth="1"/>
    <col min="16141" max="16141" width="31.77734375" style="3190" customWidth="1"/>
    <col min="16142" max="16142" width="9" style="3190" customWidth="1"/>
    <col min="16143" max="16384" width="8.88671875" style="3190"/>
  </cols>
  <sheetData>
    <row r="1" spans="1:15">
      <c r="A1" s="3190" t="s">
        <v>3033</v>
      </c>
      <c r="B1" s="3190" t="s">
        <v>3034</v>
      </c>
      <c r="C1" s="3190" t="s">
        <v>3035</v>
      </c>
      <c r="D1" s="3190" t="s">
        <v>3036</v>
      </c>
      <c r="E1" s="3190" t="s">
        <v>3037</v>
      </c>
      <c r="F1" s="3190" t="s">
        <v>2029</v>
      </c>
      <c r="G1" s="3190" t="s">
        <v>3038</v>
      </c>
      <c r="H1" s="3190" t="s">
        <v>3039</v>
      </c>
      <c r="I1" s="3190" t="s">
        <v>3040</v>
      </c>
      <c r="J1" s="3190" t="s">
        <v>3041</v>
      </c>
      <c r="K1" s="3190" t="s">
        <v>3042</v>
      </c>
      <c r="L1" s="3190" t="s">
        <v>3043</v>
      </c>
      <c r="M1" s="3190" t="s">
        <v>3044</v>
      </c>
      <c r="N1" s="3190" t="s">
        <v>3045</v>
      </c>
    </row>
    <row r="2" spans="1:15">
      <c r="A2" s="3190" t="s">
        <v>3046</v>
      </c>
      <c r="B2" s="3190" t="s">
        <v>3047</v>
      </c>
      <c r="C2" s="3190" t="s">
        <v>3048</v>
      </c>
      <c r="D2" s="3190">
        <v>34103.51</v>
      </c>
      <c r="E2" s="3190">
        <v>61386.32</v>
      </c>
      <c r="F2" s="3190" t="s">
        <v>3049</v>
      </c>
      <c r="G2" s="3190" t="s">
        <v>3050</v>
      </c>
      <c r="H2" s="3190" t="s">
        <v>3051</v>
      </c>
      <c r="I2" s="3190">
        <v>3939.32</v>
      </c>
      <c r="J2" s="3190">
        <v>3939.32</v>
      </c>
      <c r="K2" s="3190">
        <v>641.73</v>
      </c>
      <c r="L2" s="3190">
        <v>0</v>
      </c>
      <c r="M2" s="3190" t="s">
        <v>3052</v>
      </c>
      <c r="N2" s="3190" t="s">
        <v>3053</v>
      </c>
    </row>
    <row r="3" spans="1:15">
      <c r="A3" s="3190" t="s">
        <v>3054</v>
      </c>
      <c r="B3" s="3190" t="s">
        <v>3047</v>
      </c>
      <c r="C3" s="3190" t="s">
        <v>3048</v>
      </c>
      <c r="D3" s="3190">
        <v>63618.99</v>
      </c>
      <c r="E3" s="3190">
        <v>114514.18</v>
      </c>
      <c r="F3" s="3190" t="s">
        <v>3049</v>
      </c>
      <c r="G3" s="3190" t="s">
        <v>3050</v>
      </c>
      <c r="H3" s="3190" t="s">
        <v>3051</v>
      </c>
      <c r="I3" s="3190">
        <v>7348.1</v>
      </c>
      <c r="J3" s="3190">
        <v>7348.1</v>
      </c>
      <c r="K3" s="3190">
        <v>641.66999999999996</v>
      </c>
      <c r="L3" s="3190">
        <v>0</v>
      </c>
      <c r="M3" s="3190" t="s">
        <v>3052</v>
      </c>
      <c r="N3" s="3190" t="s">
        <v>3053</v>
      </c>
    </row>
    <row r="4" spans="1:15">
      <c r="A4" s="3190" t="s">
        <v>3055</v>
      </c>
      <c r="B4" s="3190" t="s">
        <v>3047</v>
      </c>
      <c r="C4" s="3190" t="s">
        <v>3048</v>
      </c>
      <c r="D4" s="3190">
        <v>8784.49</v>
      </c>
      <c r="E4" s="3190">
        <v>15812.08</v>
      </c>
      <c r="F4" s="3190" t="s">
        <v>3049</v>
      </c>
      <c r="G4" s="3190" t="s">
        <v>3050</v>
      </c>
      <c r="H4" s="3190" t="s">
        <v>3051</v>
      </c>
      <c r="I4" s="3190">
        <v>1014.86</v>
      </c>
      <c r="J4" s="3190">
        <v>1014.86</v>
      </c>
      <c r="K4" s="3190">
        <v>641.83000000000004</v>
      </c>
      <c r="L4" s="3190">
        <v>0</v>
      </c>
      <c r="M4" s="3190" t="s">
        <v>3052</v>
      </c>
      <c r="N4" s="3190" t="s">
        <v>3053</v>
      </c>
    </row>
    <row r="5" spans="1:15" s="3192" customFormat="1">
      <c r="A5" s="3192" t="s">
        <v>3056</v>
      </c>
      <c r="B5" s="3192" t="s">
        <v>3047</v>
      </c>
      <c r="C5" s="3192" t="s">
        <v>3048</v>
      </c>
      <c r="D5" s="3192">
        <v>34354</v>
      </c>
      <c r="E5" s="3192">
        <v>68708</v>
      </c>
      <c r="F5" s="3192" t="s">
        <v>3057</v>
      </c>
      <c r="G5" s="3192" t="s">
        <v>3050</v>
      </c>
      <c r="H5" s="3192" t="s">
        <v>3058</v>
      </c>
      <c r="I5" s="3192">
        <v>14943.7</v>
      </c>
      <c r="J5" s="3192">
        <v>14943.7</v>
      </c>
      <c r="K5" s="3192">
        <v>2174.96</v>
      </c>
      <c r="L5" s="3192">
        <v>0</v>
      </c>
      <c r="M5" s="3192" t="s">
        <v>3059</v>
      </c>
      <c r="N5" s="3192" t="s">
        <v>3053</v>
      </c>
    </row>
    <row r="6" spans="1:15">
      <c r="A6" s="3190" t="s">
        <v>3060</v>
      </c>
      <c r="B6" s="3190" t="s">
        <v>3047</v>
      </c>
      <c r="C6" s="3190" t="s">
        <v>3048</v>
      </c>
      <c r="D6" s="3190">
        <v>34721.17</v>
      </c>
      <c r="E6" s="3190">
        <v>62498.11</v>
      </c>
      <c r="F6" s="3190" t="s">
        <v>3049</v>
      </c>
      <c r="G6" s="3190" t="s">
        <v>3050</v>
      </c>
      <c r="H6" s="3190" t="s">
        <v>3061</v>
      </c>
      <c r="I6" s="3190">
        <v>8853.89</v>
      </c>
      <c r="J6" s="3190">
        <v>8853.89</v>
      </c>
      <c r="K6" s="3190">
        <v>1416.67</v>
      </c>
      <c r="L6" s="3190">
        <v>0</v>
      </c>
      <c r="M6" s="3190" t="s">
        <v>3062</v>
      </c>
      <c r="N6" s="3190" t="s">
        <v>3053</v>
      </c>
    </row>
    <row r="7" spans="1:15">
      <c r="A7" s="3190" t="s">
        <v>3063</v>
      </c>
      <c r="B7" s="3190" t="s">
        <v>3047</v>
      </c>
      <c r="C7" s="3190" t="s">
        <v>3048</v>
      </c>
      <c r="D7" s="3190">
        <v>53285.2</v>
      </c>
      <c r="E7" s="3190">
        <v>95913.36</v>
      </c>
      <c r="F7" s="3190" t="s">
        <v>3064</v>
      </c>
      <c r="G7" s="3190" t="s">
        <v>3050</v>
      </c>
      <c r="H7" s="3190" t="s">
        <v>3065</v>
      </c>
      <c r="I7" s="3190">
        <v>13588.1</v>
      </c>
      <c r="J7" s="3190">
        <v>16748.09</v>
      </c>
      <c r="K7" s="3190">
        <v>1746.17</v>
      </c>
      <c r="L7" s="3190">
        <v>23.26</v>
      </c>
      <c r="M7" s="3190" t="s">
        <v>3066</v>
      </c>
      <c r="N7" s="3190" t="s">
        <v>3053</v>
      </c>
    </row>
    <row r="8" spans="1:15">
      <c r="A8" s="3190" t="s">
        <v>3067</v>
      </c>
      <c r="B8" s="3190" t="s">
        <v>3047</v>
      </c>
      <c r="C8" s="3190" t="s">
        <v>3048</v>
      </c>
      <c r="D8" s="3190">
        <v>49937.25</v>
      </c>
      <c r="E8" s="3190">
        <v>99874.5</v>
      </c>
      <c r="F8" s="3190" t="s">
        <v>3057</v>
      </c>
      <c r="G8" s="3190" t="s">
        <v>3050</v>
      </c>
      <c r="H8" s="3190" t="s">
        <v>3068</v>
      </c>
      <c r="I8" s="3190">
        <v>16330.37</v>
      </c>
      <c r="J8" s="3190">
        <v>16330.37</v>
      </c>
      <c r="K8" s="3190">
        <v>1635.08</v>
      </c>
      <c r="L8" s="3190">
        <v>0</v>
      </c>
      <c r="M8" s="3190" t="s">
        <v>3069</v>
      </c>
      <c r="N8" s="3190" t="s">
        <v>3070</v>
      </c>
    </row>
    <row r="9" spans="1:15">
      <c r="A9" s="3190" t="s">
        <v>3071</v>
      </c>
      <c r="B9" s="3190" t="s">
        <v>3047</v>
      </c>
      <c r="C9" s="3190" t="s">
        <v>3048</v>
      </c>
      <c r="D9" s="3190">
        <v>34966.17</v>
      </c>
      <c r="E9" s="3190">
        <v>69932.34</v>
      </c>
      <c r="F9" s="3190" t="s">
        <v>3057</v>
      </c>
      <c r="G9" s="3190" t="s">
        <v>3050</v>
      </c>
      <c r="H9" s="3190" t="s">
        <v>3068</v>
      </c>
      <c r="I9" s="3190">
        <v>12194.62</v>
      </c>
      <c r="J9" s="3190">
        <v>12194.62</v>
      </c>
      <c r="K9" s="3190">
        <v>1743.77</v>
      </c>
      <c r="L9" s="3190">
        <v>0</v>
      </c>
      <c r="M9" s="3190" t="s">
        <v>3072</v>
      </c>
      <c r="N9" s="3190" t="s">
        <v>3073</v>
      </c>
    </row>
    <row r="10" spans="1:15" s="3191" customFormat="1">
      <c r="A10" s="3191" t="s">
        <v>3074</v>
      </c>
      <c r="B10" s="3191" t="s">
        <v>3047</v>
      </c>
      <c r="C10" s="3191" t="s">
        <v>3048</v>
      </c>
      <c r="D10" s="3191">
        <v>40851.83</v>
      </c>
      <c r="E10" s="3191">
        <v>61277.75</v>
      </c>
      <c r="F10" s="3191" t="s">
        <v>3075</v>
      </c>
      <c r="G10" s="3191" t="s">
        <v>3050</v>
      </c>
      <c r="H10" s="3191" t="s">
        <v>3068</v>
      </c>
      <c r="I10" s="3191">
        <v>13328.39</v>
      </c>
      <c r="J10" s="3191">
        <v>13328.39</v>
      </c>
      <c r="K10" s="3191">
        <v>2175.0700000000002</v>
      </c>
      <c r="L10" s="3191">
        <v>0</v>
      </c>
      <c r="M10" s="3191" t="s">
        <v>3018</v>
      </c>
      <c r="N10" s="3191" t="s">
        <v>3070</v>
      </c>
    </row>
    <row r="11" spans="1:15" s="3497" customFormat="1">
      <c r="A11" s="3497" t="s">
        <v>3076</v>
      </c>
      <c r="B11" s="3497" t="s">
        <v>3047</v>
      </c>
      <c r="C11" s="3497" t="s">
        <v>3048</v>
      </c>
      <c r="D11" s="3497">
        <v>56518.48</v>
      </c>
      <c r="E11" s="3497">
        <v>84777.72</v>
      </c>
      <c r="F11" s="3497" t="s">
        <v>3075</v>
      </c>
      <c r="G11" s="3497" t="s">
        <v>3050</v>
      </c>
      <c r="H11" s="3497" t="s">
        <v>3068</v>
      </c>
      <c r="I11" s="3497">
        <v>18566.810000000001</v>
      </c>
      <c r="J11" s="3497">
        <v>18566.810000000001</v>
      </c>
      <c r="K11" s="3497">
        <v>2190.0500000000002</v>
      </c>
      <c r="L11" s="3497">
        <v>0</v>
      </c>
      <c r="M11" s="3497" t="s">
        <v>3072</v>
      </c>
      <c r="N11" s="3497" t="s">
        <v>3073</v>
      </c>
      <c r="O11" s="3497">
        <f>ROUND((J9+J11+J12)/(E9+E11+E12)*10000,2)</f>
        <v>1912.39</v>
      </c>
    </row>
    <row r="12" spans="1:15">
      <c r="A12" s="3190" t="s">
        <v>3077</v>
      </c>
      <c r="B12" s="3190" t="s">
        <v>3047</v>
      </c>
      <c r="C12" s="3190" t="s">
        <v>3048</v>
      </c>
      <c r="D12" s="3190">
        <v>35608.080000000002</v>
      </c>
      <c r="E12" s="3190">
        <v>71216.160000000003</v>
      </c>
      <c r="F12" s="3190" t="s">
        <v>3057</v>
      </c>
      <c r="G12" s="3190" t="s">
        <v>3050</v>
      </c>
      <c r="H12" s="3190" t="s">
        <v>3068</v>
      </c>
      <c r="I12" s="3190">
        <v>12444.53</v>
      </c>
      <c r="J12" s="3190">
        <v>12444.53</v>
      </c>
      <c r="K12" s="3190">
        <v>1747.43</v>
      </c>
      <c r="L12" s="3190">
        <v>0</v>
      </c>
      <c r="M12" s="3190" t="s">
        <v>3072</v>
      </c>
      <c r="N12" s="3190" t="s">
        <v>3053</v>
      </c>
    </row>
    <row r="13" spans="1:15" s="3191" customFormat="1">
      <c r="A13" s="3191" t="s">
        <v>3078</v>
      </c>
      <c r="B13" s="3191" t="s">
        <v>3047</v>
      </c>
      <c r="C13" s="3191" t="s">
        <v>3048</v>
      </c>
      <c r="D13" s="3191">
        <v>54141.7</v>
      </c>
      <c r="E13" s="3191">
        <v>81212.55</v>
      </c>
      <c r="F13" s="3191" t="s">
        <v>3075</v>
      </c>
      <c r="G13" s="3191" t="s">
        <v>3050</v>
      </c>
      <c r="H13" s="3191" t="s">
        <v>3068</v>
      </c>
      <c r="I13" s="3191">
        <v>17663.18</v>
      </c>
      <c r="J13" s="3191">
        <v>17663.18</v>
      </c>
      <c r="K13" s="3191">
        <v>2174.92</v>
      </c>
      <c r="L13" s="3191">
        <v>0</v>
      </c>
      <c r="M13" s="3191" t="s">
        <v>3018</v>
      </c>
      <c r="N13" s="3191" t="s">
        <v>3070</v>
      </c>
    </row>
    <row r="14" spans="1:15">
      <c r="A14" s="3190" t="s">
        <v>3067</v>
      </c>
      <c r="B14" s="3190" t="s">
        <v>3047</v>
      </c>
      <c r="C14" s="3190" t="s">
        <v>3048</v>
      </c>
      <c r="D14" s="3190">
        <v>26984.86</v>
      </c>
      <c r="E14" s="3190">
        <v>53969.72</v>
      </c>
      <c r="F14" s="3190" t="s">
        <v>3057</v>
      </c>
      <c r="G14" s="3190" t="s">
        <v>3050</v>
      </c>
      <c r="H14" s="3190" t="s">
        <v>3068</v>
      </c>
      <c r="I14" s="3190">
        <v>8804.39</v>
      </c>
      <c r="J14" s="3190">
        <v>8804.39</v>
      </c>
      <c r="K14" s="3190">
        <v>1631.35</v>
      </c>
      <c r="L14" s="3190">
        <v>0</v>
      </c>
      <c r="M14" s="3190" t="s">
        <v>3069</v>
      </c>
      <c r="N14" s="3190" t="s">
        <v>3070</v>
      </c>
    </row>
    <row r="15" spans="1:15" s="3191" customFormat="1">
      <c r="A15" s="3191" t="s">
        <v>3079</v>
      </c>
      <c r="B15" s="3191" t="s">
        <v>3047</v>
      </c>
      <c r="C15" s="3191" t="s">
        <v>3048</v>
      </c>
      <c r="D15" s="3191">
        <v>46040.5</v>
      </c>
      <c r="E15" s="3191">
        <v>69060.75</v>
      </c>
      <c r="F15" s="3191" t="s">
        <v>3075</v>
      </c>
      <c r="G15" s="3191" t="s">
        <v>3050</v>
      </c>
      <c r="H15" s="3191" t="s">
        <v>3068</v>
      </c>
      <c r="I15" s="3191">
        <v>15158.67</v>
      </c>
      <c r="J15" s="3191">
        <v>15158.67</v>
      </c>
      <c r="K15" s="3191">
        <v>2194.98</v>
      </c>
      <c r="L15" s="3191">
        <v>0</v>
      </c>
      <c r="M15" s="3191" t="s">
        <v>3018</v>
      </c>
      <c r="N15" s="3191" t="s">
        <v>3070</v>
      </c>
    </row>
    <row r="16" spans="1:15">
      <c r="A16" s="3190" t="s">
        <v>3080</v>
      </c>
      <c r="B16" s="3190" t="s">
        <v>3047</v>
      </c>
      <c r="C16" s="3190" t="s">
        <v>3048</v>
      </c>
      <c r="D16" s="3190">
        <v>32746.07</v>
      </c>
      <c r="E16" s="3190">
        <v>58942.93</v>
      </c>
      <c r="F16" s="3190" t="s">
        <v>3064</v>
      </c>
      <c r="G16" s="3190" t="s">
        <v>3050</v>
      </c>
      <c r="H16" s="3190" t="s">
        <v>3081</v>
      </c>
      <c r="I16" s="3190">
        <v>5110.43</v>
      </c>
      <c r="J16" s="3190">
        <v>5110.43</v>
      </c>
      <c r="K16" s="3190">
        <v>867</v>
      </c>
      <c r="L16" s="3190">
        <v>0</v>
      </c>
      <c r="M16" s="3190" t="s">
        <v>3082</v>
      </c>
      <c r="N16" s="3190" t="s">
        <v>3073</v>
      </c>
    </row>
    <row r="17" spans="1:15">
      <c r="A17" s="3190" t="s">
        <v>3083</v>
      </c>
      <c r="B17" s="3190" t="s">
        <v>3047</v>
      </c>
      <c r="C17" s="3190" t="s">
        <v>3048</v>
      </c>
      <c r="D17" s="3190">
        <v>56364.62</v>
      </c>
      <c r="E17" s="3190">
        <v>112729.24</v>
      </c>
      <c r="F17" s="3190" t="s">
        <v>3057</v>
      </c>
      <c r="G17" s="3190" t="s">
        <v>3050</v>
      </c>
      <c r="H17" s="3190" t="s">
        <v>3084</v>
      </c>
      <c r="I17" s="3190">
        <v>23251.25</v>
      </c>
      <c r="J17" s="3190">
        <v>23251.25</v>
      </c>
      <c r="K17" s="3190">
        <v>2062.5700000000002</v>
      </c>
      <c r="L17" s="3190">
        <v>0</v>
      </c>
      <c r="M17" s="3190" t="s">
        <v>3085</v>
      </c>
      <c r="N17" s="3190" t="s">
        <v>3070</v>
      </c>
    </row>
    <row r="18" spans="1:15">
      <c r="A18" s="3190" t="s">
        <v>3083</v>
      </c>
      <c r="B18" s="3190" t="s">
        <v>3047</v>
      </c>
      <c r="C18" s="3190" t="s">
        <v>3048</v>
      </c>
      <c r="D18" s="3190">
        <v>56345.04</v>
      </c>
      <c r="E18" s="3190">
        <v>112690.08</v>
      </c>
      <c r="F18" s="3190" t="s">
        <v>3057</v>
      </c>
      <c r="G18" s="3190" t="s">
        <v>3050</v>
      </c>
      <c r="H18" s="3190" t="s">
        <v>3084</v>
      </c>
      <c r="I18" s="3190">
        <v>23245.75</v>
      </c>
      <c r="J18" s="3190">
        <v>23245.75</v>
      </c>
      <c r="K18" s="3190">
        <v>2062.8000000000002</v>
      </c>
      <c r="L18" s="3190">
        <v>0</v>
      </c>
      <c r="M18" s="3190" t="s">
        <v>3085</v>
      </c>
      <c r="N18" s="3190" t="s">
        <v>3070</v>
      </c>
    </row>
    <row r="19" spans="1:15">
      <c r="A19" s="3190" t="s">
        <v>3086</v>
      </c>
      <c r="B19" s="3190" t="s">
        <v>3047</v>
      </c>
      <c r="C19" s="3190" t="s">
        <v>3048</v>
      </c>
      <c r="D19" s="3190">
        <v>22200.35</v>
      </c>
      <c r="E19" s="3190">
        <v>44400.7</v>
      </c>
      <c r="F19" s="3190" t="s">
        <v>3057</v>
      </c>
      <c r="G19" s="3190" t="s">
        <v>3050</v>
      </c>
      <c r="H19" s="3190" t="s">
        <v>3087</v>
      </c>
      <c r="I19" s="3190">
        <v>3003.75</v>
      </c>
      <c r="J19" s="3190">
        <v>3003.75</v>
      </c>
      <c r="K19" s="3190">
        <v>676.5</v>
      </c>
      <c r="L19" s="3190">
        <v>0</v>
      </c>
      <c r="M19" s="3190" t="s">
        <v>3088</v>
      </c>
      <c r="N19" s="3190" t="s">
        <v>3089</v>
      </c>
    </row>
    <row r="20" spans="1:15">
      <c r="A20" s="3190" t="s">
        <v>3090</v>
      </c>
      <c r="B20" s="3190" t="s">
        <v>3047</v>
      </c>
      <c r="C20" s="3190" t="s">
        <v>3048</v>
      </c>
      <c r="D20" s="3190">
        <v>19489.27</v>
      </c>
      <c r="E20" s="3190">
        <v>38978.54</v>
      </c>
      <c r="F20" s="3190" t="s">
        <v>3057</v>
      </c>
      <c r="G20" s="3190" t="s">
        <v>3050</v>
      </c>
      <c r="H20" s="3190" t="s">
        <v>3091</v>
      </c>
      <c r="I20" s="3190">
        <v>2489.5700000000002</v>
      </c>
      <c r="J20" s="3190">
        <v>2489.5700000000002</v>
      </c>
      <c r="K20" s="3190">
        <v>638.70000000000005</v>
      </c>
      <c r="L20" s="3190">
        <v>0</v>
      </c>
      <c r="M20" s="3190" t="s">
        <v>3092</v>
      </c>
      <c r="N20" s="3190" t="s">
        <v>3053</v>
      </c>
    </row>
    <row r="21" spans="1:15" s="3192" customFormat="1" ht="15">
      <c r="A21" s="3498" t="s">
        <v>3167</v>
      </c>
      <c r="B21" s="3192" t="s">
        <v>3047</v>
      </c>
      <c r="C21" s="3192" t="s">
        <v>3048</v>
      </c>
      <c r="D21" s="3192">
        <v>54205.59</v>
      </c>
      <c r="E21" s="3192">
        <v>108411.18</v>
      </c>
      <c r="F21" s="3192" t="s">
        <v>3057</v>
      </c>
      <c r="G21" s="3192" t="s">
        <v>3050</v>
      </c>
      <c r="H21" s="3192" t="s">
        <v>3093</v>
      </c>
      <c r="I21" s="3192">
        <v>21140.59</v>
      </c>
      <c r="J21" s="3192">
        <v>21140.59</v>
      </c>
      <c r="K21" s="3192">
        <v>1950.03</v>
      </c>
      <c r="L21" s="3192">
        <v>0</v>
      </c>
      <c r="M21" s="3192" t="s">
        <v>3094</v>
      </c>
      <c r="N21" s="3192" t="s">
        <v>3073</v>
      </c>
    </row>
    <row r="22" spans="1:15">
      <c r="A22" s="3190" t="s">
        <v>3095</v>
      </c>
      <c r="B22" s="3190" t="s">
        <v>3047</v>
      </c>
      <c r="C22" s="3190" t="s">
        <v>3048</v>
      </c>
      <c r="D22" s="3190">
        <v>16369.83</v>
      </c>
      <c r="E22" s="3190">
        <v>32739.66</v>
      </c>
      <c r="F22" s="3190" t="s">
        <v>3057</v>
      </c>
      <c r="G22" s="3190" t="s">
        <v>3050</v>
      </c>
      <c r="H22" s="3190" t="s">
        <v>3096</v>
      </c>
      <c r="I22" s="3190">
        <v>3070</v>
      </c>
      <c r="J22" s="3190">
        <v>6410</v>
      </c>
      <c r="K22" s="3190">
        <v>1957.86</v>
      </c>
      <c r="L22" s="3190">
        <v>108.79</v>
      </c>
      <c r="M22" s="3190" t="s">
        <v>3097</v>
      </c>
      <c r="N22" s="3190" t="s">
        <v>3053</v>
      </c>
    </row>
    <row r="23" spans="1:15">
      <c r="A23" s="3190" t="s">
        <v>3098</v>
      </c>
      <c r="B23" s="3190" t="s">
        <v>3047</v>
      </c>
      <c r="C23" s="3190" t="s">
        <v>3048</v>
      </c>
      <c r="D23" s="3190">
        <v>19773.939999999999</v>
      </c>
      <c r="E23" s="3190">
        <v>39547.879999999997</v>
      </c>
      <c r="F23" s="3190" t="s">
        <v>3057</v>
      </c>
      <c r="G23" s="3190" t="s">
        <v>3050</v>
      </c>
      <c r="H23" s="3190" t="s">
        <v>3099</v>
      </c>
      <c r="I23" s="3190">
        <v>2137.96</v>
      </c>
      <c r="J23" s="3190">
        <v>2497.96</v>
      </c>
      <c r="K23" s="3190">
        <v>631.62</v>
      </c>
      <c r="L23" s="3190">
        <v>16.84</v>
      </c>
      <c r="M23" s="3190" t="s">
        <v>3092</v>
      </c>
      <c r="N23" s="3190" t="s">
        <v>3053</v>
      </c>
    </row>
    <row r="24" spans="1:15">
      <c r="A24" s="3190" t="s">
        <v>3100</v>
      </c>
      <c r="B24" s="3190" t="s">
        <v>3047</v>
      </c>
      <c r="C24" s="3190" t="s">
        <v>3048</v>
      </c>
      <c r="D24" s="3190">
        <v>53334.080000000002</v>
      </c>
      <c r="E24" s="3190">
        <v>96001.34</v>
      </c>
      <c r="F24" s="3190" t="s">
        <v>3064</v>
      </c>
      <c r="G24" s="3190" t="s">
        <v>3050</v>
      </c>
      <c r="H24" s="3190" t="s">
        <v>3101</v>
      </c>
      <c r="I24" s="3190">
        <v>15280</v>
      </c>
      <c r="J24" s="3190">
        <v>15280</v>
      </c>
      <c r="K24" s="3190">
        <v>1591.64</v>
      </c>
      <c r="L24" s="3190">
        <v>0</v>
      </c>
      <c r="M24" s="3190" t="s">
        <v>3102</v>
      </c>
      <c r="N24" s="3190" t="s">
        <v>3073</v>
      </c>
    </row>
    <row r="25" spans="1:15">
      <c r="A25" s="3190" t="s">
        <v>3103</v>
      </c>
      <c r="B25" s="3190" t="s">
        <v>3047</v>
      </c>
      <c r="C25" s="3190" t="s">
        <v>3048</v>
      </c>
      <c r="D25" s="3190">
        <v>67097.33</v>
      </c>
      <c r="E25" s="3190">
        <v>134194.66</v>
      </c>
      <c r="F25" s="3190" t="s">
        <v>3104</v>
      </c>
      <c r="G25" s="3190" t="s">
        <v>3050</v>
      </c>
      <c r="H25" s="3190" t="s">
        <v>3105</v>
      </c>
      <c r="I25" s="3190">
        <v>20431.95</v>
      </c>
      <c r="J25" s="3190">
        <v>20431.95</v>
      </c>
      <c r="K25" s="3190">
        <v>1522.55</v>
      </c>
      <c r="L25" s="3190">
        <v>0</v>
      </c>
      <c r="M25" s="3190" t="s">
        <v>3106</v>
      </c>
      <c r="N25" s="3190" t="s">
        <v>3073</v>
      </c>
    </row>
    <row r="26" spans="1:15" s="3192" customFormat="1">
      <c r="A26" s="3192" t="s">
        <v>3107</v>
      </c>
      <c r="B26" s="3192" t="s">
        <v>3047</v>
      </c>
      <c r="C26" s="3192" t="s">
        <v>3048</v>
      </c>
      <c r="D26" s="3192">
        <v>56183.89</v>
      </c>
      <c r="E26" s="3192">
        <v>112367.78</v>
      </c>
      <c r="F26" s="3192" t="s">
        <v>3057</v>
      </c>
      <c r="G26" s="3192" t="s">
        <v>3050</v>
      </c>
      <c r="H26" s="3192" t="s">
        <v>3105</v>
      </c>
      <c r="I26" s="3192">
        <v>17108.84</v>
      </c>
      <c r="J26" s="3192">
        <v>27222.43</v>
      </c>
      <c r="K26" s="3192">
        <v>2422.61</v>
      </c>
      <c r="L26" s="3192">
        <v>59.11</v>
      </c>
      <c r="M26" s="3192" t="s">
        <v>3106</v>
      </c>
      <c r="N26" s="3192" t="s">
        <v>3073</v>
      </c>
      <c r="O26" s="3192">
        <f>ROUND((J25+J26)/(E25+E26)*10000,2)</f>
        <v>1932.75</v>
      </c>
    </row>
    <row r="27" spans="1:15">
      <c r="A27" s="3190" t="s">
        <v>3108</v>
      </c>
      <c r="B27" s="3190" t="s">
        <v>3047</v>
      </c>
      <c r="C27" s="3190" t="s">
        <v>3048</v>
      </c>
      <c r="D27" s="3190">
        <v>19773.169999999998</v>
      </c>
      <c r="E27" s="3190">
        <v>39546.339999999997</v>
      </c>
      <c r="F27" s="3190" t="s">
        <v>3057</v>
      </c>
      <c r="G27" s="3190" t="s">
        <v>3050</v>
      </c>
      <c r="H27" s="3190" t="s">
        <v>3109</v>
      </c>
      <c r="I27" s="3190">
        <v>2137.88</v>
      </c>
      <c r="J27" s="3190">
        <v>2137.88</v>
      </c>
      <c r="K27" s="3190">
        <v>540.6</v>
      </c>
      <c r="L27" s="3190">
        <v>0</v>
      </c>
      <c r="M27" s="3190" t="s">
        <v>3092</v>
      </c>
      <c r="N27" s="3190" t="s">
        <v>3053</v>
      </c>
    </row>
    <row r="28" spans="1:15">
      <c r="A28" s="3190" t="s">
        <v>3110</v>
      </c>
      <c r="B28" s="3190" t="s">
        <v>3047</v>
      </c>
      <c r="C28" s="3190" t="s">
        <v>3048</v>
      </c>
      <c r="D28" s="3190">
        <v>52210.73</v>
      </c>
      <c r="E28" s="3190">
        <v>104421.46</v>
      </c>
      <c r="F28" s="3190" t="s">
        <v>3057</v>
      </c>
      <c r="G28" s="3190" t="s">
        <v>3050</v>
      </c>
      <c r="H28" s="3190" t="s">
        <v>3111</v>
      </c>
      <c r="I28" s="3190">
        <v>5449.89</v>
      </c>
      <c r="J28" s="3190">
        <v>20309.900000000001</v>
      </c>
      <c r="K28" s="3190">
        <v>1944.99</v>
      </c>
      <c r="L28" s="3190">
        <v>272.67</v>
      </c>
      <c r="M28" s="3190" t="s">
        <v>3112</v>
      </c>
      <c r="N28" s="3190" t="s">
        <v>3053</v>
      </c>
    </row>
    <row r="29" spans="1:15">
      <c r="A29" s="3190" t="s">
        <v>3113</v>
      </c>
      <c r="B29" s="3190" t="s">
        <v>3047</v>
      </c>
      <c r="C29" s="3190" t="s">
        <v>3048</v>
      </c>
      <c r="D29" s="3190">
        <v>37300.239999999998</v>
      </c>
      <c r="E29" s="3190">
        <v>74600.479999999996</v>
      </c>
      <c r="F29" s="3190" t="s">
        <v>3057</v>
      </c>
      <c r="G29" s="3190" t="s">
        <v>3050</v>
      </c>
      <c r="H29" s="3190" t="s">
        <v>3114</v>
      </c>
      <c r="I29" s="3190">
        <v>11973.29</v>
      </c>
      <c r="J29" s="3190">
        <v>11973.29</v>
      </c>
      <c r="K29" s="3190">
        <v>1604.99</v>
      </c>
      <c r="L29" s="3190">
        <v>0</v>
      </c>
      <c r="M29" s="3190" t="s">
        <v>3115</v>
      </c>
      <c r="N29" s="3190" t="s">
        <v>3116</v>
      </c>
    </row>
    <row r="30" spans="1:15">
      <c r="A30" s="3190" t="s">
        <v>3117</v>
      </c>
      <c r="B30" s="3190" t="s">
        <v>3047</v>
      </c>
      <c r="C30" s="3190" t="s">
        <v>3048</v>
      </c>
      <c r="D30" s="3190">
        <v>20399.71</v>
      </c>
      <c r="E30" s="3190">
        <v>36719.480000000003</v>
      </c>
      <c r="F30" s="3190" t="s">
        <v>3064</v>
      </c>
      <c r="G30" s="3190" t="s">
        <v>3050</v>
      </c>
      <c r="H30" s="3190" t="s">
        <v>3114</v>
      </c>
      <c r="I30" s="3190">
        <v>6517.8</v>
      </c>
      <c r="J30" s="3190">
        <v>6517.8</v>
      </c>
      <c r="K30" s="3190">
        <v>1775.02</v>
      </c>
      <c r="L30" s="3190">
        <v>0</v>
      </c>
      <c r="M30" s="3190" t="s">
        <v>3115</v>
      </c>
      <c r="N30" s="3190" t="s">
        <v>3116</v>
      </c>
    </row>
    <row r="31" spans="1:15">
      <c r="A31" s="3190" t="s">
        <v>3118</v>
      </c>
      <c r="B31" s="3190" t="s">
        <v>3047</v>
      </c>
      <c r="C31" s="3190" t="s">
        <v>3048</v>
      </c>
      <c r="D31" s="3190">
        <v>13894.87</v>
      </c>
      <c r="E31" s="3190">
        <v>27789.74</v>
      </c>
      <c r="F31" s="3190" t="s">
        <v>3057</v>
      </c>
      <c r="G31" s="3190" t="s">
        <v>3050</v>
      </c>
      <c r="H31" s="3190" t="s">
        <v>3119</v>
      </c>
      <c r="I31" s="3190">
        <v>1445</v>
      </c>
      <c r="J31" s="3190">
        <v>1475</v>
      </c>
      <c r="K31" s="3190">
        <v>530.76</v>
      </c>
      <c r="L31" s="3190">
        <v>2.08</v>
      </c>
      <c r="M31" s="3190" t="s">
        <v>3120</v>
      </c>
      <c r="N31" s="3190" t="s">
        <v>3053</v>
      </c>
    </row>
    <row r="32" spans="1:15">
      <c r="A32" s="3190" t="s">
        <v>3121</v>
      </c>
      <c r="B32" s="3190" t="s">
        <v>3047</v>
      </c>
      <c r="C32" s="3190" t="s">
        <v>3048</v>
      </c>
      <c r="D32" s="3190">
        <v>7969.29</v>
      </c>
      <c r="E32" s="3190">
        <v>15938.58</v>
      </c>
      <c r="F32" s="3190" t="s">
        <v>3057</v>
      </c>
      <c r="G32" s="3190" t="s">
        <v>3050</v>
      </c>
      <c r="H32" s="3190" t="s">
        <v>3119</v>
      </c>
      <c r="I32" s="3190">
        <v>828.76</v>
      </c>
      <c r="J32" s="3190">
        <v>888.76</v>
      </c>
      <c r="K32" s="3190">
        <v>557.62</v>
      </c>
      <c r="L32" s="3190">
        <v>7.24</v>
      </c>
      <c r="M32" s="3190" t="s">
        <v>3120</v>
      </c>
      <c r="N32" s="3190" t="s">
        <v>3053</v>
      </c>
    </row>
    <row r="33" spans="1:14">
      <c r="A33" s="3190" t="s">
        <v>3121</v>
      </c>
      <c r="B33" s="3190" t="s">
        <v>3047</v>
      </c>
      <c r="C33" s="3190" t="s">
        <v>3048</v>
      </c>
      <c r="D33" s="3190">
        <v>7923.96</v>
      </c>
      <c r="E33" s="3190">
        <v>15847.92</v>
      </c>
      <c r="F33" s="3190" t="s">
        <v>3057</v>
      </c>
      <c r="G33" s="3190" t="s">
        <v>3050</v>
      </c>
      <c r="H33" s="3190" t="s">
        <v>3119</v>
      </c>
      <c r="I33" s="3190">
        <v>824.05</v>
      </c>
      <c r="J33" s="3190">
        <v>854.05</v>
      </c>
      <c r="K33" s="3190">
        <v>538.9</v>
      </c>
      <c r="L33" s="3190">
        <v>3.64</v>
      </c>
      <c r="M33" s="3190" t="s">
        <v>3120</v>
      </c>
      <c r="N33" s="3190" t="s">
        <v>3053</v>
      </c>
    </row>
    <row r="34" spans="1:14">
      <c r="A34" s="3190" t="s">
        <v>3122</v>
      </c>
      <c r="B34" s="3190" t="s">
        <v>3047</v>
      </c>
      <c r="C34" s="3190" t="s">
        <v>3048</v>
      </c>
      <c r="D34" s="3190">
        <v>58953.61</v>
      </c>
      <c r="E34" s="3190">
        <v>147384.03</v>
      </c>
      <c r="F34" s="3190" t="s">
        <v>3123</v>
      </c>
      <c r="G34" s="3190" t="s">
        <v>3050</v>
      </c>
      <c r="H34" s="3190" t="s">
        <v>3124</v>
      </c>
      <c r="I34" s="3190">
        <v>18570.29</v>
      </c>
      <c r="J34" s="3190">
        <v>18570.29</v>
      </c>
      <c r="K34" s="3190">
        <v>1259.99</v>
      </c>
      <c r="L34" s="3190">
        <v>0</v>
      </c>
      <c r="M34" s="3190" t="s">
        <v>3125</v>
      </c>
      <c r="N34" s="3190" t="s">
        <v>3053</v>
      </c>
    </row>
    <row r="35" spans="1:14">
      <c r="A35" s="3190" t="s">
        <v>3126</v>
      </c>
      <c r="B35" s="3190" t="s">
        <v>3047</v>
      </c>
      <c r="C35" s="3190" t="s">
        <v>3048</v>
      </c>
      <c r="D35" s="3190">
        <v>39941.72</v>
      </c>
      <c r="E35" s="3190">
        <v>139796.01999999999</v>
      </c>
      <c r="F35" s="3190" t="s">
        <v>3127</v>
      </c>
      <c r="G35" s="3190" t="s">
        <v>3050</v>
      </c>
      <c r="H35" s="3190" t="s">
        <v>3124</v>
      </c>
      <c r="I35" s="3190">
        <v>13120.29</v>
      </c>
      <c r="J35" s="3190">
        <v>13120.29</v>
      </c>
      <c r="K35" s="3190">
        <v>938.52</v>
      </c>
      <c r="L35" s="3190">
        <v>0</v>
      </c>
      <c r="M35" s="3190" t="s">
        <v>3125</v>
      </c>
      <c r="N35" s="3190" t="s">
        <v>3053</v>
      </c>
    </row>
    <row r="36" spans="1:14">
      <c r="A36" s="3190" t="s">
        <v>3128</v>
      </c>
      <c r="B36" s="3190" t="s">
        <v>3047</v>
      </c>
      <c r="C36" s="3190" t="s">
        <v>3048</v>
      </c>
      <c r="D36" s="3190">
        <v>46581.04</v>
      </c>
      <c r="E36" s="3190">
        <v>69871.56</v>
      </c>
      <c r="F36" s="3190" t="s">
        <v>3075</v>
      </c>
      <c r="G36" s="3190" t="s">
        <v>3050</v>
      </c>
      <c r="H36" s="3190" t="s">
        <v>3124</v>
      </c>
      <c r="I36" s="3190">
        <v>13554.78</v>
      </c>
      <c r="J36" s="3190">
        <v>13554.78</v>
      </c>
      <c r="K36" s="3190">
        <v>1939.96</v>
      </c>
      <c r="L36" s="3190">
        <v>0</v>
      </c>
      <c r="M36" s="3190" t="s">
        <v>3125</v>
      </c>
      <c r="N36" s="3190" t="s">
        <v>3053</v>
      </c>
    </row>
    <row r="37" spans="1:14">
      <c r="A37" s="3190" t="s">
        <v>3129</v>
      </c>
      <c r="B37" s="3190" t="s">
        <v>3047</v>
      </c>
      <c r="C37" s="3190" t="s">
        <v>3048</v>
      </c>
      <c r="D37" s="3190">
        <v>52876.84</v>
      </c>
      <c r="E37" s="3190">
        <v>185068.94</v>
      </c>
      <c r="F37" s="3190" t="s">
        <v>3127</v>
      </c>
      <c r="G37" s="3190" t="s">
        <v>3050</v>
      </c>
      <c r="H37" s="3190" t="s">
        <v>3124</v>
      </c>
      <c r="I37" s="3190">
        <v>17450.400000000001</v>
      </c>
      <c r="J37" s="3190">
        <v>17450.400000000001</v>
      </c>
      <c r="K37" s="3190">
        <v>942.9</v>
      </c>
      <c r="L37" s="3190">
        <v>0</v>
      </c>
      <c r="M37" s="3190" t="s">
        <v>3125</v>
      </c>
      <c r="N37" s="3190" t="s">
        <v>3053</v>
      </c>
    </row>
    <row r="38" spans="1:14">
      <c r="A38" s="3190" t="s">
        <v>3130</v>
      </c>
      <c r="B38" s="3190" t="s">
        <v>3047</v>
      </c>
      <c r="C38" s="3190" t="s">
        <v>3048</v>
      </c>
      <c r="D38" s="3190">
        <v>62405.38</v>
      </c>
      <c r="E38" s="3190">
        <v>156013.45000000001</v>
      </c>
      <c r="F38" s="3190" t="s">
        <v>3123</v>
      </c>
      <c r="G38" s="3190" t="s">
        <v>3050</v>
      </c>
      <c r="H38" s="3190" t="s">
        <v>3124</v>
      </c>
      <c r="I38" s="3190">
        <v>19751.7</v>
      </c>
      <c r="J38" s="3190">
        <v>19751.7</v>
      </c>
      <c r="K38" s="3190">
        <v>1266.02</v>
      </c>
      <c r="L38" s="3190">
        <v>0</v>
      </c>
      <c r="M38" s="3190" t="s">
        <v>3125</v>
      </c>
      <c r="N38" s="3190" t="s">
        <v>3053</v>
      </c>
    </row>
    <row r="39" spans="1:14">
      <c r="A39" s="3190" t="s">
        <v>3131</v>
      </c>
      <c r="B39" s="3190" t="s">
        <v>3047</v>
      </c>
      <c r="C39" s="3190" t="s">
        <v>3048</v>
      </c>
      <c r="D39" s="3190">
        <v>14589.51</v>
      </c>
      <c r="E39" s="3190">
        <v>29179.02</v>
      </c>
      <c r="F39" s="3190" t="s">
        <v>3057</v>
      </c>
      <c r="G39" s="3190" t="s">
        <v>3050</v>
      </c>
      <c r="H39" s="3190" t="s">
        <v>3132</v>
      </c>
      <c r="I39" s="3190">
        <v>1517.24</v>
      </c>
      <c r="J39" s="3190">
        <v>1537.24</v>
      </c>
      <c r="K39" s="3190">
        <v>526.83000000000004</v>
      </c>
      <c r="L39" s="3190">
        <v>1.32</v>
      </c>
      <c r="M39" s="3190" t="s">
        <v>3120</v>
      </c>
      <c r="N39" s="3190" t="s">
        <v>3053</v>
      </c>
    </row>
    <row r="40" spans="1:14">
      <c r="A40" s="3190" t="s">
        <v>3118</v>
      </c>
      <c r="B40" s="3190" t="s">
        <v>3047</v>
      </c>
      <c r="C40" s="3190" t="s">
        <v>3048</v>
      </c>
      <c r="D40" s="3190">
        <v>14513.41</v>
      </c>
      <c r="E40" s="3190">
        <v>29026.82</v>
      </c>
      <c r="F40" s="3190" t="s">
        <v>3057</v>
      </c>
      <c r="G40" s="3190" t="s">
        <v>3050</v>
      </c>
      <c r="H40" s="3190" t="s">
        <v>3132</v>
      </c>
      <c r="I40" s="3190">
        <v>1509.31</v>
      </c>
      <c r="J40" s="3190">
        <v>1529.31</v>
      </c>
      <c r="K40" s="3190">
        <v>526.86</v>
      </c>
      <c r="L40" s="3190">
        <v>1.33</v>
      </c>
      <c r="M40" s="3190" t="s">
        <v>3120</v>
      </c>
      <c r="N40" s="3190" t="s">
        <v>3053</v>
      </c>
    </row>
    <row r="41" spans="1:14">
      <c r="A41" s="3190" t="s">
        <v>3118</v>
      </c>
      <c r="B41" s="3190" t="s">
        <v>3047</v>
      </c>
      <c r="C41" s="3190" t="s">
        <v>3048</v>
      </c>
      <c r="D41" s="3190">
        <v>14358.89</v>
      </c>
      <c r="E41" s="3190">
        <v>28717.78</v>
      </c>
      <c r="F41" s="3190" t="s">
        <v>3057</v>
      </c>
      <c r="G41" s="3190" t="s">
        <v>3050</v>
      </c>
      <c r="H41" s="3190" t="s">
        <v>3132</v>
      </c>
      <c r="I41" s="3190">
        <v>1493.25</v>
      </c>
      <c r="J41" s="3190">
        <v>1513.25</v>
      </c>
      <c r="K41" s="3190">
        <v>526.94000000000005</v>
      </c>
      <c r="L41" s="3190">
        <v>1.34</v>
      </c>
      <c r="M41" s="3190" t="s">
        <v>3120</v>
      </c>
      <c r="N41" s="3190" t="s">
        <v>3053</v>
      </c>
    </row>
    <row r="42" spans="1:14">
      <c r="A42" s="3190" t="s">
        <v>3133</v>
      </c>
      <c r="B42" s="3190" t="s">
        <v>3047</v>
      </c>
      <c r="C42" s="3190" t="s">
        <v>3048</v>
      </c>
      <c r="D42" s="3190">
        <v>32223.37</v>
      </c>
      <c r="E42" s="3190">
        <v>58002.07</v>
      </c>
      <c r="F42" s="3190" t="s">
        <v>3064</v>
      </c>
      <c r="G42" s="3190" t="s">
        <v>3050</v>
      </c>
      <c r="H42" s="3190" t="s">
        <v>3134</v>
      </c>
      <c r="I42" s="3190">
        <v>10197.620000000001</v>
      </c>
      <c r="J42" s="3190">
        <v>10197.620000000001</v>
      </c>
      <c r="K42" s="3190">
        <v>1758.15</v>
      </c>
      <c r="L42" s="3190">
        <v>0</v>
      </c>
      <c r="M42" s="3190" t="s">
        <v>3135</v>
      </c>
      <c r="N42" s="3190" t="s">
        <v>3073</v>
      </c>
    </row>
    <row r="43" spans="1:14">
      <c r="A43" s="3190" t="s">
        <v>3136</v>
      </c>
      <c r="B43" s="3190" t="s">
        <v>3047</v>
      </c>
      <c r="C43" s="3190" t="s">
        <v>3048</v>
      </c>
      <c r="D43" s="3190">
        <v>32081.94</v>
      </c>
      <c r="E43" s="3190">
        <v>57747.49</v>
      </c>
      <c r="F43" s="3190" t="s">
        <v>3064</v>
      </c>
      <c r="G43" s="3190" t="s">
        <v>3050</v>
      </c>
      <c r="H43" s="3190" t="s">
        <v>3134</v>
      </c>
      <c r="I43" s="3190">
        <v>10153.31</v>
      </c>
      <c r="J43" s="3190">
        <v>10153.31</v>
      </c>
      <c r="K43" s="3190">
        <v>1758.23</v>
      </c>
      <c r="L43" s="3190">
        <v>0</v>
      </c>
      <c r="M43" s="3190" t="s">
        <v>3135</v>
      </c>
      <c r="N43" s="3190" t="s">
        <v>3073</v>
      </c>
    </row>
    <row r="44" spans="1:14">
      <c r="A44" s="3190" t="s">
        <v>3137</v>
      </c>
      <c r="B44" s="3190" t="s">
        <v>3047</v>
      </c>
      <c r="C44" s="3190" t="s">
        <v>3048</v>
      </c>
      <c r="D44" s="3190">
        <v>52691.75</v>
      </c>
      <c r="E44" s="3190">
        <v>94845.15</v>
      </c>
      <c r="F44" s="3190" t="s">
        <v>3064</v>
      </c>
      <c r="G44" s="3190" t="s">
        <v>3050</v>
      </c>
      <c r="H44" s="3190" t="s">
        <v>3134</v>
      </c>
      <c r="I44" s="3190">
        <v>16677.43</v>
      </c>
      <c r="J44" s="3190">
        <v>16677.43</v>
      </c>
      <c r="K44" s="3190">
        <v>1758.39</v>
      </c>
      <c r="L44" s="3190">
        <v>0</v>
      </c>
      <c r="M44" s="3190" t="s">
        <v>3135</v>
      </c>
      <c r="N44" s="3190" t="s">
        <v>3073</v>
      </c>
    </row>
    <row r="45" spans="1:14">
      <c r="A45" s="3190" t="s">
        <v>3138</v>
      </c>
      <c r="B45" s="3190" t="s">
        <v>3047</v>
      </c>
      <c r="C45" s="3190" t="s">
        <v>3048</v>
      </c>
      <c r="D45" s="3190">
        <v>40202.019999999997</v>
      </c>
      <c r="E45" s="3190">
        <v>100505.05</v>
      </c>
      <c r="F45" s="3190" t="s">
        <v>3139</v>
      </c>
      <c r="G45" s="3190" t="s">
        <v>3050</v>
      </c>
      <c r="H45" s="3190" t="s">
        <v>3140</v>
      </c>
      <c r="I45" s="3190">
        <v>3248.51</v>
      </c>
      <c r="J45" s="3190">
        <v>3248.51</v>
      </c>
      <c r="K45" s="3190">
        <v>323.22000000000003</v>
      </c>
      <c r="L45" s="3190">
        <v>0</v>
      </c>
      <c r="M45" s="3190" t="s">
        <v>3141</v>
      </c>
      <c r="N45" s="3190" t="s">
        <v>3053</v>
      </c>
    </row>
    <row r="46" spans="1:14">
      <c r="A46" s="3190" t="s">
        <v>3142</v>
      </c>
      <c r="B46" s="3190" t="s">
        <v>3047</v>
      </c>
      <c r="C46" s="3190" t="s">
        <v>3048</v>
      </c>
      <c r="D46" s="3190">
        <v>17151.38</v>
      </c>
      <c r="E46" s="3190">
        <v>34302.76</v>
      </c>
      <c r="F46" s="3190" t="s">
        <v>3057</v>
      </c>
      <c r="G46" s="3190" t="s">
        <v>3050</v>
      </c>
      <c r="H46" s="3190" t="s">
        <v>3140</v>
      </c>
      <c r="I46" s="3190">
        <v>1297.67</v>
      </c>
      <c r="J46" s="3190">
        <v>1297.67</v>
      </c>
      <c r="K46" s="3190">
        <v>378.3</v>
      </c>
      <c r="L46" s="3190">
        <v>0</v>
      </c>
      <c r="M46" s="3190" t="s">
        <v>3092</v>
      </c>
      <c r="N46" s="3190" t="s">
        <v>3053</v>
      </c>
    </row>
    <row r="47" spans="1:14">
      <c r="A47" s="3190" t="s">
        <v>3142</v>
      </c>
      <c r="B47" s="3190" t="s">
        <v>3047</v>
      </c>
      <c r="C47" s="3190" t="s">
        <v>3048</v>
      </c>
      <c r="D47" s="3190">
        <v>17151.38</v>
      </c>
      <c r="E47" s="3190">
        <v>34302.76</v>
      </c>
      <c r="F47" s="3190" t="s">
        <v>3057</v>
      </c>
      <c r="G47" s="3190" t="s">
        <v>3050</v>
      </c>
      <c r="H47" s="3190" t="s">
        <v>3140</v>
      </c>
      <c r="I47" s="3190">
        <v>1297.67</v>
      </c>
      <c r="J47" s="3190">
        <v>1297.67</v>
      </c>
      <c r="K47" s="3190">
        <v>378.3</v>
      </c>
      <c r="L47" s="3190">
        <v>0</v>
      </c>
      <c r="M47" s="3190" t="s">
        <v>3092</v>
      </c>
      <c r="N47" s="3190" t="s">
        <v>3053</v>
      </c>
    </row>
    <row r="48" spans="1:14">
      <c r="A48" s="3190" t="s">
        <v>3143</v>
      </c>
      <c r="B48" s="3190" t="s">
        <v>3047</v>
      </c>
      <c r="C48" s="3190" t="s">
        <v>3048</v>
      </c>
      <c r="D48" s="3190">
        <v>65841.61</v>
      </c>
      <c r="E48" s="3190">
        <v>98762.42</v>
      </c>
      <c r="F48" s="3190" t="s">
        <v>3144</v>
      </c>
      <c r="G48" s="3190" t="s">
        <v>3050</v>
      </c>
      <c r="H48" s="3190" t="s">
        <v>3145</v>
      </c>
      <c r="I48" s="3190">
        <v>20640.84</v>
      </c>
      <c r="J48" s="3190">
        <v>20838.86</v>
      </c>
      <c r="K48" s="3190">
        <v>2110</v>
      </c>
      <c r="L48" s="3190">
        <v>0.96</v>
      </c>
      <c r="M48" s="3190" t="s">
        <v>3146</v>
      </c>
      <c r="N48" s="3190" t="s">
        <v>3073</v>
      </c>
    </row>
    <row r="49" spans="1:14">
      <c r="A49" s="3190" t="s">
        <v>3147</v>
      </c>
      <c r="B49" s="3190" t="s">
        <v>3047</v>
      </c>
      <c r="C49" s="3190" t="s">
        <v>3048</v>
      </c>
      <c r="D49" s="3190">
        <v>33313.89</v>
      </c>
      <c r="E49" s="3190">
        <v>49970.84</v>
      </c>
      <c r="F49" s="3190" t="s">
        <v>3144</v>
      </c>
      <c r="G49" s="3190" t="s">
        <v>3050</v>
      </c>
      <c r="H49" s="3190" t="s">
        <v>3145</v>
      </c>
      <c r="I49" s="3190">
        <v>10393.76</v>
      </c>
      <c r="J49" s="3190">
        <v>10493.87</v>
      </c>
      <c r="K49" s="3190">
        <v>2100</v>
      </c>
      <c r="L49" s="3190">
        <v>0.96</v>
      </c>
      <c r="M49" s="3190" t="s">
        <v>3146</v>
      </c>
      <c r="N49" s="3190" t="s">
        <v>3073</v>
      </c>
    </row>
    <row r="50" spans="1:14">
      <c r="A50" s="3190" t="s">
        <v>3148</v>
      </c>
      <c r="B50" s="3190" t="s">
        <v>3047</v>
      </c>
      <c r="C50" s="3190" t="s">
        <v>3048</v>
      </c>
      <c r="D50" s="3190">
        <v>15350.54</v>
      </c>
      <c r="E50" s="3190">
        <v>23025.81</v>
      </c>
      <c r="F50" s="3190" t="s">
        <v>3075</v>
      </c>
      <c r="G50" s="3190" t="s">
        <v>3050</v>
      </c>
      <c r="H50" s="3190" t="s">
        <v>3145</v>
      </c>
      <c r="I50" s="3190" t="s">
        <v>2814</v>
      </c>
      <c r="J50" s="3190">
        <v>4789.3599999999997</v>
      </c>
      <c r="K50" s="3190">
        <v>2080</v>
      </c>
      <c r="L50" s="3190" t="s">
        <v>2814</v>
      </c>
      <c r="M50" s="3190" t="s">
        <v>3146</v>
      </c>
      <c r="N50" s="3190" t="s">
        <v>3053</v>
      </c>
    </row>
    <row r="51" spans="1:14">
      <c r="A51" s="3190" t="s">
        <v>3147</v>
      </c>
      <c r="B51" s="3190" t="s">
        <v>3047</v>
      </c>
      <c r="C51" s="3190" t="s">
        <v>3048</v>
      </c>
      <c r="D51" s="3190">
        <v>59201.35</v>
      </c>
      <c r="E51" s="3190">
        <v>88802.03</v>
      </c>
      <c r="F51" s="3190" t="s">
        <v>3144</v>
      </c>
      <c r="G51" s="3190" t="s">
        <v>3050</v>
      </c>
      <c r="H51" s="3190" t="s">
        <v>3145</v>
      </c>
      <c r="I51" s="3190">
        <v>18470.400000000001</v>
      </c>
      <c r="J51" s="3190">
        <v>18648.43</v>
      </c>
      <c r="K51" s="3190">
        <v>2100</v>
      </c>
      <c r="L51" s="3190">
        <v>0.96</v>
      </c>
      <c r="M51" s="3190" t="s">
        <v>3146</v>
      </c>
      <c r="N51" s="3190" t="s">
        <v>3073</v>
      </c>
    </row>
  </sheetData>
  <phoneticPr fontId="228" type="noConversion"/>
  <pageMargins left="0.75" right="0.75" top="1" bottom="1" header="0.5" footer="0.5"/>
  <pageSetup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L19" sqref="L19"/>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16328</v>
      </c>
      <c r="C2" s="2088"/>
      <c r="D2" s="2088"/>
      <c r="E2" s="2088"/>
      <c r="F2" s="2088"/>
      <c r="G2" s="2088"/>
      <c r="H2" s="2088"/>
      <c r="I2" s="2088"/>
      <c r="J2" s="2088"/>
      <c r="K2" s="2088"/>
    </row>
    <row r="3" spans="1:31" s="2025" customFormat="1" ht="18" customHeight="1">
      <c r="A3" s="2090" t="s">
        <v>1683</v>
      </c>
      <c r="B3" s="2091">
        <f ca="1">ROUND(B2*10000/IF(B1="",'数据-汇总表'!E3,INDIRECT("'数据-取费表'!K"&amp;$K$1)),0)</f>
        <v>2665</v>
      </c>
      <c r="C3" s="2088"/>
      <c r="D3" s="2088"/>
      <c r="E3" s="2088"/>
      <c r="F3" s="2088"/>
      <c r="G3" s="2088"/>
      <c r="H3" s="2088"/>
      <c r="I3" s="2088"/>
      <c r="J3" s="2088"/>
      <c r="K3" s="2088"/>
    </row>
    <row r="4" spans="1:31" s="2025" customFormat="1" ht="18" customHeight="1">
      <c r="A4" s="426" t="s">
        <v>468</v>
      </c>
      <c r="B4" s="427">
        <f ca="1">ROUND(B2*10000/IF(B1="",'数据-汇总表'!D3,INDIRECT("'数据-取费表'!R"&amp;$K$1)),0)</f>
        <v>3997</v>
      </c>
      <c r="C4" s="428"/>
      <c r="D4" s="422"/>
      <c r="E4" s="422"/>
      <c r="F4" s="422"/>
      <c r="G4" s="422"/>
      <c r="H4" s="422"/>
      <c r="I4" s="422"/>
      <c r="J4" s="422"/>
      <c r="K4" s="422"/>
    </row>
    <row r="5" spans="1:31" s="2025" customFormat="1" ht="18" customHeight="1" thickBot="1">
      <c r="A5" s="429"/>
      <c r="B5" s="430">
        <f ca="1">ROUND(B2/(IF(B1="",'数据-汇总表'!D3,INDIRECT("'数据-取费表'!R"&amp;$K$1))/666.67),0)</f>
        <v>266</v>
      </c>
      <c r="C5" s="431" t="s">
        <v>469</v>
      </c>
      <c r="D5" s="422"/>
      <c r="E5" s="422"/>
      <c r="F5" s="422"/>
      <c r="G5" s="422"/>
      <c r="H5" s="422"/>
      <c r="I5" s="422"/>
      <c r="J5" s="422"/>
      <c r="K5" s="422"/>
    </row>
    <row r="6" spans="1:31" s="2095" customFormat="1" ht="16.5" customHeight="1">
      <c r="A6" s="2782" t="s">
        <v>1841</v>
      </c>
      <c r="B6" s="2783"/>
      <c r="C6" s="2784">
        <f ca="1">SUM(C10:K10)</f>
        <v>43073.701999999997</v>
      </c>
      <c r="D6" s="2783"/>
      <c r="E6" s="2783"/>
      <c r="F6" s="2783"/>
      <c r="G6" s="2783"/>
      <c r="H6" s="2783"/>
      <c r="I6" s="2783"/>
      <c r="J6" s="2783"/>
      <c r="K6" s="2785"/>
    </row>
    <row r="7" spans="1:31" s="2097" customFormat="1" ht="14.4">
      <c r="A7" s="2786" t="s">
        <v>470</v>
      </c>
      <c r="B7" s="2787" t="s">
        <v>471</v>
      </c>
      <c r="C7" s="436" t="s">
        <v>922</v>
      </c>
      <c r="D7" s="436" t="s">
        <v>3020</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472</v>
      </c>
      <c r="C8" s="2788">
        <v>7000</v>
      </c>
      <c r="D8" s="2788">
        <f ca="1">不动产收益法!B3</f>
        <v>7585</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473</v>
      </c>
      <c r="C9" s="441">
        <f>SUMIF('数据-汇总表'!$C19:$C33,'剩余法-待开发'!C7,'数据-汇总表'!$E19:$E33)</f>
        <v>58213.86</v>
      </c>
      <c r="D9" s="441">
        <f>SUMIF('数据-汇总表'!$C19:$C33,'剩余法-待开发'!D7,'数据-汇总表'!$E19:$E33)</f>
        <v>3063.89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474</v>
      </c>
      <c r="C10" s="2980">
        <f>C8*C9/10000</f>
        <v>40749.701999999997</v>
      </c>
      <c r="D10" s="2980">
        <f ca="1">不动产收益法!B2</f>
        <v>2324</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1847</v>
      </c>
      <c r="B13" s="2797" t="s">
        <v>479</v>
      </c>
      <c r="C13" s="450">
        <f ca="1">IF(B1="",'数据-取费表'!P16,INDIRECT("'数据-取费表'!p"&amp;$K$1)+INDIRECT("'数据-取费表'!t"&amp;$K$1))</f>
        <v>12317</v>
      </c>
      <c r="D13" s="2798"/>
      <c r="E13" s="2799"/>
      <c r="F13" s="2800"/>
      <c r="G13" s="2766"/>
      <c r="H13" s="2767"/>
      <c r="I13" s="2767"/>
      <c r="J13" s="2767"/>
      <c r="K13" s="2768"/>
    </row>
    <row r="14" spans="1:31" s="2100" customFormat="1" ht="13.5" customHeight="1">
      <c r="A14" s="2796" t="s">
        <v>1848</v>
      </c>
      <c r="B14" s="2797" t="s">
        <v>480</v>
      </c>
      <c r="C14" s="53">
        <f ca="1">ROUND(C13*F14,0)</f>
        <v>370</v>
      </c>
      <c r="D14" s="2798"/>
      <c r="E14" s="2799"/>
      <c r="F14" s="2801">
        <f>'数据-取费表'!B33</f>
        <v>0.03</v>
      </c>
      <c r="G14" s="2766" t="s">
        <v>481</v>
      </c>
      <c r="H14" s="2767"/>
      <c r="I14" s="2767"/>
      <c r="J14" s="2767"/>
      <c r="K14" s="2768"/>
    </row>
    <row r="15" spans="1:31" s="2100" customFormat="1" ht="13.5" customHeight="1">
      <c r="A15" s="2796" t="s">
        <v>1849</v>
      </c>
      <c r="B15" s="2797" t="s">
        <v>482</v>
      </c>
      <c r="C15" s="53">
        <f ca="1">ROUND(IF(B1="",SUMIF('数据-取费表'!C:C,"住宅",'数据-取费表'!P:P)*F15,IF(INDIRECT("'数据-取费表'!c"&amp;$K$1)="住宅",INDIRECT("'数据-取费表'!P"&amp;$K$1)*F15,0)),0)</f>
        <v>582</v>
      </c>
      <c r="D15" s="2798"/>
      <c r="E15" s="2799"/>
      <c r="F15" s="2801">
        <f>'数据-取费表'!B34</f>
        <v>0.05</v>
      </c>
      <c r="G15" s="2766" t="s">
        <v>483</v>
      </c>
      <c r="H15" s="2767"/>
      <c r="I15" s="2767"/>
      <c r="J15" s="2767"/>
      <c r="K15" s="2768"/>
    </row>
    <row r="16" spans="1:31" s="2101" customFormat="1" ht="13.5" customHeight="1">
      <c r="A16" s="2796" t="s">
        <v>1850</v>
      </c>
      <c r="B16" s="2797" t="s">
        <v>484</v>
      </c>
      <c r="C16" s="53">
        <f ca="1">ROUND(D16*E16/10000,0)</f>
        <v>1226</v>
      </c>
      <c r="D16" s="2798">
        <f ca="1">IF(B1="",'数据-汇总表'!E3,INDIRECT("'数据-取费表'!K"&amp;$K$1)+INDIRECT("'数据-取费表'!S"&amp;$K$1))</f>
        <v>61277.75</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485</v>
      </c>
      <c r="C17" s="2802">
        <f ca="1">ROUND(C13*F17,0)</f>
        <v>185</v>
      </c>
      <c r="D17" s="475"/>
      <c r="E17" s="2802"/>
      <c r="F17" s="2803">
        <f>'数据-取费表'!B36</f>
        <v>1.4999999999999999E-2</v>
      </c>
      <c r="G17" s="261" t="s">
        <v>486</v>
      </c>
      <c r="H17" s="2769"/>
      <c r="I17" s="2769"/>
      <c r="J17" s="2769"/>
      <c r="K17" s="279"/>
    </row>
    <row r="18" spans="1:14" s="2100" customFormat="1" ht="13.5" customHeight="1">
      <c r="A18" s="2804" t="s">
        <v>1852</v>
      </c>
      <c r="B18" s="2805" t="s">
        <v>487</v>
      </c>
      <c r="C18" s="2806">
        <f ca="1">SUM(C13:C17)</f>
        <v>14680</v>
      </c>
      <c r="D18" s="2807"/>
      <c r="E18" s="468"/>
      <c r="F18" s="468"/>
      <c r="G18" s="2770" t="s">
        <v>2427</v>
      </c>
      <c r="H18" s="2771"/>
      <c r="I18" s="2771"/>
      <c r="J18" s="2771"/>
      <c r="K18" s="2772"/>
    </row>
    <row r="19" spans="1:14" s="2100" customFormat="1" ht="13.5" customHeight="1">
      <c r="A19" s="2804" t="s">
        <v>1853</v>
      </c>
      <c r="B19" s="2805" t="s">
        <v>488</v>
      </c>
      <c r="C19" s="2762">
        <f ca="1">ROUND(D19*E19/10000,0)</f>
        <v>0</v>
      </c>
      <c r="D19" s="2808">
        <f ca="1">D16</f>
        <v>61277.75</v>
      </c>
      <c r="E19" s="2762">
        <f>'数据-取费表'!B32</f>
        <v>0</v>
      </c>
      <c r="F19" s="468"/>
      <c r="G19" s="2766" t="s">
        <v>489</v>
      </c>
      <c r="H19" s="2767"/>
      <c r="I19" s="2771"/>
      <c r="J19" s="2771"/>
      <c r="K19" s="2772"/>
    </row>
    <row r="20" spans="1:14" s="2100" customFormat="1" ht="13.5" customHeight="1">
      <c r="A20" s="2804" t="s">
        <v>1854</v>
      </c>
      <c r="B20" s="2805" t="s">
        <v>490</v>
      </c>
      <c r="C20" s="2762">
        <f ca="1">C21+C22-IF(B1="",'数据-取费表'!B29,IF(G20="已全部缴纳",C21+C22,H20))</f>
        <v>736</v>
      </c>
      <c r="D20" s="2808"/>
      <c r="E20" s="2762"/>
      <c r="F20" s="2809"/>
      <c r="G20" s="3038"/>
      <c r="H20" s="2764"/>
      <c r="I20" s="2765" t="s">
        <v>2647</v>
      </c>
      <c r="J20" s="2771"/>
      <c r="K20" s="2772"/>
    </row>
    <row r="21" spans="1:14" s="2100" customFormat="1" ht="13.5" customHeight="1">
      <c r="A21" s="2796" t="s">
        <v>1855</v>
      </c>
      <c r="B21" s="2797" t="s">
        <v>491</v>
      </c>
      <c r="C21" s="53">
        <f ca="1">ROUND(D21*E21/10000,0)</f>
        <v>699</v>
      </c>
      <c r="D21" s="2798">
        <f ca="1">IF(B1="",'数据-汇总表'!E5,IF(INDIRECT("'数据-取费表'!c"&amp;$K$1)="住宅",INDIRECT("'数据-取费表'!k"&amp;$K$1),0))</f>
        <v>58213.86</v>
      </c>
      <c r="E21" s="53">
        <f>'数据-取费表'!B27</f>
        <v>120</v>
      </c>
      <c r="F21" s="2801"/>
      <c r="G21" s="26"/>
      <c r="H21" s="51"/>
      <c r="I21" s="51"/>
      <c r="J21" s="51"/>
      <c r="K21" s="2773"/>
    </row>
    <row r="22" spans="1:14" s="2100" customFormat="1" ht="13.5" customHeight="1">
      <c r="A22" s="2796" t="s">
        <v>1856</v>
      </c>
      <c r="B22" s="2797" t="s">
        <v>492</v>
      </c>
      <c r="C22" s="53">
        <f ca="1">ROUND(D22*E22/10000,0)</f>
        <v>37</v>
      </c>
      <c r="D22" s="2798">
        <f ca="1">IF(B1="",'数据-汇总表'!E6,IF(INDIRECT("'数据-取费表'!c"&amp;$K$1)="住宅",INDIRECT("'数据-取费表'!s"&amp;$K$1),INDIRECT("'数据-取费表'!k"&amp;$K$1)+INDIRECT("'数据-取费表'!s"&amp;$K$1)))</f>
        <v>3063.8899999999994</v>
      </c>
      <c r="E22" s="53">
        <f>'数据-取费表'!B28</f>
        <v>120</v>
      </c>
      <c r="F22" s="2801"/>
      <c r="G22" s="26"/>
      <c r="H22" s="51"/>
      <c r="I22" s="51"/>
      <c r="J22" s="51"/>
      <c r="K22" s="2773"/>
    </row>
    <row r="23" spans="1:14" s="2100" customFormat="1" ht="13.5" customHeight="1">
      <c r="A23" s="2804" t="s">
        <v>1857</v>
      </c>
      <c r="B23" s="2986" t="s">
        <v>2830</v>
      </c>
      <c r="C23" s="2806">
        <f ca="1">ROUND((C18+C19+C20)*F23,0)</f>
        <v>308</v>
      </c>
      <c r="D23" s="468"/>
      <c r="E23" s="468"/>
      <c r="F23" s="2810">
        <f>'数据-取费表'!B37</f>
        <v>0.02</v>
      </c>
      <c r="G23" s="2766" t="s">
        <v>2428</v>
      </c>
      <c r="H23" s="2767"/>
      <c r="I23" s="2767"/>
      <c r="J23" s="2767"/>
      <c r="K23" s="2768"/>
      <c r="L23" s="2102"/>
      <c r="M23" s="2102"/>
      <c r="N23" s="2102"/>
    </row>
    <row r="24" spans="1:14" s="2100" customFormat="1" ht="13.5" customHeight="1">
      <c r="A24" s="2804" t="s">
        <v>1858</v>
      </c>
      <c r="B24" s="2986" t="s">
        <v>2833</v>
      </c>
      <c r="C24" s="2806">
        <f ca="1">ROUND(C6*F24,0)</f>
        <v>861</v>
      </c>
      <c r="D24" s="475"/>
      <c r="E24" s="473"/>
      <c r="F24" s="2810">
        <f>'数据-取费表'!B38</f>
        <v>0.02</v>
      </c>
      <c r="G24" s="2775" t="s">
        <v>499</v>
      </c>
      <c r="H24" s="2769"/>
      <c r="I24" s="2769"/>
      <c r="J24" s="2769"/>
      <c r="K24" s="279"/>
      <c r="L24" s="2102"/>
      <c r="M24" s="2102"/>
      <c r="N24" s="2102"/>
    </row>
    <row r="25" spans="1:14" s="2103" customFormat="1" ht="13.5" customHeight="1">
      <c r="A25" s="2804" t="s">
        <v>1859</v>
      </c>
      <c r="B25" s="2986" t="s">
        <v>2831</v>
      </c>
      <c r="C25" s="467">
        <f>ROUND(F25/(1+'数据-取费表'!C42),4)</f>
        <v>2.9000000000000001E-2</v>
      </c>
      <c r="D25" s="462" t="s">
        <v>2825</v>
      </c>
      <c r="E25" s="469"/>
      <c r="F25" s="2810">
        <f>IF(项目基本情况!B8="出让",0,'数据-取费表'!B48+'数据-取费表'!B49)</f>
        <v>3.0499999999999999E-2</v>
      </c>
      <c r="G25" s="2774" t="s">
        <v>2286</v>
      </c>
      <c r="H25" s="2767"/>
      <c r="I25" s="2767"/>
      <c r="J25" s="2767"/>
      <c r="K25" s="2768"/>
    </row>
    <row r="26" spans="1:14" s="2102" customFormat="1" ht="13.5" customHeight="1">
      <c r="A26" s="2804" t="s">
        <v>1860</v>
      </c>
      <c r="B26" s="2987" t="s">
        <v>2832</v>
      </c>
      <c r="C26" s="2811">
        <f ca="1">C28</f>
        <v>788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2834</v>
      </c>
      <c r="C28" s="2814">
        <f ca="1">ROUND(IF('数据-取费表'!B22&lt;=1,(C18+C19+C20+C23+C24)*F26*'数据-取费表'!B24/2,(C18+C19+C20+C23+C24)*(POWER((1+F26),'数据-取费表'!B24/2)-1)),0)</f>
        <v>788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497</v>
      </c>
      <c r="C29" s="2806">
        <f ca="1">ROUND(C6*F29/(1+'数据-取费表'!C42),0)</f>
        <v>2256</v>
      </c>
      <c r="D29" s="468"/>
      <c r="E29" s="468"/>
      <c r="F29" s="2988">
        <f>'数据-取费表'!B41</f>
        <v>5.5000000000000007E-2</v>
      </c>
      <c r="G29" s="2775" t="s">
        <v>498</v>
      </c>
      <c r="H29" s="2767"/>
      <c r="I29" s="2767"/>
      <c r="J29" s="2767"/>
      <c r="K29" s="2768"/>
    </row>
    <row r="30" spans="1:14" s="2105" customFormat="1" ht="13.5" customHeight="1">
      <c r="A30" s="1621" t="s">
        <v>1862</v>
      </c>
      <c r="B30" s="2816" t="s">
        <v>500</v>
      </c>
      <c r="C30" s="2811">
        <f ca="1">C31</f>
        <v>19629</v>
      </c>
      <c r="D30" s="477">
        <f ca="1">C32</f>
        <v>0.12909999999999999</v>
      </c>
      <c r="E30" s="469" t="s">
        <v>495</v>
      </c>
      <c r="F30" s="471"/>
      <c r="G30" s="2774" t="s">
        <v>2964</v>
      </c>
      <c r="H30" s="2767"/>
      <c r="I30" s="2767"/>
      <c r="J30" s="2767"/>
      <c r="K30" s="2768"/>
    </row>
    <row r="31" spans="1:14" s="2104" customFormat="1" ht="13.5" customHeight="1">
      <c r="A31" s="803" t="s">
        <v>1855</v>
      </c>
      <c r="B31" s="2812"/>
      <c r="C31" s="450">
        <f ca="1">C18+C19+C20+C23+C24+C26+C29</f>
        <v>19629</v>
      </c>
      <c r="D31" s="472"/>
      <c r="E31" s="473"/>
      <c r="F31" s="474"/>
      <c r="G31" s="261"/>
      <c r="H31" s="2769"/>
      <c r="I31" s="2769"/>
      <c r="J31" s="2769"/>
      <c r="K31" s="279"/>
    </row>
    <row r="32" spans="1:14" s="2104" customFormat="1" ht="13.5" customHeight="1">
      <c r="A32" s="803" t="s">
        <v>1856</v>
      </c>
      <c r="B32" s="2812"/>
      <c r="C32" s="53">
        <f ca="1">ROUND(C25+D26,4)</f>
        <v>0.12909999999999999</v>
      </c>
      <c r="D32" s="472"/>
      <c r="E32" s="473"/>
      <c r="F32" s="474"/>
      <c r="G32" s="261"/>
      <c r="H32" s="2769"/>
      <c r="I32" s="2769"/>
      <c r="J32" s="2769"/>
      <c r="K32" s="279"/>
    </row>
    <row r="33" spans="1:11" s="2106" customFormat="1" ht="13.5" customHeight="1">
      <c r="A33" s="2985" t="s">
        <v>2829</v>
      </c>
      <c r="B33" s="2983" t="s">
        <v>2827</v>
      </c>
      <c r="C33" s="478">
        <f ca="1">C35</f>
        <v>2488</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1855</v>
      </c>
      <c r="B34" s="2817" t="s">
        <v>501</v>
      </c>
      <c r="C34" s="472">
        <f ca="1">ROUND((1+C25)*F33,4)</f>
        <v>0.15440000000000001</v>
      </c>
      <c r="D34" s="472"/>
      <c r="E34" s="473"/>
      <c r="F34" s="480"/>
      <c r="G34" s="261" t="s">
        <v>2287</v>
      </c>
      <c r="H34" s="2769"/>
      <c r="I34" s="2769"/>
      <c r="J34" s="2769"/>
      <c r="K34" s="279"/>
    </row>
    <row r="35" spans="1:11" s="2107" customFormat="1" ht="13.5" customHeight="1" thickBot="1">
      <c r="A35" s="1622" t="s">
        <v>1856</v>
      </c>
      <c r="B35" s="2984" t="s">
        <v>2835</v>
      </c>
      <c r="C35" s="1614">
        <f ca="1">ROUND((C18+C19+C20+C23+C24)*F33,0)</f>
        <v>2488</v>
      </c>
      <c r="D35" s="1615"/>
      <c r="E35" s="2818"/>
      <c r="F35" s="1616"/>
      <c r="G35" s="2776"/>
      <c r="H35" s="2777"/>
      <c r="I35" s="2777"/>
      <c r="J35" s="2777"/>
      <c r="K35" s="2778"/>
    </row>
    <row r="36" spans="1:11" s="2069" customFormat="1" ht="13.5" customHeight="1" thickBot="1">
      <c r="A36" s="284" t="s">
        <v>1843</v>
      </c>
      <c r="B36" s="2780"/>
      <c r="C36" s="2819">
        <f ca="1">ROUND((C6-C30-C33)/(1+D30+D33),0)</f>
        <v>16328</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I22" sqref="I2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1724</v>
      </c>
      <c r="B1" s="738"/>
      <c r="C1" s="773" t="s">
        <v>3020</v>
      </c>
      <c r="D1" s="3075" t="s">
        <v>3168</v>
      </c>
      <c r="E1" s="2350" t="s">
        <v>2371</v>
      </c>
      <c r="F1" s="2351">
        <f ca="1">J53</f>
        <v>37.630000000000003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2324</v>
      </c>
      <c r="C2" s="2041"/>
      <c r="D2" s="2039"/>
      <c r="E2" s="2040"/>
      <c r="F2" s="2040"/>
      <c r="G2" s="1577"/>
      <c r="H2" s="2041"/>
      <c r="I2" s="2041"/>
      <c r="J2" s="2041"/>
      <c r="K2" s="2042"/>
      <c r="L2" s="2041"/>
      <c r="M2" s="2041"/>
    </row>
    <row r="3" spans="1:33" ht="18" customHeight="1" thickBot="1">
      <c r="A3" s="833" t="s">
        <v>1726</v>
      </c>
      <c r="B3" s="834">
        <f ca="1">IF(ISERROR(B2*10000/F43),0,ROUND(B2*10000/F43,0))</f>
        <v>7585</v>
      </c>
      <c r="C3" s="2041"/>
      <c r="D3" s="2039"/>
      <c r="E3" s="2040"/>
      <c r="F3" s="2040"/>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152</v>
      </c>
      <c r="D5" s="2459" t="s">
        <v>2458</v>
      </c>
      <c r="E5" s="2453"/>
      <c r="F5" s="2454"/>
      <c r="G5" s="1579"/>
      <c r="H5" s="781">
        <v>1</v>
      </c>
      <c r="I5" s="782" t="s">
        <v>2455</v>
      </c>
      <c r="J5" s="55">
        <f ca="1">J6+J10+J12</f>
        <v>0</v>
      </c>
      <c r="K5" s="2459" t="s">
        <v>2458</v>
      </c>
      <c r="L5" s="2453"/>
      <c r="M5" s="2454"/>
    </row>
    <row r="6" spans="1:33" ht="18" customHeight="1">
      <c r="A6" s="1814" t="s">
        <v>1823</v>
      </c>
      <c r="B6" s="3454" t="s">
        <v>2460</v>
      </c>
      <c r="C6" s="783">
        <f ca="1">ROUND(F6*F8*F7*(1-F9)/10000,0)</f>
        <v>152</v>
      </c>
      <c r="D6" s="2460" t="s">
        <v>2459</v>
      </c>
      <c r="E6" s="784" t="s">
        <v>1737</v>
      </c>
      <c r="F6" s="785">
        <f ca="1">INDIRECT("'数据-取费表'!u"&amp;$G$1)</f>
        <v>1.6</v>
      </c>
      <c r="G6" s="1579"/>
      <c r="H6" s="2467" t="s">
        <v>2465</v>
      </c>
      <c r="I6" s="3454" t="s">
        <v>2460</v>
      </c>
      <c r="J6" s="783">
        <f ca="1">ROUND(M6*M8*M7*(1-M9)/10000,0)</f>
        <v>0</v>
      </c>
      <c r="K6" s="341" t="s">
        <v>1736</v>
      </c>
      <c r="L6" s="784" t="s">
        <v>1737</v>
      </c>
      <c r="M6" s="785">
        <f ca="1">INDIRECT("'数据-取费表'!z"&amp;$G$1)</f>
        <v>0</v>
      </c>
    </row>
    <row r="7" spans="1:33" ht="18" customHeight="1">
      <c r="A7" s="2463"/>
      <c r="B7" s="3455"/>
      <c r="C7" s="788"/>
      <c r="D7" s="789"/>
      <c r="E7" s="784" t="s">
        <v>1738</v>
      </c>
      <c r="F7" s="785">
        <f ca="1">IF(INDIRECT("'数据-取费表'!ah"&amp;$G$1)="",INDIRECT("'数据-取费表'!k"&amp;$G$1),INDIRECT("'数据-取费表'!ah"&amp;$G$1))</f>
        <v>3063.89</v>
      </c>
      <c r="G7" s="1579"/>
      <c r="H7" s="2452"/>
      <c r="I7" s="3455"/>
      <c r="J7" s="788"/>
      <c r="K7" s="789"/>
      <c r="L7" s="784" t="s">
        <v>1738</v>
      </c>
      <c r="M7" s="785">
        <f ca="1">F7</f>
        <v>3063.89</v>
      </c>
    </row>
    <row r="8" spans="1:33" ht="18" customHeight="1">
      <c r="A8" s="2456"/>
      <c r="B8" s="3456"/>
      <c r="C8" s="788"/>
      <c r="D8" s="789"/>
      <c r="E8" s="784" t="s">
        <v>1739</v>
      </c>
      <c r="F8" s="785">
        <f ca="1">INDIRECT("'数据-取费表'!ai"&amp;$G$1)</f>
        <v>365</v>
      </c>
      <c r="G8" s="1579"/>
      <c r="H8" s="2452"/>
      <c r="I8" s="3456"/>
      <c r="J8" s="788"/>
      <c r="K8" s="789"/>
      <c r="L8" s="784" t="s">
        <v>1739</v>
      </c>
      <c r="M8" s="785">
        <f ca="1">INDIRECT("'数据-取费表'!ai"&amp;$G$1)</f>
        <v>365</v>
      </c>
    </row>
    <row r="9" spans="1:33" ht="18" customHeight="1">
      <c r="A9" s="786"/>
      <c r="B9" s="3457"/>
      <c r="C9" s="788"/>
      <c r="D9" s="789"/>
      <c r="E9" s="784" t="s">
        <v>1740</v>
      </c>
      <c r="F9" s="794">
        <f ca="1">INDIRECT("'数据-取费表'!w"&amp;$G$1)</f>
        <v>0.15</v>
      </c>
      <c r="G9" s="1579"/>
      <c r="H9" s="2468"/>
      <c r="I9" s="3456"/>
      <c r="J9" s="788"/>
      <c r="K9" s="789"/>
      <c r="L9" s="795" t="s">
        <v>1740</v>
      </c>
      <c r="M9" s="796">
        <f ca="1">INDIRECT("'数据-取费表'!ab"&amp;$G$1)</f>
        <v>0</v>
      </c>
    </row>
    <row r="10" spans="1:33" ht="18" customHeight="1">
      <c r="A10" s="1814" t="s">
        <v>2463</v>
      </c>
      <c r="B10" s="2457" t="s">
        <v>2456</v>
      </c>
      <c r="C10" s="799">
        <f ca="1">ROUND(IF(F10="押一",C6/12*F11,IF(F10="押二",C6/12*2*F11,IF(F10="押三",C6/12*3*F11,C11*F11))),0)</f>
        <v>0</v>
      </c>
      <c r="D10" s="2464" t="s">
        <v>2966</v>
      </c>
      <c r="E10" s="2461" t="s">
        <v>2461</v>
      </c>
      <c r="F10" s="2584" t="s">
        <v>3030</v>
      </c>
      <c r="G10" s="1579"/>
      <c r="H10" s="2524" t="s">
        <v>2466</v>
      </c>
      <c r="I10" s="2529" t="s">
        <v>2456</v>
      </c>
      <c r="J10" s="783">
        <f ca="1">ROUND(IF(M10="押一",J6/12*M11,IF(M10="押二",J6/12*2*M11,IF(M10="押三",J6/12*3*M11,J11*M11))),0)</f>
        <v>0</v>
      </c>
      <c r="K10" s="2464" t="s">
        <v>2966</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1741</v>
      </c>
      <c r="C13" s="792">
        <f ca="1">ROUND(C29*F13,0)</f>
        <v>1055</v>
      </c>
      <c r="D13" s="1818" t="s">
        <v>2294</v>
      </c>
      <c r="E13" s="1818" t="s">
        <v>1743</v>
      </c>
      <c r="F13" s="2499">
        <f ca="1">INDIRECT("'数据-取费表'!y"&amp;$G$1)</f>
        <v>1</v>
      </c>
      <c r="G13" s="1579"/>
      <c r="H13" s="1813">
        <v>2</v>
      </c>
      <c r="I13" s="1811" t="s">
        <v>1741</v>
      </c>
      <c r="J13" s="1803">
        <f ca="1">ROUND(J14*J15,0)</f>
        <v>0</v>
      </c>
      <c r="K13" s="1805" t="s">
        <v>1742</v>
      </c>
      <c r="L13" s="2515"/>
      <c r="M13" s="2516"/>
    </row>
    <row r="14" spans="1:33" ht="18" customHeight="1">
      <c r="A14" s="1634" t="s">
        <v>1883</v>
      </c>
      <c r="B14" s="784" t="s">
        <v>645</v>
      </c>
      <c r="C14" s="804">
        <f ca="1">INDIRECT("'数据-取费表'!m"&amp;$G$1)+INDIRECT("'数据-取费表'!t"&amp;$G$1)</f>
        <v>674</v>
      </c>
      <c r="D14" s="1963" t="s">
        <v>1744</v>
      </c>
      <c r="E14" s="1964"/>
      <c r="F14" s="805"/>
      <c r="G14" s="1579"/>
      <c r="H14" s="1635" t="s">
        <v>1829</v>
      </c>
      <c r="I14" s="2215" t="s">
        <v>2822</v>
      </c>
      <c r="J14" s="53">
        <f ca="1">C29</f>
        <v>1055</v>
      </c>
      <c r="K14" s="26"/>
      <c r="L14" s="801"/>
      <c r="M14" s="802"/>
    </row>
    <row r="15" spans="1:33" s="2048" customFormat="1" ht="18" customHeight="1" thickBot="1">
      <c r="A15" s="1634" t="s">
        <v>1884</v>
      </c>
      <c r="B15" s="784" t="s">
        <v>647</v>
      </c>
      <c r="C15" s="53">
        <f ca="1">ROUND(C14*F15,0)</f>
        <v>20</v>
      </c>
      <c r="D15" s="806" t="s">
        <v>1745</v>
      </c>
      <c r="E15" s="806" t="s">
        <v>1746</v>
      </c>
      <c r="F15" s="807">
        <f>'数据-取费表'!B33</f>
        <v>0.03</v>
      </c>
      <c r="G15" s="1580"/>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3" t="s">
        <v>1747</v>
      </c>
      <c r="I16" s="1811" t="s">
        <v>1748</v>
      </c>
      <c r="J16" s="792">
        <f ca="1">ROUND(J17+J22+J23+J24,0)</f>
        <v>108</v>
      </c>
      <c r="K16" s="1805" t="s">
        <v>1749</v>
      </c>
      <c r="L16" s="2449"/>
      <c r="M16" s="2454"/>
    </row>
    <row r="17" spans="1:33" s="2048" customFormat="1" ht="18" customHeight="1">
      <c r="A17" s="1634" t="s">
        <v>1886</v>
      </c>
      <c r="B17" s="784" t="s">
        <v>653</v>
      </c>
      <c r="C17" s="53">
        <f ca="1">ROUND(F17*(F43+INDIRECT("'数据-取费表'!S"&amp;$G$1))/10000,0)</f>
        <v>61</v>
      </c>
      <c r="D17" s="784" t="s">
        <v>1750</v>
      </c>
      <c r="E17" s="784" t="s">
        <v>1751</v>
      </c>
      <c r="F17" s="56">
        <f>'数据-取费表'!B35</f>
        <v>200</v>
      </c>
      <c r="G17" s="1580"/>
      <c r="H17" s="1635" t="s">
        <v>1829</v>
      </c>
      <c r="I17" s="784" t="s">
        <v>656</v>
      </c>
      <c r="J17" s="53">
        <f ca="1">ROUND(IF(项目基本情况!B11="自然人",J6*M17/(1+'数据-取费表'!C42),J18+J19+J20),0)</f>
        <v>92</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1887</v>
      </c>
      <c r="B18" s="784" t="s">
        <v>659</v>
      </c>
      <c r="C18" s="53">
        <f ca="1">ROUND(C14*F18,0)</f>
        <v>10</v>
      </c>
      <c r="D18" s="784" t="s">
        <v>1745</v>
      </c>
      <c r="E18" s="784" t="s">
        <v>1746</v>
      </c>
      <c r="F18" s="809">
        <f>'数据-取费表'!B36</f>
        <v>1.4999999999999999E-2</v>
      </c>
      <c r="G18" s="1580"/>
      <c r="H18" s="1634" t="s">
        <v>1883</v>
      </c>
      <c r="I18" s="784" t="s">
        <v>1754</v>
      </c>
      <c r="J18" s="53">
        <f ca="1">ROUND(J6*M18/(1+'数据-取费表'!C42),1)</f>
        <v>0</v>
      </c>
      <c r="K18" s="2447" t="s">
        <v>1755</v>
      </c>
      <c r="L18" s="784" t="s">
        <v>1746</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1829</v>
      </c>
      <c r="B19" s="784" t="s">
        <v>662</v>
      </c>
      <c r="C19" s="53">
        <f ca="1">SUM(C14:C18)</f>
        <v>765</v>
      </c>
      <c r="D19" s="261" t="s">
        <v>1756</v>
      </c>
      <c r="E19" s="1966"/>
      <c r="F19" s="56"/>
      <c r="G19" s="1579"/>
      <c r="H19" s="1634" t="s">
        <v>1884</v>
      </c>
      <c r="I19" s="784" t="s">
        <v>1757</v>
      </c>
      <c r="J19" s="53">
        <f ca="1">IF(K19="按租金收入计税",ROUND(J6*M19/(1+'数据-取费表'!C42),1),ROUND(C29*F33*0.7,1))</f>
        <v>88.6</v>
      </c>
      <c r="K19" s="811" t="s">
        <v>665</v>
      </c>
      <c r="L19" s="784" t="s">
        <v>1746</v>
      </c>
      <c r="M19" s="809">
        <f>IF(K19="按租金收入计税",'数据-取费表'!B51,'数据-取费表'!B50)</f>
        <v>1.2E-2</v>
      </c>
    </row>
    <row r="20" spans="1:33" s="2048" customFormat="1" ht="18" customHeight="1">
      <c r="A20" s="1635" t="s">
        <v>1888</v>
      </c>
      <c r="B20" s="784" t="s">
        <v>666</v>
      </c>
      <c r="C20" s="53">
        <f ca="1">ROUND(C19*F20,0)</f>
        <v>15</v>
      </c>
      <c r="D20" s="812" t="s">
        <v>1758</v>
      </c>
      <c r="E20" s="784" t="s">
        <v>1746</v>
      </c>
      <c r="F20" s="809">
        <f>'数据-取费表'!B37</f>
        <v>0.02</v>
      </c>
      <c r="G20" s="1580"/>
      <c r="H20" s="1637" t="s">
        <v>1879</v>
      </c>
      <c r="I20" s="341" t="s">
        <v>1759</v>
      </c>
      <c r="J20" s="54">
        <f ca="1">ROUND(M20*M21/10000,0)</f>
        <v>3</v>
      </c>
      <c r="K20" s="814" t="s">
        <v>1760</v>
      </c>
      <c r="L20" s="784" t="s">
        <v>1761</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1889</v>
      </c>
      <c r="B21" s="784" t="s">
        <v>1762</v>
      </c>
      <c r="C21" s="53" t="s">
        <v>1763</v>
      </c>
      <c r="D21" s="812" t="s">
        <v>2295</v>
      </c>
      <c r="E21" s="784" t="s">
        <v>1764</v>
      </c>
      <c r="F21" s="809">
        <f>'数据-取费表'!B38</f>
        <v>0.02</v>
      </c>
      <c r="G21" s="1580"/>
      <c r="H21" s="2469"/>
      <c r="I21" s="793"/>
      <c r="J21" s="69"/>
      <c r="K21" s="816"/>
      <c r="L21" s="784" t="s">
        <v>1765</v>
      </c>
      <c r="M21" s="785">
        <f ca="1">INDIRECT("'数据-取费表'!r"&amp;$G$1)</f>
        <v>2042.59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1890</v>
      </c>
      <c r="B22" s="784" t="s">
        <v>1766</v>
      </c>
      <c r="C22" s="53"/>
      <c r="D22" s="2535" t="str">
        <f>IF(F23&lt;=1,"单利计息。","复利计息。")&amp;"建造成本、管理费用、销售费用产生的利息。"</f>
        <v>复利计息。建造成本、管理费用、销售费用产生的利息。</v>
      </c>
      <c r="E22" s="1966"/>
      <c r="F22" s="56"/>
      <c r="G22" s="1579"/>
      <c r="H22" s="1635" t="s">
        <v>1888</v>
      </c>
      <c r="I22" s="784" t="s">
        <v>1767</v>
      </c>
      <c r="J22" s="53">
        <f ca="1">ROUND(J14*M22,0)</f>
        <v>16</v>
      </c>
      <c r="K22" s="2447" t="s">
        <v>1768</v>
      </c>
      <c r="L22" s="784" t="s">
        <v>1746</v>
      </c>
      <c r="M22" s="817">
        <f ca="1">INDIRECT("'数据-取费表'!Ak"&amp;$G$1)</f>
        <v>1.4999999999999999E-2</v>
      </c>
    </row>
    <row r="23" spans="1:33" s="2048" customFormat="1" ht="18" customHeight="1">
      <c r="A23" s="1634" t="s">
        <v>1830</v>
      </c>
      <c r="B23" s="784" t="s">
        <v>2532</v>
      </c>
      <c r="C23" s="53">
        <f ca="1">ROUND(IF('数据-取费表'!B22&lt;=1,(C19+C20)*F24*F23/2,(C19+C20)*(POWER((1+F24),F23/2)-1)),0)</f>
        <v>37</v>
      </c>
      <c r="D23" s="2534"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1831</v>
      </c>
      <c r="B24" s="784" t="s">
        <v>1771</v>
      </c>
      <c r="C24" s="53">
        <f ca="1">ROUND(IF('数据-取费表'!B22&lt;=1,F21*F24*F23/2,F21*(POWER((1+F24),F23/2)-1)),4)</f>
        <v>1E-3</v>
      </c>
      <c r="D24" s="2534" t="str">
        <f>IF(F23&lt;=1,"销售费用×利率×(建设周期÷2)","销售费用×((1+利率)^(建设周期÷2)-1)")</f>
        <v>销售费用×((1+利率)^(建设周期÷2)-1)</v>
      </c>
      <c r="E24" s="784" t="s">
        <v>1772</v>
      </c>
      <c r="F24" s="819">
        <f ca="1">'数据-取费表'!B40</f>
        <v>4.7500000000000001E-2</v>
      </c>
      <c r="G24" s="1580"/>
      <c r="H24" s="2514" t="s">
        <v>1890</v>
      </c>
      <c r="I24" s="2509" t="s">
        <v>666</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1839</v>
      </c>
      <c r="B25" s="784" t="s">
        <v>684</v>
      </c>
      <c r="C25" s="53"/>
      <c r="D25" s="261" t="s">
        <v>1774</v>
      </c>
      <c r="E25" s="1966"/>
      <c r="F25" s="56"/>
      <c r="G25" s="1579"/>
      <c r="H25" s="1813" t="s">
        <v>1775</v>
      </c>
      <c r="I25" s="2961" t="s">
        <v>2818</v>
      </c>
      <c r="J25" s="792">
        <f ca="1">J5-J16</f>
        <v>-108</v>
      </c>
      <c r="K25" s="2511" t="s">
        <v>1776</v>
      </c>
      <c r="L25" s="2512"/>
      <c r="M25" s="2513"/>
    </row>
    <row r="26" spans="1:33" ht="18" customHeight="1">
      <c r="A26" s="1634" t="s">
        <v>1830</v>
      </c>
      <c r="B26" s="784" t="s">
        <v>2435</v>
      </c>
      <c r="C26" s="53">
        <f ca="1">ROUND((C19+C20)*F26,0)</f>
        <v>156</v>
      </c>
      <c r="D26" s="812" t="s">
        <v>1777</v>
      </c>
      <c r="E26" s="795" t="s">
        <v>1778</v>
      </c>
      <c r="F26" s="794">
        <f ca="1">INDIRECT("'数据-取费表'!q"&amp;$G$1)</f>
        <v>0.2</v>
      </c>
      <c r="G26" s="1579"/>
      <c r="H26" s="2465" t="s">
        <v>1779</v>
      </c>
      <c r="I26" s="2216" t="s">
        <v>2823</v>
      </c>
      <c r="J26" s="783">
        <f ca="1">IF(J5&lt;&gt;0,ROUND(J25*(1-((1+M28)/(1+M26))^M27)/(M26-M28),0),0)</f>
        <v>0</v>
      </c>
      <c r="K26" s="814" t="s">
        <v>1780</v>
      </c>
      <c r="L26" s="784" t="s">
        <v>2416</v>
      </c>
      <c r="M26" s="794">
        <f ca="1">INDIRECT("'数据-取费表'!I"&amp;$G$1)</f>
        <v>0.05</v>
      </c>
    </row>
    <row r="27" spans="1:33" ht="18" customHeight="1">
      <c r="A27" s="1634" t="s">
        <v>1831</v>
      </c>
      <c r="B27" s="784" t="s">
        <v>686</v>
      </c>
      <c r="C27" s="53">
        <f ca="1">ROUND(F21*F26,4)</f>
        <v>4.0000000000000001E-3</v>
      </c>
      <c r="D27" s="812" t="s">
        <v>1781</v>
      </c>
      <c r="E27" s="806"/>
      <c r="F27" s="807"/>
      <c r="G27" s="1579"/>
      <c r="H27" s="2466"/>
      <c r="I27" s="787"/>
      <c r="J27" s="788"/>
      <c r="K27" s="821" t="s">
        <v>1782</v>
      </c>
      <c r="L27" s="784" t="s">
        <v>1783</v>
      </c>
      <c r="M27" s="822">
        <f ca="1">INDIRECT("'数据-取费表'!ag"&amp;$G$1)</f>
        <v>0</v>
      </c>
    </row>
    <row r="28" spans="1:33" s="2048" customFormat="1" ht="18" customHeight="1">
      <c r="A28" s="1636" t="s">
        <v>1840</v>
      </c>
      <c r="B28" s="784" t="s">
        <v>687</v>
      </c>
      <c r="C28" s="53">
        <f>ROUND(F28/(1+'数据-取费表'!C42),4)</f>
        <v>5.2400000000000002E-2</v>
      </c>
      <c r="D28" s="812" t="s">
        <v>2296</v>
      </c>
      <c r="E28" s="784" t="s">
        <v>1784</v>
      </c>
      <c r="F28" s="809">
        <f>'数据-取费表'!B41</f>
        <v>5.5000000000000007E-2</v>
      </c>
      <c r="G28" s="1580"/>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2297</v>
      </c>
      <c r="C29" s="2507">
        <f ca="1">ROUND((C19+C20+C23+C26)/(1-F21-C24-C27-C28),0)</f>
        <v>1055</v>
      </c>
      <c r="D29" s="2508"/>
      <c r="E29" s="2509"/>
      <c r="F29" s="2510"/>
      <c r="G29" s="1580"/>
      <c r="H29" s="823" t="s">
        <v>1786</v>
      </c>
      <c r="I29" s="824" t="s">
        <v>1787</v>
      </c>
      <c r="J29" s="825">
        <f ca="1">ROUND(J26/(1+F40)^F41,0)</f>
        <v>0</v>
      </c>
      <c r="K29" s="826" t="s">
        <v>1788</v>
      </c>
      <c r="L29" s="827"/>
      <c r="M29" s="828">
        <f ca="1">INDIRECT("'数据-取费表'!k"&amp;$G$1)</f>
        <v>3063.89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47</v>
      </c>
      <c r="D30" s="1805" t="s">
        <v>1790</v>
      </c>
      <c r="E30" s="2449"/>
      <c r="F30" s="2454"/>
      <c r="G30" s="2046"/>
      <c r="H30" s="2049"/>
      <c r="I30" s="2050"/>
      <c r="J30" s="2051"/>
      <c r="K30" s="2052"/>
      <c r="L30" s="2053"/>
      <c r="M30" s="2054"/>
    </row>
    <row r="31" spans="1:33" ht="18" customHeight="1">
      <c r="A31" s="1635" t="s">
        <v>1829</v>
      </c>
      <c r="B31" s="784" t="s">
        <v>656</v>
      </c>
      <c r="C31" s="53">
        <f ca="1">ROUND(IF(项目基本情况!B11="自然人",C6*F31/(1+'数据-取费表'!C42),C32+C33+C34),1)</f>
        <v>28.5</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1830</v>
      </c>
      <c r="B32" s="784" t="s">
        <v>1793</v>
      </c>
      <c r="C32" s="53">
        <f ca="1">ROUND(C6*F32/(1+'数据-取费表'!C42),1)</f>
        <v>8</v>
      </c>
      <c r="D32" s="1961" t="s">
        <v>1794</v>
      </c>
      <c r="E32" s="784" t="s">
        <v>1795</v>
      </c>
      <c r="F32" s="809">
        <f>'数据-取费表'!B41</f>
        <v>5.5000000000000007E-2</v>
      </c>
      <c r="G32" s="2046"/>
      <c r="H32" s="2055"/>
      <c r="I32" s="2056"/>
      <c r="J32" s="2057"/>
      <c r="K32" s="2058"/>
      <c r="L32" s="2059"/>
      <c r="M32" s="2060"/>
    </row>
    <row r="33" spans="1:18" ht="18" customHeight="1">
      <c r="A33" s="1634" t="s">
        <v>1831</v>
      </c>
      <c r="B33" s="784" t="s">
        <v>1796</v>
      </c>
      <c r="C33" s="53">
        <f ca="1">IF(D33="按租金收入计税",ROUND(C6*F33/(1+'数据-取费表'!C42),1),IF(D33="按房产原值计税",ROUND(C29*F33*0.7,1),INDIRECT("'数据-取费表'!Aj"&amp;$G$1)))</f>
        <v>17.399999999999999</v>
      </c>
      <c r="D33" s="811" t="s">
        <v>3031</v>
      </c>
      <c r="E33" s="784" t="s">
        <v>1795</v>
      </c>
      <c r="F33" s="809">
        <f>IF(D33="按租金收入计税",'数据-取费表'!B51,'数据-取费表'!B50)</f>
        <v>0.12</v>
      </c>
      <c r="G33" s="2046"/>
      <c r="H33" s="2061"/>
      <c r="I33" s="2061"/>
      <c r="J33" s="2061"/>
      <c r="K33" s="2062"/>
      <c r="L33" s="2061"/>
      <c r="M33" s="2061"/>
    </row>
    <row r="34" spans="1:18" ht="18" customHeight="1">
      <c r="A34" s="1637" t="s">
        <v>1832</v>
      </c>
      <c r="B34" s="341" t="s">
        <v>1797</v>
      </c>
      <c r="C34" s="54">
        <f ca="1">ROUND(F34*F35/10000,1)</f>
        <v>3.1</v>
      </c>
      <c r="D34" s="814" t="s">
        <v>1798</v>
      </c>
      <c r="E34" s="784" t="s">
        <v>1799</v>
      </c>
      <c r="F34" s="640">
        <f>'数据-取费表'!B52</f>
        <v>15</v>
      </c>
      <c r="G34" s="2046"/>
      <c r="H34" s="2049"/>
      <c r="I34" s="835" t="s">
        <v>1812</v>
      </c>
      <c r="J34" s="836"/>
      <c r="K34" s="2064"/>
      <c r="L34" s="2063"/>
      <c r="M34" s="2063"/>
    </row>
    <row r="35" spans="1:18" ht="18" customHeight="1">
      <c r="A35" s="815"/>
      <c r="B35" s="793"/>
      <c r="C35" s="69"/>
      <c r="D35" s="816"/>
      <c r="E35" s="784" t="s">
        <v>1800</v>
      </c>
      <c r="F35" s="785">
        <f ca="1">INDIRECT("'数据-取费表'!r"&amp;$G$1)</f>
        <v>2042.59</v>
      </c>
      <c r="G35" s="2046"/>
      <c r="H35" s="2049"/>
      <c r="I35" s="837" t="s">
        <v>1813</v>
      </c>
      <c r="J35" s="838">
        <f ca="1">ROUND(C13*J36,0)</f>
        <v>84</v>
      </c>
      <c r="K35" s="2062"/>
      <c r="L35" s="2061"/>
      <c r="M35" s="2061"/>
    </row>
    <row r="36" spans="1:18" ht="18" customHeight="1">
      <c r="A36" s="1635" t="s">
        <v>1888</v>
      </c>
      <c r="B36" s="784" t="s">
        <v>1801</v>
      </c>
      <c r="C36" s="53">
        <f ca="1">ROUND(C29*F36,1)</f>
        <v>15.8</v>
      </c>
      <c r="D36" s="1961" t="s">
        <v>1802</v>
      </c>
      <c r="E36" s="784" t="s">
        <v>1795</v>
      </c>
      <c r="F36" s="817">
        <f ca="1">INDIRECT("'数据-取费表'!Ak"&amp;$G$1)</f>
        <v>1.4999999999999999E-2</v>
      </c>
      <c r="G36" s="2046"/>
      <c r="H36" s="2061"/>
      <c r="I36" s="839" t="s">
        <v>1814</v>
      </c>
      <c r="J36" s="840">
        <f ca="1">INDIRECT("'数据-取费表'!j"&amp;$G$1)</f>
        <v>0.08</v>
      </c>
      <c r="K36" s="2066"/>
      <c r="L36" s="2061"/>
      <c r="M36" s="2061"/>
    </row>
    <row r="37" spans="1:18" ht="18" customHeight="1">
      <c r="A37" s="1635" t="s">
        <v>1889</v>
      </c>
      <c r="B37" s="784" t="s">
        <v>679</v>
      </c>
      <c r="C37" s="53">
        <f ca="1">ROUND(C13*F37,1)</f>
        <v>1.6</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666</v>
      </c>
      <c r="C38" s="2507">
        <f ca="1">ROUND(C5*F38,1)</f>
        <v>1.5</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2818</v>
      </c>
      <c r="C39" s="792">
        <f ca="1">C5-C30</f>
        <v>105</v>
      </c>
      <c r="D39" s="2511" t="s">
        <v>1805</v>
      </c>
      <c r="E39" s="2512"/>
      <c r="F39" s="2513"/>
      <c r="G39" s="2046"/>
      <c r="H39" s="2061"/>
      <c r="I39" s="837" t="s">
        <v>1817</v>
      </c>
      <c r="J39" s="845">
        <f ca="1">ROUND(J35/C39,3)</f>
        <v>0.8</v>
      </c>
      <c r="K39" s="2067"/>
      <c r="L39" s="2061"/>
      <c r="M39" s="2061"/>
    </row>
    <row r="40" spans="1:18" ht="18" customHeight="1">
      <c r="A40" s="781" t="s">
        <v>1894</v>
      </c>
      <c r="B40" s="2216" t="s">
        <v>2298</v>
      </c>
      <c r="C40" s="783">
        <f ca="1">ROUND(C39*(1-((1+F42)/(1+F40))^F41)/(F40-F42),0)</f>
        <v>2324</v>
      </c>
      <c r="D40" s="814" t="s">
        <v>1806</v>
      </c>
      <c r="E40" s="784" t="s">
        <v>2416</v>
      </c>
      <c r="F40" s="794">
        <f ca="1">INDIRECT("'数据-取费表'!I"&amp;$G$1)</f>
        <v>0.05</v>
      </c>
      <c r="G40" s="2046"/>
      <c r="H40" s="2046"/>
      <c r="I40" s="837" t="s">
        <v>1818</v>
      </c>
      <c r="J40" s="845">
        <f ca="1">1-J39</f>
        <v>0.19999999999999996</v>
      </c>
      <c r="K40" s="2067"/>
      <c r="L40" s="2046"/>
      <c r="M40" s="2046"/>
    </row>
    <row r="41" spans="1:18" ht="18" customHeight="1">
      <c r="A41" s="786"/>
      <c r="B41" s="787"/>
      <c r="C41" s="788"/>
      <c r="D41" s="821" t="s">
        <v>1807</v>
      </c>
      <c r="E41" s="784" t="s">
        <v>2956</v>
      </c>
      <c r="F41" s="822">
        <f ca="1">IF(INDIRECT("'数据-取费表'!af"&amp;$G$1)=0,INDIRECT("'数据-取费表'!ae"&amp;$G$1),INDIRECT("'数据-取费表'!af"&amp;$G$1))</f>
        <v>37.630000000000003</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0.45400000000000001</v>
      </c>
      <c r="K42" s="2066"/>
      <c r="L42" s="1972"/>
      <c r="M42" s="1972"/>
    </row>
    <row r="43" spans="1:18" ht="18" customHeight="1" thickBot="1">
      <c r="A43" s="823" t="s">
        <v>1786</v>
      </c>
      <c r="B43" s="824" t="s">
        <v>1809</v>
      </c>
      <c r="C43" s="825">
        <f ca="1">ROUND(C40*10000/F43,0)</f>
        <v>7585</v>
      </c>
      <c r="D43" s="826" t="s">
        <v>1810</v>
      </c>
      <c r="E43" s="827" t="s">
        <v>1811</v>
      </c>
      <c r="F43" s="828">
        <f ca="1">INDIRECT("'数据-取费表'!k"&amp;$G$1)</f>
        <v>3063.89</v>
      </c>
      <c r="G43" s="2046"/>
      <c r="H43" s="1972"/>
      <c r="I43" s="847" t="s">
        <v>1821</v>
      </c>
      <c r="J43" s="848">
        <f ca="1">1-J42</f>
        <v>0.54600000000000004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-2677</v>
      </c>
      <c r="D46" s="2069"/>
      <c r="E46" s="2069"/>
      <c r="F46" s="2069"/>
      <c r="I46" s="2341" t="s">
        <v>2340</v>
      </c>
      <c r="J46" s="2342"/>
      <c r="K46" s="2343"/>
      <c r="L46" s="3106">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7" t="s">
        <v>2341</v>
      </c>
      <c r="J47" s="2344" t="s">
        <v>3032</v>
      </c>
      <c r="K47" s="3103" t="s">
        <v>2346</v>
      </c>
      <c r="L47" s="3107">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6" t="s">
        <v>2342</v>
      </c>
      <c r="J48" s="2345" t="s">
        <v>2347</v>
      </c>
      <c r="K48" s="3104" t="s">
        <v>2348</v>
      </c>
      <c r="L48" s="1892">
        <f ca="1">INDIRECT("'数据-取费表'!f"&amp;$G$1)</f>
        <v>39.630000000000003</v>
      </c>
      <c r="O48" s="2361" t="s">
        <v>2376</v>
      </c>
      <c r="P48" s="2362" t="s">
        <v>2402</v>
      </c>
      <c r="Q48" s="2363">
        <f ca="1">C40+J29</f>
        <v>2324</v>
      </c>
      <c r="R48" s="2362" t="s">
        <v>2377</v>
      </c>
    </row>
    <row r="49" spans="1:18" s="2043" customFormat="1" ht="18" customHeight="1" thickBot="1">
      <c r="A49" s="786"/>
      <c r="B49" s="787"/>
      <c r="C49" s="788"/>
      <c r="D49" s="789"/>
      <c r="E49" s="784" t="s">
        <v>1738</v>
      </c>
      <c r="F49" s="785">
        <f ca="1">F7</f>
        <v>3063.89</v>
      </c>
      <c r="G49" s="2074"/>
      <c r="H49" s="2077"/>
      <c r="I49" s="3076" t="s">
        <v>2343</v>
      </c>
      <c r="J49" s="2346"/>
      <c r="K49" s="3105" t="s">
        <v>2349</v>
      </c>
      <c r="L49" s="2347"/>
      <c r="O49" s="2361" t="s">
        <v>2378</v>
      </c>
      <c r="P49" s="2362" t="s">
        <v>2403</v>
      </c>
      <c r="Q49" s="2363" t="str">
        <f ca="1">J60</f>
        <v>0</v>
      </c>
      <c r="R49" s="2362" t="s">
        <v>2379</v>
      </c>
    </row>
    <row r="50" spans="1:18" s="2043" customFormat="1" ht="18" customHeight="1" thickBot="1">
      <c r="A50" s="786"/>
      <c r="B50" s="787"/>
      <c r="C50" s="788"/>
      <c r="D50" s="789"/>
      <c r="E50" s="784" t="s">
        <v>1739</v>
      </c>
      <c r="F50" s="785">
        <f ca="1">F8</f>
        <v>365</v>
      </c>
      <c r="G50" s="2079"/>
      <c r="H50" s="2077"/>
      <c r="I50" s="3076" t="s">
        <v>2344</v>
      </c>
      <c r="J50" s="3101">
        <f>SUMPRODUCT((I63:I65=J47)*(J62:L62=J48)*(J63:L65))</f>
        <v>60</v>
      </c>
      <c r="K50" s="3105" t="s">
        <v>2350</v>
      </c>
      <c r="L50" s="2347"/>
      <c r="O50" s="2364" t="s">
        <v>2380</v>
      </c>
      <c r="P50" s="2362" t="s">
        <v>2404</v>
      </c>
      <c r="Q50" s="2363">
        <f ca="1">C29</f>
        <v>1055</v>
      </c>
      <c r="R50" s="2362" t="s">
        <v>2377</v>
      </c>
    </row>
    <row r="51" spans="1:18" s="2043" customFormat="1" ht="18" customHeight="1" thickBot="1">
      <c r="A51" s="786"/>
      <c r="B51" s="787"/>
      <c r="C51" s="788"/>
      <c r="D51" s="789"/>
      <c r="E51" s="784" t="s">
        <v>640</v>
      </c>
      <c r="F51" s="2334"/>
      <c r="H51" s="2077"/>
      <c r="I51" s="3098" t="s">
        <v>2345</v>
      </c>
      <c r="J51" s="3102">
        <f>IF(J49="",J50,J49+J50-YEAR('数据-取费表'!B2))</f>
        <v>60</v>
      </c>
      <c r="K51" s="3076" t="s">
        <v>2351</v>
      </c>
      <c r="L51" s="3108">
        <f ca="1">ROUND(-PV(INDIRECT("'数据-取费表'!h"&amp;$G$1),L48,(C39-C13*J36),0),0)</f>
        <v>378</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2967</v>
      </c>
      <c r="E52" s="2461" t="s">
        <v>2461</v>
      </c>
      <c r="F52" s="2584"/>
      <c r="I52" s="3099" t="s">
        <v>2418</v>
      </c>
      <c r="J52" s="2348">
        <v>8.5000000000000006E-2</v>
      </c>
      <c r="K52" s="3099" t="s">
        <v>2417</v>
      </c>
      <c r="L52" s="2348"/>
      <c r="O52" s="2364" t="s">
        <v>2383</v>
      </c>
      <c r="P52" s="2362" t="s">
        <v>2384</v>
      </c>
      <c r="Q52" s="2365">
        <f>J52</f>
        <v>8.5000000000000006E-2</v>
      </c>
      <c r="R52" s="2366"/>
    </row>
    <row r="53" spans="1:18" s="2043" customFormat="1" ht="39.75" customHeight="1" thickBot="1">
      <c r="A53" s="786"/>
      <c r="B53" s="2458" t="s">
        <v>2570</v>
      </c>
      <c r="C53" s="2462"/>
      <c r="D53" s="2464"/>
      <c r="E53" s="2461"/>
      <c r="F53" s="800"/>
      <c r="I53" s="3100" t="s">
        <v>2970</v>
      </c>
      <c r="J53" s="3179">
        <f ca="1">IF(M47="住宅",IF(D1="——",MAX(J51,L48),MAX(J51,L48-'数据-取费表'!B20)),IF(D1="——",MIN(J51,L48),MIN(J51,L48-'数据-取费表'!B20)))</f>
        <v>37.630000000000003</v>
      </c>
      <c r="K53" s="3460" t="s">
        <v>2958</v>
      </c>
      <c r="L53" s="3461"/>
      <c r="O53" s="2364" t="s">
        <v>2385</v>
      </c>
      <c r="P53" s="2362" t="s">
        <v>2386</v>
      </c>
      <c r="Q53" s="2363">
        <f ca="1">J53</f>
        <v>37.630000000000003</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2324</v>
      </c>
      <c r="R54" s="2366" t="s">
        <v>2389</v>
      </c>
    </row>
    <row r="55" spans="1:18" s="2043" customFormat="1" ht="18" customHeight="1" thickTop="1" thickBot="1">
      <c r="A55" s="797">
        <v>2</v>
      </c>
      <c r="B55" s="798" t="s">
        <v>644</v>
      </c>
      <c r="C55" s="799">
        <f ca="1">C13</f>
        <v>1055</v>
      </c>
      <c r="D55" s="795"/>
      <c r="E55" s="795"/>
      <c r="F55" s="800"/>
      <c r="I55" s="3111" t="s">
        <v>2352</v>
      </c>
      <c r="J55" s="3051" t="e">
        <f ca="1">ROUND(IF(J47="钢混",J57/J50,1-(1-2%)*(J50-J57)/J50),3)</f>
        <v>#VALUE!</v>
      </c>
      <c r="K55" s="3112" t="s">
        <v>2353</v>
      </c>
      <c r="L55" s="2349"/>
      <c r="O55" s="2367" t="s">
        <v>2408</v>
      </c>
      <c r="P55" s="1579"/>
      <c r="Q55" s="1590"/>
      <c r="R55" s="1579"/>
    </row>
    <row r="56" spans="1:18" s="2043" customFormat="1" ht="42.75" customHeight="1" thickBot="1">
      <c r="A56" s="1636"/>
      <c r="B56" s="2215" t="s">
        <v>2299</v>
      </c>
      <c r="C56" s="53">
        <f ca="1">C29</f>
        <v>1055</v>
      </c>
      <c r="D56" s="2602"/>
      <c r="E56" s="784"/>
      <c r="F56" s="809"/>
      <c r="I56" s="3113" t="s">
        <v>2354</v>
      </c>
      <c r="J56" s="3123" t="s">
        <v>1677</v>
      </c>
      <c r="K56" s="3076" t="s">
        <v>2359</v>
      </c>
      <c r="L56" s="1892" t="str">
        <f ca="1">IF(L48&lt;J51,"——",L48-J51)</f>
        <v>——</v>
      </c>
      <c r="O56" s="2358" t="s">
        <v>2372</v>
      </c>
      <c r="P56" s="2359" t="s">
        <v>2373</v>
      </c>
      <c r="Q56" s="2360" t="s">
        <v>2374</v>
      </c>
      <c r="R56" s="2359" t="s">
        <v>2375</v>
      </c>
    </row>
    <row r="57" spans="1:18" s="2043" customFormat="1" ht="28.5" customHeight="1" thickBot="1">
      <c r="A57" s="797" t="s">
        <v>1747</v>
      </c>
      <c r="B57" s="798" t="s">
        <v>651</v>
      </c>
      <c r="C57" s="799">
        <f ca="1">ROUND(C58+C63+C64+C65,0)</f>
        <v>21</v>
      </c>
      <c r="D57" s="26" t="s">
        <v>1749</v>
      </c>
      <c r="E57" s="2603"/>
      <c r="F57" s="56"/>
      <c r="I57" s="3114" t="s">
        <v>2355</v>
      </c>
      <c r="J57" s="3115" t="str">
        <f ca="1">IF(OR(M47="住宅",J51&lt;L48,J56="是"),"——",J51-L48)</f>
        <v>——</v>
      </c>
      <c r="K57" s="3076" t="s">
        <v>2360</v>
      </c>
      <c r="L57" s="1892" t="str">
        <f ca="1">IF(L48&lt;J51,"——",IF(L55="比较法",L49,IF(L55="基准地价",L50,L51)))</f>
        <v>——</v>
      </c>
      <c r="O57" s="2361" t="s">
        <v>2376</v>
      </c>
      <c r="P57" s="2362" t="s">
        <v>2406</v>
      </c>
      <c r="Q57" s="2363">
        <f ca="1">C40+J29</f>
        <v>2324</v>
      </c>
      <c r="R57" s="2362" t="s">
        <v>2377</v>
      </c>
    </row>
    <row r="58" spans="1:18" s="2043" customFormat="1" ht="28.5" customHeight="1" thickBot="1">
      <c r="A58" s="1635" t="s">
        <v>1823</v>
      </c>
      <c r="B58" s="784" t="s">
        <v>656</v>
      </c>
      <c r="C58" s="53">
        <f ca="1">ROUND(IF(项目基本情况!B11="自然人",C47*F58,C59+C60+C61),1)</f>
        <v>3.1</v>
      </c>
      <c r="D58" s="2601" t="s">
        <v>657</v>
      </c>
      <c r="E58" s="2602" t="s">
        <v>690</v>
      </c>
      <c r="F58" s="810" t="str">
        <f ca="1">IF(项目基本情况!B11="企业","",IF(INDIRECT("'数据-取费表'!c"&amp;$G$1)="住宅",5%,IF(F48*F49*F50/12/(1+'数据-取费表'!C42)&gt;20000,12%,7%)))</f>
        <v/>
      </c>
      <c r="I58" s="3114" t="s">
        <v>2356</v>
      </c>
      <c r="J58" s="3052" t="e">
        <f ca="1">IF(J55&lt;0.4,0.4,J55)</f>
        <v>#VALUE!</v>
      </c>
      <c r="K58" s="3076"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1830</v>
      </c>
      <c r="B59" s="784" t="s">
        <v>660</v>
      </c>
      <c r="C59" s="53">
        <f ca="1">ROUND(C47*F59/1.05,1)</f>
        <v>0</v>
      </c>
      <c r="D59" s="2602" t="s">
        <v>1755</v>
      </c>
      <c r="E59" s="784" t="s">
        <v>1746</v>
      </c>
      <c r="F59" s="809">
        <f t="shared" ref="F59:F65" si="0">F32</f>
        <v>5.5000000000000007E-2</v>
      </c>
      <c r="I59" s="3114" t="s">
        <v>2357</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6" t="s">
        <v>2358</v>
      </c>
      <c r="J60" s="3117" t="str">
        <f ca="1">IF(OR(M47="住宅",J51&lt;L48,J56="是"),"0",ROUND(J59/(1+J52)^J53,0))</f>
        <v>0</v>
      </c>
      <c r="K60" s="3118" t="s">
        <v>2363</v>
      </c>
      <c r="L60" s="3117">
        <f ca="1">IF(OR(M47="住宅",L48&lt;J51),0,ROUND(L57*(L58/L59-1),0))</f>
        <v>0</v>
      </c>
      <c r="O60" s="2364" t="s">
        <v>2381</v>
      </c>
      <c r="P60" s="2362" t="s">
        <v>2390</v>
      </c>
      <c r="Q60" s="2365">
        <f>L52</f>
        <v>0</v>
      </c>
      <c r="R60" s="2366"/>
    </row>
    <row r="61" spans="1:18" s="2043" customFormat="1" ht="18" customHeight="1" thickBot="1">
      <c r="A61" s="1637" t="s">
        <v>1832</v>
      </c>
      <c r="B61" s="341" t="s">
        <v>668</v>
      </c>
      <c r="C61" s="54">
        <f ca="1">ROUND(F61*F62/10000,1)</f>
        <v>3.1</v>
      </c>
      <c r="D61" s="814" t="s">
        <v>669</v>
      </c>
      <c r="E61" s="784" t="s">
        <v>670</v>
      </c>
      <c r="F61" s="640">
        <f t="shared" si="0"/>
        <v>15</v>
      </c>
      <c r="K61" s="2070"/>
      <c r="O61" s="2364" t="s">
        <v>2383</v>
      </c>
      <c r="P61" s="2362" t="s">
        <v>2391</v>
      </c>
      <c r="Q61" s="2363" t="e">
        <f ca="1">L58</f>
        <v>#DIV/0!</v>
      </c>
      <c r="R61" s="2366" t="s">
        <v>2392</v>
      </c>
    </row>
    <row r="62" spans="1:18" s="2043" customFormat="1" ht="16.2" thickBot="1">
      <c r="A62" s="815"/>
      <c r="B62" s="793"/>
      <c r="C62" s="69"/>
      <c r="D62" s="816"/>
      <c r="E62" s="784" t="s">
        <v>674</v>
      </c>
      <c r="F62" s="785">
        <f t="shared" ca="1" si="0"/>
        <v>2042.59</v>
      </c>
      <c r="I62" s="3119" t="s">
        <v>2364</v>
      </c>
      <c r="J62" s="3120" t="s">
        <v>2365</v>
      </c>
      <c r="K62" s="3120" t="s">
        <v>2366</v>
      </c>
      <c r="L62" s="3120" t="s">
        <v>2347</v>
      </c>
      <c r="M62" s="3121" t="s">
        <v>2935</v>
      </c>
      <c r="O62" s="2364" t="s">
        <v>2385</v>
      </c>
      <c r="P62" s="2362" t="str">
        <f>K59</f>
        <v>建设期及建筑物耐用年限下的土地年期修正系数Kn</v>
      </c>
      <c r="Q62" s="2363" t="e">
        <f ca="1">L59</f>
        <v>#DIV/0!</v>
      </c>
      <c r="R62" s="2366" t="s">
        <v>2394</v>
      </c>
    </row>
    <row r="63" spans="1:18" s="2043" customFormat="1" ht="16.2" thickBot="1">
      <c r="A63" s="1635" t="s">
        <v>1888</v>
      </c>
      <c r="B63" s="784" t="s">
        <v>676</v>
      </c>
      <c r="C63" s="53">
        <f ca="1">ROUND(C56*F63,1)</f>
        <v>15.8</v>
      </c>
      <c r="D63" s="2602" t="s">
        <v>1802</v>
      </c>
      <c r="E63" s="784" t="s">
        <v>1746</v>
      </c>
      <c r="F63" s="817">
        <f t="shared" ca="1" si="0"/>
        <v>1.4999999999999999E-2</v>
      </c>
      <c r="I63" s="3119" t="s">
        <v>2367</v>
      </c>
      <c r="J63" s="3120">
        <v>70</v>
      </c>
      <c r="K63" s="3120">
        <v>50</v>
      </c>
      <c r="L63" s="3120">
        <v>80</v>
      </c>
      <c r="M63" s="3122">
        <v>0.02</v>
      </c>
      <c r="O63" s="2361" t="s">
        <v>2388</v>
      </c>
      <c r="P63" s="2362" t="s">
        <v>2405</v>
      </c>
      <c r="Q63" s="2363">
        <f ca="1">Q57+Q58</f>
        <v>2324</v>
      </c>
      <c r="R63" s="2366" t="s">
        <v>2389</v>
      </c>
    </row>
    <row r="64" spans="1:18" s="2043" customFormat="1" ht="16.2" thickBot="1">
      <c r="A64" s="1635" t="s">
        <v>1889</v>
      </c>
      <c r="B64" s="784" t="s">
        <v>679</v>
      </c>
      <c r="C64" s="53">
        <f ca="1">ROUND(C55*F64,1)</f>
        <v>1.6</v>
      </c>
      <c r="D64" s="2602" t="s">
        <v>680</v>
      </c>
      <c r="E64" s="784" t="s">
        <v>1746</v>
      </c>
      <c r="F64" s="818">
        <f t="shared" ca="1" si="0"/>
        <v>1.5E-3</v>
      </c>
      <c r="I64" s="3119" t="s">
        <v>2368</v>
      </c>
      <c r="J64" s="3120">
        <v>50</v>
      </c>
      <c r="K64" s="3120">
        <v>35</v>
      </c>
      <c r="L64" s="3120">
        <v>60</v>
      </c>
      <c r="M64" s="846">
        <v>0</v>
      </c>
      <c r="O64" s="2367" t="s">
        <v>2412</v>
      </c>
      <c r="P64" s="1579"/>
      <c r="Q64" s="1590"/>
      <c r="R64" s="1579"/>
    </row>
    <row r="65" spans="1:18" s="2043" customFormat="1" ht="16.2" thickBot="1">
      <c r="A65" s="1635" t="s">
        <v>1890</v>
      </c>
      <c r="B65" s="784" t="s">
        <v>666</v>
      </c>
      <c r="C65" s="53">
        <f ca="1">ROUND(C47*F65,1)</f>
        <v>0</v>
      </c>
      <c r="D65" s="2602" t="s">
        <v>683</v>
      </c>
      <c r="E65" s="784" t="s">
        <v>1746</v>
      </c>
      <c r="F65" s="794">
        <f t="shared" ca="1" si="0"/>
        <v>0.01</v>
      </c>
      <c r="I65" s="3119" t="s">
        <v>2369</v>
      </c>
      <c r="J65" s="3120">
        <v>40</v>
      </c>
      <c r="K65" s="3120">
        <v>30</v>
      </c>
      <c r="L65" s="3120">
        <v>50</v>
      </c>
      <c r="M65" s="3122">
        <v>0.02</v>
      </c>
      <c r="O65" s="2358" t="s">
        <v>2372</v>
      </c>
      <c r="P65" s="2359" t="s">
        <v>2373</v>
      </c>
      <c r="Q65" s="2360" t="s">
        <v>2374</v>
      </c>
      <c r="R65" s="2359" t="s">
        <v>2375</v>
      </c>
    </row>
    <row r="66" spans="1:18" s="2043" customFormat="1" ht="24.6" thickBot="1">
      <c r="A66" s="797" t="s">
        <v>1775</v>
      </c>
      <c r="B66" s="2962" t="s">
        <v>2818</v>
      </c>
      <c r="C66" s="799">
        <f ca="1">C47-C57</f>
        <v>-21</v>
      </c>
      <c r="D66" s="2601" t="s">
        <v>700</v>
      </c>
      <c r="E66" s="2600"/>
      <c r="F66" s="820"/>
      <c r="K66" s="2070"/>
      <c r="O66" s="2361" t="s">
        <v>2376</v>
      </c>
      <c r="P66" s="2362" t="s">
        <v>2406</v>
      </c>
      <c r="Q66" s="2363">
        <f ca="1">C40+J29</f>
        <v>2324</v>
      </c>
      <c r="R66" s="2362" t="s">
        <v>2377</v>
      </c>
    </row>
    <row r="67" spans="1:18" s="2043" customFormat="1" ht="19.2" thickBot="1">
      <c r="A67" s="781" t="s">
        <v>1779</v>
      </c>
      <c r="B67" s="2216" t="s">
        <v>2298</v>
      </c>
      <c r="C67" s="783">
        <f ca="1">ROUND(C66*(1-((1+F69)/(1+F67))^F68)/(F67-F69),0)</f>
        <v>-353</v>
      </c>
      <c r="D67" s="814" t="s">
        <v>704</v>
      </c>
      <c r="E67" s="784" t="s">
        <v>705</v>
      </c>
      <c r="F67" s="794">
        <f ca="1">F40</f>
        <v>0.05</v>
      </c>
      <c r="K67" s="2070"/>
      <c r="O67" s="2361" t="s">
        <v>2378</v>
      </c>
      <c r="P67" s="2362" t="s">
        <v>2409</v>
      </c>
      <c r="Q67" s="2363">
        <f ca="1">L60</f>
        <v>0</v>
      </c>
      <c r="R67" s="2366" t="s">
        <v>2411</v>
      </c>
    </row>
    <row r="68" spans="1:18" ht="20.399999999999999" thickBot="1">
      <c r="A68" s="786"/>
      <c r="B68" s="787"/>
      <c r="C68" s="788"/>
      <c r="D68" s="821" t="s">
        <v>1807</v>
      </c>
      <c r="E68" s="784" t="s">
        <v>1783</v>
      </c>
      <c r="F68" s="822">
        <f ca="1">F41</f>
        <v>37.630000000000003</v>
      </c>
      <c r="O68" s="2364" t="s">
        <v>2380</v>
      </c>
      <c r="P68" s="2362" t="s">
        <v>2410</v>
      </c>
      <c r="Q68" s="2368">
        <f ca="1">L51</f>
        <v>378</v>
      </c>
      <c r="R68" s="2369" t="s">
        <v>2413</v>
      </c>
    </row>
    <row r="69" spans="1:18" ht="19.2" thickBot="1">
      <c r="A69" s="790"/>
      <c r="B69" s="791"/>
      <c r="C69" s="792"/>
      <c r="D69" s="816"/>
      <c r="E69" s="784" t="s">
        <v>710</v>
      </c>
      <c r="F69" s="2334"/>
      <c r="O69" s="2364" t="s">
        <v>2381</v>
      </c>
      <c r="P69" s="2370" t="s">
        <v>2395</v>
      </c>
      <c r="Q69" s="2363">
        <f ca="1">ROUND(Q70-Q71*Q72,0)</f>
        <v>21</v>
      </c>
      <c r="R69" s="2366"/>
    </row>
    <row r="70" spans="1:18" ht="16.2" thickBot="1">
      <c r="A70" s="823" t="s">
        <v>1786</v>
      </c>
      <c r="B70" s="824" t="s">
        <v>1809</v>
      </c>
      <c r="C70" s="825">
        <f ca="1">ROUND(C67*10000/F70,0)</f>
        <v>-1152</v>
      </c>
      <c r="D70" s="826" t="s">
        <v>1810</v>
      </c>
      <c r="E70" s="827" t="s">
        <v>1811</v>
      </c>
      <c r="F70" s="828">
        <f ca="1">F43</f>
        <v>3063.89</v>
      </c>
      <c r="O70" s="2364" t="s">
        <v>2396</v>
      </c>
      <c r="P70" s="2370" t="s">
        <v>2397</v>
      </c>
      <c r="Q70" s="2363">
        <f ca="1">C39</f>
        <v>105</v>
      </c>
      <c r="R70" s="2362" t="s">
        <v>2377</v>
      </c>
    </row>
    <row r="71" spans="1:18" ht="16.2" thickBot="1">
      <c r="O71" s="2364" t="s">
        <v>2398</v>
      </c>
      <c r="P71" s="2370" t="s">
        <v>2399</v>
      </c>
      <c r="Q71" s="2363">
        <f ca="1">C13</f>
        <v>1055</v>
      </c>
      <c r="R71" s="2362" t="s">
        <v>2377</v>
      </c>
    </row>
    <row r="72" spans="1:18" ht="16.2" thickBot="1">
      <c r="O72" s="2364" t="s">
        <v>2400</v>
      </c>
      <c r="P72" s="2370" t="s">
        <v>2401</v>
      </c>
      <c r="Q72" s="2365">
        <f ca="1">J36</f>
        <v>0.08</v>
      </c>
      <c r="R72" s="2366"/>
    </row>
    <row r="73" spans="1:18" ht="16.2" thickBot="1">
      <c r="O73" s="2364" t="s">
        <v>2383</v>
      </c>
      <c r="P73" s="2362" t="s">
        <v>2390</v>
      </c>
      <c r="Q73" s="2365">
        <f>L52</f>
        <v>0</v>
      </c>
      <c r="R73" s="2366"/>
    </row>
    <row r="74" spans="1:18" ht="19.2" thickBot="1">
      <c r="O74" s="2364" t="s">
        <v>2385</v>
      </c>
      <c r="P74" s="2362" t="s">
        <v>2391</v>
      </c>
      <c r="Q74" s="2363" t="e">
        <f ca="1">L58</f>
        <v>#DIV/0!</v>
      </c>
      <c r="R74" s="2366" t="s">
        <v>2392</v>
      </c>
    </row>
    <row r="75" spans="1:18" ht="16.2" thickBot="1">
      <c r="O75" s="2364" t="s">
        <v>2414</v>
      </c>
      <c r="P75" s="2362" t="str">
        <f>K59</f>
        <v>建设期及建筑物耐用年限下的土地年期修正系数Kn</v>
      </c>
      <c r="Q75" s="2363" t="e">
        <f ca="1">L59</f>
        <v>#DIV/0!</v>
      </c>
      <c r="R75" s="2366" t="s">
        <v>2394</v>
      </c>
    </row>
    <row r="76" spans="1:18" ht="16.2" thickBot="1">
      <c r="O76" s="2361" t="s">
        <v>2388</v>
      </c>
      <c r="P76" s="2362" t="s">
        <v>2405</v>
      </c>
      <c r="Q76" s="2363">
        <f ca="1">Q66+Q67</f>
        <v>2324</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78" t="s">
        <v>2468</v>
      </c>
      <c r="B1" s="3479"/>
      <c r="C1" s="3480"/>
      <c r="D1" s="3481">
        <f>SUM(I10,I15,I20,I21,I23)</f>
        <v>0</v>
      </c>
      <c r="E1" s="3481"/>
      <c r="F1" s="3481"/>
      <c r="G1" s="3481"/>
      <c r="H1" s="3481"/>
      <c r="I1" s="3482"/>
    </row>
    <row r="2" spans="1:9">
      <c r="A2" s="3468" t="s">
        <v>2469</v>
      </c>
      <c r="B2" s="3469" t="s">
        <v>2470</v>
      </c>
      <c r="C2" s="3469"/>
      <c r="D2" s="2470" t="s">
        <v>2471</v>
      </c>
      <c r="E2" s="2470" t="s">
        <v>2472</v>
      </c>
      <c r="F2" s="2470" t="s">
        <v>2473</v>
      </c>
      <c r="G2" s="2470" t="s">
        <v>2474</v>
      </c>
      <c r="H2" s="2470" t="s">
        <v>2475</v>
      </c>
      <c r="I2" s="2471" t="s">
        <v>2476</v>
      </c>
    </row>
    <row r="3" spans="1:9">
      <c r="A3" s="3468"/>
      <c r="B3" s="3469" t="s">
        <v>2477</v>
      </c>
      <c r="C3" s="3469"/>
      <c r="D3" s="2472"/>
      <c r="E3" s="2470"/>
      <c r="F3" s="2473"/>
      <c r="G3" s="2473"/>
      <c r="H3" s="2474"/>
      <c r="I3" s="2475">
        <f>ROUND(D3*E3*F3*G3*H3/10000,0)</f>
        <v>0</v>
      </c>
    </row>
    <row r="4" spans="1:9">
      <c r="A4" s="3468"/>
      <c r="B4" s="3469" t="s">
        <v>2478</v>
      </c>
      <c r="C4" s="3469"/>
      <c r="D4" s="2472"/>
      <c r="E4" s="2470"/>
      <c r="F4" s="2473"/>
      <c r="G4" s="2473"/>
      <c r="H4" s="2474"/>
      <c r="I4" s="2475">
        <f t="shared" ref="I4:I9" si="0">ROUND(D4*E4*F4*G4*H4/10000,0)</f>
        <v>0</v>
      </c>
    </row>
    <row r="5" spans="1:9">
      <c r="A5" s="3468"/>
      <c r="B5" s="3469" t="s">
        <v>2479</v>
      </c>
      <c r="C5" s="3469"/>
      <c r="D5" s="2472"/>
      <c r="E5" s="2470"/>
      <c r="F5" s="2473"/>
      <c r="G5" s="2473"/>
      <c r="H5" s="2474"/>
      <c r="I5" s="2475">
        <f t="shared" si="0"/>
        <v>0</v>
      </c>
    </row>
    <row r="6" spans="1:9">
      <c r="A6" s="3468"/>
      <c r="B6" s="3469" t="s">
        <v>2480</v>
      </c>
      <c r="C6" s="3469"/>
      <c r="D6" s="2472"/>
      <c r="E6" s="2470"/>
      <c r="F6" s="2473"/>
      <c r="G6" s="2473"/>
      <c r="H6" s="2474"/>
      <c r="I6" s="2475">
        <f t="shared" si="0"/>
        <v>0</v>
      </c>
    </row>
    <row r="7" spans="1:9">
      <c r="A7" s="3468"/>
      <c r="B7" s="3469" t="s">
        <v>2481</v>
      </c>
      <c r="C7" s="3469"/>
      <c r="D7" s="2472"/>
      <c r="E7" s="2470"/>
      <c r="F7" s="2473"/>
      <c r="G7" s="2473"/>
      <c r="H7" s="2474"/>
      <c r="I7" s="2475">
        <f t="shared" si="0"/>
        <v>0</v>
      </c>
    </row>
    <row r="8" spans="1:9">
      <c r="A8" s="3468"/>
      <c r="B8" s="3469" t="s">
        <v>2482</v>
      </c>
      <c r="C8" s="3469"/>
      <c r="D8" s="2472"/>
      <c r="E8" s="2470"/>
      <c r="F8" s="2473"/>
      <c r="G8" s="2473"/>
      <c r="H8" s="2474"/>
      <c r="I8" s="2475">
        <f t="shared" si="0"/>
        <v>0</v>
      </c>
    </row>
    <row r="9" spans="1:9">
      <c r="A9" s="3468"/>
      <c r="B9" s="3469" t="s">
        <v>2483</v>
      </c>
      <c r="C9" s="3469"/>
      <c r="D9" s="2472"/>
      <c r="E9" s="2470"/>
      <c r="F9" s="2473"/>
      <c r="G9" s="2473"/>
      <c r="H9" s="2474"/>
      <c r="I9" s="2475">
        <f t="shared" si="0"/>
        <v>0</v>
      </c>
    </row>
    <row r="10" spans="1:9">
      <c r="A10" s="3468"/>
      <c r="B10" s="3470" t="s">
        <v>2484</v>
      </c>
      <c r="C10" s="3470"/>
      <c r="D10" s="2476">
        <v>527</v>
      </c>
      <c r="E10" s="2476" t="e">
        <f>ROUND(D1*10000/D10/H9,0)</f>
        <v>#DIV/0!</v>
      </c>
      <c r="F10" s="2477"/>
      <c r="G10" s="2477"/>
      <c r="H10" s="2478"/>
      <c r="I10" s="2479">
        <f>SUM(I3:I9)</f>
        <v>0</v>
      </c>
    </row>
    <row r="11" spans="1:9" ht="15.6">
      <c r="A11" s="3468" t="s">
        <v>2485</v>
      </c>
      <c r="B11" s="3469" t="s">
        <v>2486</v>
      </c>
      <c r="C11" s="3469"/>
      <c r="D11" s="2472" t="s">
        <v>2487</v>
      </c>
      <c r="E11" s="2472" t="s">
        <v>2488</v>
      </c>
      <c r="F11" s="2473" t="s">
        <v>2489</v>
      </c>
      <c r="G11" s="2473" t="s">
        <v>2490</v>
      </c>
      <c r="H11" s="2480" t="s">
        <v>2491</v>
      </c>
      <c r="I11" s="2471" t="s">
        <v>2492</v>
      </c>
    </row>
    <row r="12" spans="1:9">
      <c r="A12" s="3468"/>
      <c r="B12" s="3469" t="s">
        <v>2493</v>
      </c>
      <c r="C12" s="3469"/>
      <c r="D12" s="2472"/>
      <c r="E12" s="2472"/>
      <c r="F12" s="2473"/>
      <c r="G12" s="2474"/>
      <c r="H12" s="2481"/>
      <c r="I12" s="2471">
        <f>ROUND(D12*E12*F12*G12/10000,0)</f>
        <v>0</v>
      </c>
    </row>
    <row r="13" spans="1:9">
      <c r="A13" s="3468"/>
      <c r="B13" s="3469" t="s">
        <v>2494</v>
      </c>
      <c r="C13" s="3469"/>
      <c r="D13" s="2472"/>
      <c r="E13" s="2472"/>
      <c r="F13" s="2473"/>
      <c r="G13" s="2474"/>
      <c r="H13" s="2481"/>
      <c r="I13" s="2471">
        <f>ROUND(D13*E13*F13*G13/10000,0)</f>
        <v>0</v>
      </c>
    </row>
    <row r="14" spans="1:9">
      <c r="A14" s="3468"/>
      <c r="B14" s="3469" t="s">
        <v>2495</v>
      </c>
      <c r="C14" s="3469"/>
      <c r="D14" s="2472"/>
      <c r="E14" s="2472"/>
      <c r="F14" s="2473"/>
      <c r="G14" s="2474"/>
      <c r="H14" s="2481"/>
      <c r="I14" s="2471">
        <f>ROUND(D14*E14*F14*G14/10000,0)</f>
        <v>0</v>
      </c>
    </row>
    <row r="15" spans="1:9">
      <c r="A15" s="3468"/>
      <c r="B15" s="3470" t="s">
        <v>2484</v>
      </c>
      <c r="C15" s="3470"/>
      <c r="D15" s="2476"/>
      <c r="E15" s="2476">
        <f>SUM(E12:E14)</f>
        <v>0</v>
      </c>
      <c r="F15" s="2477"/>
      <c r="G15" s="2474"/>
      <c r="H15" s="2481"/>
      <c r="I15" s="2482">
        <f>SUM(I12:I14)</f>
        <v>0</v>
      </c>
    </row>
    <row r="16" spans="1:9" ht="24">
      <c r="A16" s="3468" t="s">
        <v>2496</v>
      </c>
      <c r="B16" s="3469" t="s">
        <v>2497</v>
      </c>
      <c r="C16" s="3469"/>
      <c r="D16" s="2472" t="s">
        <v>2498</v>
      </c>
      <c r="E16" s="2483" t="s">
        <v>2499</v>
      </c>
      <c r="F16" s="2473" t="s">
        <v>2500</v>
      </c>
      <c r="G16" s="2474" t="s">
        <v>2490</v>
      </c>
      <c r="H16" s="2480" t="s">
        <v>2491</v>
      </c>
      <c r="I16" s="2471" t="s">
        <v>2492</v>
      </c>
    </row>
    <row r="17" spans="1:9" ht="15.6">
      <c r="A17" s="3468"/>
      <c r="B17" s="3469" t="s">
        <v>2501</v>
      </c>
      <c r="C17" s="3469"/>
      <c r="D17" s="2472"/>
      <c r="E17" s="2472"/>
      <c r="F17" s="2473"/>
      <c r="G17" s="2474"/>
      <c r="H17" s="2484"/>
      <c r="I17" s="2485">
        <f>ROUND(D17*E17*F17*G17/10000,0)</f>
        <v>0</v>
      </c>
    </row>
    <row r="18" spans="1:9" ht="15.6">
      <c r="A18" s="3468"/>
      <c r="B18" s="3469" t="s">
        <v>2502</v>
      </c>
      <c r="C18" s="3469"/>
      <c r="D18" s="2472"/>
      <c r="E18" s="2472"/>
      <c r="F18" s="2473"/>
      <c r="G18" s="2474"/>
      <c r="H18" s="2484"/>
      <c r="I18" s="2485">
        <f>ROUND(D18*E18*F18*G18/10000,0)</f>
        <v>0</v>
      </c>
    </row>
    <row r="19" spans="1:9" ht="15.6">
      <c r="A19" s="3468"/>
      <c r="B19" s="3469" t="s">
        <v>2503</v>
      </c>
      <c r="C19" s="3469"/>
      <c r="D19" s="2472"/>
      <c r="E19" s="2472"/>
      <c r="F19" s="2473"/>
      <c r="G19" s="2474"/>
      <c r="H19" s="2484"/>
      <c r="I19" s="2485">
        <f>ROUND(D19*E19*F19*G19/10000,0)</f>
        <v>0</v>
      </c>
    </row>
    <row r="20" spans="1:9">
      <c r="A20" s="3468"/>
      <c r="B20" s="3470" t="s">
        <v>2484</v>
      </c>
      <c r="C20" s="3470"/>
      <c r="D20" s="2476">
        <f>SUM(D17:D19)</f>
        <v>0</v>
      </c>
      <c r="E20" s="2476"/>
      <c r="F20" s="2477"/>
      <c r="G20" s="2474"/>
      <c r="H20" s="2481"/>
      <c r="I20" s="2482">
        <f>SUM(I17:I19)</f>
        <v>0</v>
      </c>
    </row>
    <row r="21" spans="1:9">
      <c r="A21" s="3468" t="s">
        <v>2504</v>
      </c>
      <c r="B21" s="3471"/>
      <c r="C21" s="3471"/>
      <c r="D21" s="3471"/>
      <c r="E21" s="3471"/>
      <c r="F21" s="3471"/>
      <c r="G21" s="3471"/>
      <c r="H21" s="2486">
        <v>0.1</v>
      </c>
      <c r="I21" s="2479">
        <f>ROUND(I10*H21,0)</f>
        <v>0</v>
      </c>
    </row>
    <row r="22" spans="1:9" ht="15.6">
      <c r="A22" s="3472" t="s">
        <v>2505</v>
      </c>
      <c r="B22" s="3473"/>
      <c r="C22" s="3474"/>
      <c r="D22" s="2487" t="s">
        <v>2506</v>
      </c>
      <c r="E22" s="2487" t="s">
        <v>2507</v>
      </c>
      <c r="F22" s="2488" t="s">
        <v>2508</v>
      </c>
      <c r="G22" s="2488" t="s">
        <v>2509</v>
      </c>
      <c r="H22" s="2480" t="s">
        <v>2510</v>
      </c>
      <c r="I22" s="2471" t="s">
        <v>2511</v>
      </c>
    </row>
    <row r="23" spans="1:9" ht="15" thickBot="1">
      <c r="A23" s="3475"/>
      <c r="B23" s="3476"/>
      <c r="C23" s="3477"/>
      <c r="D23" s="2489"/>
      <c r="E23" s="2489"/>
      <c r="F23" s="2489"/>
      <c r="G23" s="2490"/>
      <c r="H23" s="2491"/>
      <c r="I23" s="2492">
        <f>ROUND(E23*D23*F23*(1-G23)/10000,0)</f>
        <v>0</v>
      </c>
    </row>
    <row r="26" spans="1:9">
      <c r="A26" s="2493" t="s">
        <v>2512</v>
      </c>
      <c r="B26" s="2493"/>
      <c r="C26" s="2493"/>
      <c r="D26" s="2493"/>
      <c r="E26" s="3465">
        <f>C27-C30-C31-C32</f>
        <v>0</v>
      </c>
      <c r="F26" s="3465"/>
      <c r="G26" s="3465"/>
      <c r="H26" s="2994" t="s">
        <v>2839</v>
      </c>
    </row>
    <row r="27" spans="1:9">
      <c r="A27" s="2494">
        <v>1</v>
      </c>
      <c r="B27" s="2495" t="s">
        <v>2513</v>
      </c>
      <c r="C27" s="2495"/>
      <c r="D27" s="2495"/>
      <c r="E27" s="3466"/>
      <c r="F27" s="3466"/>
      <c r="G27" s="3466"/>
    </row>
    <row r="28" spans="1:9">
      <c r="A28" s="2496" t="s">
        <v>2514</v>
      </c>
      <c r="B28" s="2495" t="s">
        <v>2515</v>
      </c>
      <c r="C28" s="2495"/>
      <c r="D28" s="2495"/>
      <c r="E28" s="3466"/>
      <c r="F28" s="3466"/>
      <c r="G28" s="3466"/>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467"/>
      <c r="F32" s="3467"/>
      <c r="G32" s="3467"/>
    </row>
    <row r="33" spans="1:7" hidden="1">
      <c r="A33" s="3462" t="s">
        <v>2523</v>
      </c>
      <c r="B33" s="3463"/>
      <c r="C33" s="3463"/>
      <c r="D33" s="3464"/>
      <c r="E33" s="3465"/>
      <c r="F33" s="3465"/>
      <c r="G33" s="3465"/>
    </row>
    <row r="34" spans="1:7" hidden="1">
      <c r="A34" s="2498">
        <v>1</v>
      </c>
      <c r="B34" s="2495" t="s">
        <v>2524</v>
      </c>
      <c r="C34" s="2495"/>
      <c r="D34" s="2495"/>
      <c r="E34" s="3466"/>
      <c r="F34" s="3466"/>
      <c r="G34" s="3466"/>
    </row>
    <row r="35" spans="1:7" hidden="1">
      <c r="A35" s="2498">
        <v>2</v>
      </c>
      <c r="B35" s="2495" t="s">
        <v>2525</v>
      </c>
      <c r="C35" s="2495"/>
      <c r="D35" s="2495"/>
      <c r="E35" s="3466"/>
      <c r="F35" s="3466"/>
      <c r="G35" s="3466"/>
    </row>
    <row r="36" spans="1:7" hidden="1">
      <c r="A36" s="2498">
        <v>3</v>
      </c>
      <c r="B36" s="2495" t="s">
        <v>2526</v>
      </c>
      <c r="C36" s="2495"/>
      <c r="D36" s="2495"/>
      <c r="E36" s="3466"/>
      <c r="F36" s="3466"/>
      <c r="G36" s="3466"/>
    </row>
    <row r="37" spans="1:7" hidden="1">
      <c r="A37" s="2498">
        <v>4</v>
      </c>
      <c r="B37" s="2495" t="s">
        <v>2527</v>
      </c>
      <c r="C37" s="2495"/>
      <c r="D37" s="2495"/>
      <c r="E37" s="3466"/>
      <c r="F37" s="3466"/>
      <c r="G37" s="3466"/>
    </row>
    <row r="38" spans="1:7" hidden="1">
      <c r="A38" s="3462" t="s">
        <v>2528</v>
      </c>
      <c r="B38" s="3463"/>
      <c r="C38" s="3463"/>
      <c r="D38" s="3464"/>
      <c r="E38" s="3465"/>
      <c r="F38" s="3465"/>
      <c r="G38" s="34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1684</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61277.75</v>
      </c>
      <c r="E10" s="749">
        <f>'数据-取费表'!B31</f>
        <v>200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699</v>
      </c>
      <c r="D12" s="758">
        <f>'数据-汇总表'!E5</f>
        <v>58213.86</v>
      </c>
      <c r="E12" s="757">
        <f>'数据-取费表'!B27</f>
        <v>120</v>
      </c>
      <c r="F12" s="755"/>
      <c r="G12" s="759"/>
    </row>
    <row r="13" spans="1:25" s="2167" customFormat="1" ht="13.5" customHeight="1">
      <c r="A13" s="2439" t="s">
        <v>2444</v>
      </c>
      <c r="B13" s="756" t="s">
        <v>612</v>
      </c>
      <c r="C13" s="757">
        <f>ROUND(D13*E13/10000,0)</f>
        <v>37</v>
      </c>
      <c r="D13" s="758">
        <f>'数据-汇总表'!E6</f>
        <v>3063.8899999999994</v>
      </c>
      <c r="E13" s="757">
        <f>'数据-取费表'!B28</f>
        <v>120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0.92900000000000005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4" zoomScale="80" zoomScaleNormal="80" workbookViewId="0">
      <selection activeCell="M17" sqref="M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6" t="s">
        <v>719</v>
      </c>
      <c r="C1" s="2587" t="s">
        <v>720</v>
      </c>
      <c r="D1" s="2588"/>
      <c r="E1" s="2589"/>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t="e">
        <f>ROUND(B3*D3/10000,0)</f>
        <v>#DIV/0!</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4.4">
      <c r="A4" s="512" t="s">
        <v>521</v>
      </c>
      <c r="B4" s="513"/>
      <c r="C4" s="3386" t="s">
        <v>522</v>
      </c>
      <c r="D4" s="3387"/>
      <c r="E4" s="3410" t="s">
        <v>523</v>
      </c>
      <c r="F4" s="3411"/>
      <c r="G4" s="3386" t="s">
        <v>524</v>
      </c>
      <c r="H4" s="3387"/>
      <c r="I4" s="3386" t="s">
        <v>525</v>
      </c>
      <c r="J4" s="3387"/>
      <c r="K4" s="853" t="s">
        <v>526</v>
      </c>
      <c r="L4" s="2117"/>
      <c r="M4" s="2118"/>
      <c r="N4" s="2118"/>
      <c r="O4" s="2118"/>
      <c r="P4" s="3388" t="s">
        <v>527</v>
      </c>
      <c r="Q4" s="3389"/>
      <c r="R4" s="3374" t="s">
        <v>523</v>
      </c>
      <c r="S4" s="3375"/>
      <c r="T4" s="3374" t="s">
        <v>524</v>
      </c>
      <c r="U4" s="3375"/>
      <c r="V4" s="3394" t="s">
        <v>525</v>
      </c>
      <c r="W4" s="3394"/>
      <c r="X4" s="1554"/>
      <c r="Y4" s="3374" t="s">
        <v>527</v>
      </c>
      <c r="Z4" s="3375"/>
      <c r="AA4" s="3369" t="s">
        <v>523</v>
      </c>
      <c r="AB4" s="3369" t="s">
        <v>524</v>
      </c>
      <c r="AC4" s="3369" t="s">
        <v>525</v>
      </c>
    </row>
    <row r="5" spans="1:29">
      <c r="A5" s="515"/>
      <c r="B5" s="516"/>
      <c r="C5" s="3397" t="s">
        <v>2922</v>
      </c>
      <c r="D5" s="3398"/>
      <c r="E5" s="3412" t="s">
        <v>2923</v>
      </c>
      <c r="F5" s="3413"/>
      <c r="G5" s="3397" t="s">
        <v>2924</v>
      </c>
      <c r="H5" s="3398"/>
      <c r="I5" s="3397" t="s">
        <v>2925</v>
      </c>
      <c r="J5" s="3398"/>
      <c r="K5" s="854"/>
      <c r="L5" s="2117"/>
      <c r="M5" s="2118"/>
      <c r="N5" s="2118"/>
      <c r="O5" s="2118"/>
      <c r="P5" s="3390"/>
      <c r="Q5" s="3391"/>
      <c r="R5" s="3376"/>
      <c r="S5" s="3377"/>
      <c r="T5" s="3376"/>
      <c r="U5" s="3377"/>
      <c r="V5" s="3394"/>
      <c r="W5" s="3394"/>
      <c r="X5" s="1554"/>
      <c r="Y5" s="3376"/>
      <c r="Z5" s="3377"/>
      <c r="AA5" s="3370"/>
      <c r="AB5" s="3370"/>
      <c r="AC5" s="3370"/>
    </row>
    <row r="6" spans="1:29" ht="15" thickBot="1">
      <c r="A6" s="517"/>
      <c r="B6" s="518"/>
      <c r="C6" s="3395" t="s">
        <v>2926</v>
      </c>
      <c r="D6" s="3396"/>
      <c r="E6" s="3414" t="s">
        <v>2926</v>
      </c>
      <c r="F6" s="3415"/>
      <c r="G6" s="3395" t="s">
        <v>2926</v>
      </c>
      <c r="H6" s="3396"/>
      <c r="I6" s="3395" t="s">
        <v>2926</v>
      </c>
      <c r="J6" s="3396"/>
      <c r="K6" s="854" t="s">
        <v>528</v>
      </c>
      <c r="L6" s="2117"/>
      <c r="M6" s="2118"/>
      <c r="N6" s="2118"/>
      <c r="O6" s="2118"/>
      <c r="P6" s="3392"/>
      <c r="Q6" s="3393"/>
      <c r="R6" s="3376"/>
      <c r="S6" s="3377"/>
      <c r="T6" s="3378"/>
      <c r="U6" s="3379"/>
      <c r="V6" s="3394"/>
      <c r="W6" s="3394"/>
      <c r="X6" s="1554"/>
      <c r="Y6" s="3378"/>
      <c r="Z6" s="3379"/>
      <c r="AA6" s="3371"/>
      <c r="AB6" s="3371"/>
      <c r="AC6" s="3371"/>
    </row>
    <row r="7" spans="1:29" s="1216" customFormat="1" ht="15" thickBot="1">
      <c r="A7" s="2866"/>
      <c r="B7" s="2873" t="s">
        <v>529</v>
      </c>
      <c r="C7" s="519">
        <f>'数据-取费表'!B2</f>
        <v>43905</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72" t="s">
        <v>530</v>
      </c>
      <c r="Q7" s="3381"/>
      <c r="R7" s="1555" t="s">
        <v>13</v>
      </c>
      <c r="S7" s="1556">
        <f t="shared" ref="S7:S15" si="0">F7</f>
        <v>0</v>
      </c>
      <c r="T7" s="1555" t="s">
        <v>13</v>
      </c>
      <c r="U7" s="1556">
        <f t="shared" ref="U7:U15" si="1">H7</f>
        <v>0</v>
      </c>
      <c r="V7" s="1555" t="s">
        <v>13</v>
      </c>
      <c r="W7" s="1556">
        <f t="shared" ref="W7:W15" si="2">J7</f>
        <v>0</v>
      </c>
      <c r="X7" s="1557"/>
      <c r="Y7" s="3372" t="s">
        <v>530</v>
      </c>
      <c r="Z7" s="3373"/>
      <c r="AA7" s="1558" t="e">
        <f>D7/F7</f>
        <v>#DIV/0!</v>
      </c>
      <c r="AB7" s="1558" t="e">
        <f>D7/H7</f>
        <v>#DIV/0!</v>
      </c>
      <c r="AC7" s="1558" t="e">
        <f>D7/J7</f>
        <v>#DIV/0!</v>
      </c>
    </row>
    <row r="8" spans="1:29" s="1216" customFormat="1" ht="1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72" t="s">
        <v>533</v>
      </c>
      <c r="Q8" s="3373"/>
      <c r="R8" s="1555" t="s">
        <v>13</v>
      </c>
      <c r="S8" s="1556">
        <f t="shared" si="0"/>
        <v>0</v>
      </c>
      <c r="T8" s="1555" t="s">
        <v>13</v>
      </c>
      <c r="U8" s="1556">
        <f t="shared" si="1"/>
        <v>0</v>
      </c>
      <c r="V8" s="1555" t="s">
        <v>13</v>
      </c>
      <c r="W8" s="1556">
        <f t="shared" si="2"/>
        <v>0</v>
      </c>
      <c r="X8" s="1557"/>
      <c r="Y8" s="3372" t="s">
        <v>533</v>
      </c>
      <c r="Z8" s="3373"/>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0" t="s">
        <v>535</v>
      </c>
      <c r="Q9" s="1147" t="str">
        <f t="shared" ref="Q9:Q15" si="6">B9</f>
        <v>用途</v>
      </c>
      <c r="R9" s="1555" t="s">
        <v>8</v>
      </c>
      <c r="S9" s="1556">
        <f t="shared" si="0"/>
        <v>100</v>
      </c>
      <c r="T9" s="1555" t="s">
        <v>8</v>
      </c>
      <c r="U9" s="1556">
        <f t="shared" si="1"/>
        <v>100</v>
      </c>
      <c r="V9" s="1555" t="s">
        <v>8</v>
      </c>
      <c r="W9" s="1556">
        <f t="shared" si="2"/>
        <v>100</v>
      </c>
      <c r="X9" s="1557"/>
      <c r="Y9" s="3337"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0"/>
      <c r="B11" s="2874"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0"/>
      <c r="Q11" s="1147" t="str">
        <f t="shared" si="6"/>
        <v>容积率</v>
      </c>
      <c r="R11" s="1555" t="s">
        <v>11</v>
      </c>
      <c r="S11" s="1556" t="e">
        <f t="shared" si="0"/>
        <v>#N/A</v>
      </c>
      <c r="T11" s="1555" t="s">
        <v>11</v>
      </c>
      <c r="U11" s="1556" t="e">
        <f t="shared" si="1"/>
        <v>#N/A</v>
      </c>
      <c r="V11" s="1555" t="s">
        <v>11</v>
      </c>
      <c r="W11" s="1556" t="e">
        <f t="shared" si="2"/>
        <v>#N/A</v>
      </c>
      <c r="X11" s="1557"/>
      <c r="Y11" s="333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0"/>
      <c r="Q12" s="1147">
        <f t="shared" si="6"/>
        <v>111</v>
      </c>
      <c r="R12" s="1555" t="s">
        <v>11</v>
      </c>
      <c r="S12" s="1556">
        <f t="shared" si="0"/>
        <v>100</v>
      </c>
      <c r="T12" s="1555" t="s">
        <v>11</v>
      </c>
      <c r="U12" s="1556">
        <f t="shared" si="1"/>
        <v>100</v>
      </c>
      <c r="V12" s="1555" t="s">
        <v>11</v>
      </c>
      <c r="W12" s="1556">
        <f t="shared" si="2"/>
        <v>100</v>
      </c>
      <c r="X12" s="1557"/>
      <c r="Y12" s="3337"/>
      <c r="Z12" s="1146">
        <f t="shared" si="7"/>
        <v>111</v>
      </c>
      <c r="AA12" s="1558">
        <f>D12/F12</f>
        <v>1</v>
      </c>
      <c r="AB12" s="1558">
        <f>D12/H12</f>
        <v>1</v>
      </c>
      <c r="AC12" s="1558">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0"/>
      <c r="Q13" s="1147">
        <f t="shared" si="6"/>
        <v>111</v>
      </c>
      <c r="R13" s="1555" t="s">
        <v>11</v>
      </c>
      <c r="S13" s="1556">
        <f t="shared" si="0"/>
        <v>100</v>
      </c>
      <c r="T13" s="1555" t="s">
        <v>11</v>
      </c>
      <c r="U13" s="1556">
        <f t="shared" si="1"/>
        <v>100</v>
      </c>
      <c r="V13" s="1555" t="s">
        <v>11</v>
      </c>
      <c r="W13" s="1556">
        <f t="shared" si="2"/>
        <v>100</v>
      </c>
      <c r="X13" s="1557"/>
      <c r="Y13" s="3337"/>
      <c r="Z13" s="1146">
        <f t="shared" si="7"/>
        <v>111</v>
      </c>
      <c r="AA13" s="1558">
        <f t="shared" si="3"/>
        <v>1</v>
      </c>
      <c r="AB13" s="1558">
        <f t="shared" si="4"/>
        <v>1</v>
      </c>
      <c r="AC13" s="1558">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0"/>
      <c r="Q14" s="1147">
        <f t="shared" si="6"/>
        <v>111</v>
      </c>
      <c r="R14" s="1555" t="s">
        <v>11</v>
      </c>
      <c r="S14" s="1556">
        <f t="shared" si="0"/>
        <v>100</v>
      </c>
      <c r="T14" s="1555" t="s">
        <v>11</v>
      </c>
      <c r="U14" s="1556">
        <f t="shared" si="1"/>
        <v>100</v>
      </c>
      <c r="V14" s="1555" t="s">
        <v>11</v>
      </c>
      <c r="W14" s="1556">
        <f t="shared" si="2"/>
        <v>100</v>
      </c>
      <c r="X14" s="1557"/>
      <c r="Y14" s="3337"/>
      <c r="Z14" s="1146">
        <f t="shared" si="7"/>
        <v>111</v>
      </c>
      <c r="AA14" s="1558">
        <f t="shared" si="3"/>
        <v>1</v>
      </c>
      <c r="AB14" s="1558">
        <f t="shared" si="4"/>
        <v>1</v>
      </c>
      <c r="AC14" s="1558">
        <f t="shared" si="5"/>
        <v>1</v>
      </c>
    </row>
    <row r="15" spans="1:29" ht="15">
      <c r="A15" s="2864"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82" t="s">
        <v>540</v>
      </c>
      <c r="Q15" s="1559" t="str">
        <f t="shared" si="6"/>
        <v>居住社区成熟度</v>
      </c>
      <c r="R15" s="1560" t="s">
        <v>11</v>
      </c>
      <c r="S15" s="1561">
        <f t="shared" si="0"/>
        <v>100</v>
      </c>
      <c r="T15" s="1560" t="s">
        <v>11</v>
      </c>
      <c r="U15" s="1561">
        <f t="shared" si="1"/>
        <v>100</v>
      </c>
      <c r="V15" s="1560" t="s">
        <v>11</v>
      </c>
      <c r="W15" s="1561">
        <f t="shared" si="2"/>
        <v>100</v>
      </c>
      <c r="X15" s="1554"/>
      <c r="Y15" s="338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6"/>
      <c r="M16" s="2118"/>
      <c r="N16" s="2118"/>
      <c r="O16" s="2125"/>
      <c r="P16" s="3383"/>
      <c r="Q16" s="1559"/>
      <c r="R16" s="1560"/>
      <c r="S16" s="1561"/>
      <c r="T16" s="1560"/>
      <c r="U16" s="1561"/>
      <c r="V16" s="1560"/>
      <c r="W16" s="1561"/>
      <c r="X16" s="1554"/>
      <c r="Y16" s="3383"/>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83"/>
      <c r="Q17" s="1559" t="str">
        <f>B17</f>
        <v>交通便捷度</v>
      </c>
      <c r="R17" s="1560" t="s">
        <v>11</v>
      </c>
      <c r="S17" s="1561">
        <f>F17</f>
        <v>100</v>
      </c>
      <c r="T17" s="1560" t="s">
        <v>11</v>
      </c>
      <c r="U17" s="1561">
        <f>H17</f>
        <v>100</v>
      </c>
      <c r="V17" s="1560" t="s">
        <v>11</v>
      </c>
      <c r="W17" s="1561">
        <f>J17</f>
        <v>100</v>
      </c>
      <c r="X17" s="1554"/>
      <c r="Y17" s="338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6"/>
      <c r="M18" s="2118"/>
      <c r="N18" s="2118"/>
      <c r="O18" s="2125"/>
      <c r="P18" s="3383"/>
      <c r="Q18" s="1559"/>
      <c r="R18" s="1560"/>
      <c r="S18" s="1561"/>
      <c r="T18" s="1560"/>
      <c r="U18" s="1561"/>
      <c r="V18" s="1560"/>
      <c r="W18" s="1561"/>
      <c r="X18" s="1554"/>
      <c r="Y18" s="3383"/>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83"/>
      <c r="Q19" s="1559" t="str">
        <f>B19</f>
        <v>公共配套设施</v>
      </c>
      <c r="R19" s="1560" t="s">
        <v>11</v>
      </c>
      <c r="S19" s="1561">
        <f>F19</f>
        <v>100</v>
      </c>
      <c r="T19" s="1560" t="s">
        <v>11</v>
      </c>
      <c r="U19" s="1561">
        <f>H19</f>
        <v>100</v>
      </c>
      <c r="V19" s="1560" t="s">
        <v>11</v>
      </c>
      <c r="W19" s="1561">
        <f>J19</f>
        <v>100</v>
      </c>
      <c r="X19" s="1554"/>
      <c r="Y19" s="338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6"/>
      <c r="M20" s="2118"/>
      <c r="N20" s="2118"/>
      <c r="O20" s="2125"/>
      <c r="P20" s="3383"/>
      <c r="Q20" s="1559"/>
      <c r="R20" s="1560"/>
      <c r="S20" s="1561"/>
      <c r="T20" s="1560"/>
      <c r="U20" s="1561"/>
      <c r="V20" s="1560"/>
      <c r="W20" s="1561"/>
      <c r="X20" s="1554"/>
      <c r="Y20" s="3383"/>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83"/>
      <c r="Q21" s="2542" t="str">
        <f>B21</f>
        <v>基础设施水平</v>
      </c>
      <c r="R21" s="1560" t="s">
        <v>11</v>
      </c>
      <c r="S21" s="1561">
        <f>F21</f>
        <v>100</v>
      </c>
      <c r="T21" s="1560" t="s">
        <v>11</v>
      </c>
      <c r="U21" s="1561">
        <f>H21</f>
        <v>100</v>
      </c>
      <c r="V21" s="1560" t="s">
        <v>11</v>
      </c>
      <c r="W21" s="1561">
        <f>J21</f>
        <v>100</v>
      </c>
      <c r="X21" s="2544"/>
      <c r="Y21" s="3383"/>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2"/>
      <c r="L22" s="2126"/>
      <c r="M22" s="2118"/>
      <c r="N22" s="2118"/>
      <c r="O22" s="2125"/>
      <c r="P22" s="3383"/>
      <c r="Q22" s="2542"/>
      <c r="R22" s="1560"/>
      <c r="S22" s="1561"/>
      <c r="T22" s="1560"/>
      <c r="U22" s="1561"/>
      <c r="V22" s="1560"/>
      <c r="W22" s="1561"/>
      <c r="X22" s="2544"/>
      <c r="Y22" s="3383"/>
      <c r="Z22" s="2543"/>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83"/>
      <c r="Q23" s="1559" t="str">
        <f>B23</f>
        <v>自然及人文环境</v>
      </c>
      <c r="R23" s="1560" t="s">
        <v>11</v>
      </c>
      <c r="S23" s="1561">
        <f>F23</f>
        <v>100</v>
      </c>
      <c r="T23" s="1560" t="s">
        <v>11</v>
      </c>
      <c r="U23" s="1561">
        <f>H23</f>
        <v>100</v>
      </c>
      <c r="V23" s="1560" t="s">
        <v>11</v>
      </c>
      <c r="W23" s="1561">
        <f>J23</f>
        <v>100</v>
      </c>
      <c r="X23" s="1554"/>
      <c r="Y23" s="338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6"/>
      <c r="M24" s="2118"/>
      <c r="N24" s="2118"/>
      <c r="O24" s="2125"/>
      <c r="P24" s="3383"/>
      <c r="Q24" s="1559"/>
      <c r="R24" s="1560"/>
      <c r="S24" s="1561"/>
      <c r="T24" s="1560"/>
      <c r="U24" s="1561"/>
      <c r="V24" s="1560"/>
      <c r="W24" s="1561"/>
      <c r="X24" s="1554"/>
      <c r="Y24" s="3383"/>
      <c r="Z24" s="1562"/>
      <c r="AA24" s="1563">
        <v>1</v>
      </c>
      <c r="AB24" s="1563">
        <v>1</v>
      </c>
      <c r="AC24" s="1563">
        <v>1</v>
      </c>
    </row>
    <row r="25" spans="1:29" ht="15">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3"/>
      <c r="Q25" s="1559" t="str">
        <f t="shared" ref="Q25:Q46" si="11">B25</f>
        <v>楼层-1</v>
      </c>
      <c r="R25" s="1560" t="s">
        <v>11</v>
      </c>
      <c r="S25" s="1561">
        <f>F25</f>
        <v>100</v>
      </c>
      <c r="T25" s="1560" t="s">
        <v>11</v>
      </c>
      <c r="U25" s="1561">
        <f>H25</f>
        <v>100</v>
      </c>
      <c r="V25" s="1560" t="s">
        <v>11</v>
      </c>
      <c r="W25" s="1561">
        <f>J25</f>
        <v>100</v>
      </c>
      <c r="X25" s="1554"/>
      <c r="Y25" s="338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3"/>
      <c r="Q26" s="1559" t="str">
        <f t="shared" si="11"/>
        <v>朝向</v>
      </c>
      <c r="R26" s="1560" t="s">
        <v>11</v>
      </c>
      <c r="S26" s="1561">
        <f>F26</f>
        <v>100</v>
      </c>
      <c r="T26" s="1560" t="s">
        <v>11</v>
      </c>
      <c r="U26" s="1561">
        <f>H26</f>
        <v>100</v>
      </c>
      <c r="V26" s="1560" t="s">
        <v>11</v>
      </c>
      <c r="W26" s="1561">
        <f>J26</f>
        <v>100</v>
      </c>
      <c r="X26" s="1554"/>
      <c r="Y26" s="338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3"/>
      <c r="Q27" s="1147" t="str">
        <f t="shared" si="11"/>
        <v>道路级别</v>
      </c>
      <c r="R27" s="1555" t="s">
        <v>11</v>
      </c>
      <c r="S27" s="1556">
        <f>F27</f>
        <v>100</v>
      </c>
      <c r="T27" s="1555" t="s">
        <v>11</v>
      </c>
      <c r="U27" s="1556">
        <f>H27</f>
        <v>100</v>
      </c>
      <c r="V27" s="1555" t="s">
        <v>11</v>
      </c>
      <c r="W27" s="1556">
        <f>J27</f>
        <v>100</v>
      </c>
      <c r="X27" s="1557"/>
      <c r="Y27" s="338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3"/>
      <c r="Q29" s="1559">
        <f t="shared" si="11"/>
        <v>111</v>
      </c>
      <c r="R29" s="1560" t="s">
        <v>11</v>
      </c>
      <c r="S29" s="1561">
        <f t="shared" si="12"/>
        <v>100</v>
      </c>
      <c r="T29" s="1560" t="s">
        <v>11</v>
      </c>
      <c r="U29" s="1561">
        <f t="shared" si="13"/>
        <v>100</v>
      </c>
      <c r="V29" s="1560" t="s">
        <v>11</v>
      </c>
      <c r="W29" s="1561">
        <f t="shared" si="14"/>
        <v>100</v>
      </c>
      <c r="X29" s="1554"/>
      <c r="Y29" s="338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3"/>
      <c r="Q30" s="1559">
        <f t="shared" si="11"/>
        <v>111</v>
      </c>
      <c r="R30" s="1560" t="s">
        <v>11</v>
      </c>
      <c r="S30" s="1561">
        <f t="shared" si="12"/>
        <v>100</v>
      </c>
      <c r="T30" s="1560" t="s">
        <v>11</v>
      </c>
      <c r="U30" s="1561">
        <f t="shared" si="13"/>
        <v>100</v>
      </c>
      <c r="V30" s="1560" t="s">
        <v>11</v>
      </c>
      <c r="W30" s="1561">
        <f t="shared" si="14"/>
        <v>100</v>
      </c>
      <c r="X30" s="1554"/>
      <c r="Y30" s="3383"/>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3"/>
      <c r="Q31" s="1559">
        <f t="shared" si="11"/>
        <v>111</v>
      </c>
      <c r="R31" s="1560" t="s">
        <v>11</v>
      </c>
      <c r="S31" s="1561">
        <f t="shared" si="12"/>
        <v>100</v>
      </c>
      <c r="T31" s="1560" t="s">
        <v>11</v>
      </c>
      <c r="U31" s="1561">
        <f t="shared" si="13"/>
        <v>100</v>
      </c>
      <c r="V31" s="1560" t="s">
        <v>11</v>
      </c>
      <c r="W31" s="1561">
        <f t="shared" si="14"/>
        <v>100</v>
      </c>
      <c r="X31" s="1554"/>
      <c r="Y31" s="3383"/>
      <c r="Z31" s="1562">
        <f t="shared" si="15"/>
        <v>111</v>
      </c>
      <c r="AA31" s="1563">
        <f t="shared" si="3"/>
        <v>1</v>
      </c>
      <c r="AB31" s="1563">
        <f t="shared" si="4"/>
        <v>1</v>
      </c>
      <c r="AC31" s="1563">
        <f t="shared" si="5"/>
        <v>1</v>
      </c>
    </row>
    <row r="32" spans="1:29" ht="15">
      <c r="A32" s="2861"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84" t="s">
        <v>550</v>
      </c>
      <c r="Q32" s="1559" t="str">
        <f t="shared" si="11"/>
        <v>建筑类型</v>
      </c>
      <c r="R32" s="1560" t="s">
        <v>11</v>
      </c>
      <c r="S32" s="1561">
        <f t="shared" si="12"/>
        <v>100</v>
      </c>
      <c r="T32" s="1560" t="s">
        <v>11</v>
      </c>
      <c r="U32" s="1561">
        <f t="shared" si="13"/>
        <v>100</v>
      </c>
      <c r="V32" s="1560" t="s">
        <v>11</v>
      </c>
      <c r="W32" s="1561">
        <f t="shared" si="14"/>
        <v>100</v>
      </c>
      <c r="X32" s="1554"/>
      <c r="Y32" s="338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85"/>
      <c r="Q33" s="1591" t="str">
        <f t="shared" si="11"/>
        <v>项目建筑规模</v>
      </c>
      <c r="R33" s="1564" t="s">
        <v>11</v>
      </c>
      <c r="S33" s="1565" t="e">
        <f t="shared" si="12"/>
        <v>#N/A</v>
      </c>
      <c r="T33" s="1564" t="s">
        <v>11</v>
      </c>
      <c r="U33" s="1565" t="e">
        <f t="shared" si="13"/>
        <v>#N/A</v>
      </c>
      <c r="V33" s="1564" t="s">
        <v>11</v>
      </c>
      <c r="W33" s="1565" t="e">
        <f t="shared" si="14"/>
        <v>#N/A</v>
      </c>
      <c r="X33" s="1566"/>
      <c r="Y33" s="338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85"/>
      <c r="Q34" s="1559" t="str">
        <f t="shared" si="11"/>
        <v>建筑结构</v>
      </c>
      <c r="R34" s="1560" t="s">
        <v>11</v>
      </c>
      <c r="S34" s="1561">
        <f t="shared" si="12"/>
        <v>100</v>
      </c>
      <c r="T34" s="1560" t="s">
        <v>11</v>
      </c>
      <c r="U34" s="1561">
        <f t="shared" si="13"/>
        <v>100</v>
      </c>
      <c r="V34" s="1560" t="s">
        <v>11</v>
      </c>
      <c r="W34" s="1561">
        <f t="shared" si="14"/>
        <v>100</v>
      </c>
      <c r="X34" s="1554"/>
      <c r="Y34" s="338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85"/>
      <c r="Q35" s="1559" t="str">
        <f t="shared" si="11"/>
        <v>建筑品质</v>
      </c>
      <c r="R35" s="1560" t="s">
        <v>11</v>
      </c>
      <c r="S35" s="1561">
        <f t="shared" si="12"/>
        <v>100</v>
      </c>
      <c r="T35" s="1560" t="s">
        <v>11</v>
      </c>
      <c r="U35" s="1561">
        <f t="shared" si="13"/>
        <v>100</v>
      </c>
      <c r="V35" s="1560" t="s">
        <v>11</v>
      </c>
      <c r="W35" s="1561">
        <f t="shared" si="14"/>
        <v>100</v>
      </c>
      <c r="X35" s="1554"/>
      <c r="Y35" s="338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85"/>
      <c r="Q36" s="1559" t="str">
        <f t="shared" si="11"/>
        <v>公共部分装修</v>
      </c>
      <c r="R36" s="1560" t="s">
        <v>11</v>
      </c>
      <c r="S36" s="1561">
        <f t="shared" si="12"/>
        <v>100</v>
      </c>
      <c r="T36" s="1560" t="s">
        <v>11</v>
      </c>
      <c r="U36" s="1561">
        <f t="shared" si="13"/>
        <v>100</v>
      </c>
      <c r="V36" s="1560" t="s">
        <v>11</v>
      </c>
      <c r="W36" s="1561">
        <f t="shared" si="14"/>
        <v>100</v>
      </c>
      <c r="X36" s="1554"/>
      <c r="Y36" s="338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85"/>
      <c r="Q37" s="1147" t="str">
        <f t="shared" si="11"/>
        <v>成新度</v>
      </c>
      <c r="R37" s="1555" t="s">
        <v>11</v>
      </c>
      <c r="S37" s="1556" t="e">
        <f t="shared" si="12"/>
        <v>#N/A</v>
      </c>
      <c r="T37" s="1555" t="s">
        <v>11</v>
      </c>
      <c r="U37" s="1556" t="e">
        <f t="shared" si="13"/>
        <v>#N/A</v>
      </c>
      <c r="V37" s="1555" t="s">
        <v>11</v>
      </c>
      <c r="W37" s="1556" t="e">
        <f t="shared" si="14"/>
        <v>#N/A</v>
      </c>
      <c r="X37" s="1557"/>
      <c r="Y37" s="338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85" t="s">
        <v>550</v>
      </c>
      <c r="Q38" s="1559" t="str">
        <f t="shared" si="11"/>
        <v>物业管理</v>
      </c>
      <c r="R38" s="1560" t="s">
        <v>11</v>
      </c>
      <c r="S38" s="1561">
        <f t="shared" si="12"/>
        <v>100</v>
      </c>
      <c r="T38" s="1560" t="s">
        <v>11</v>
      </c>
      <c r="U38" s="1561">
        <f t="shared" si="13"/>
        <v>100</v>
      </c>
      <c r="V38" s="1560" t="s">
        <v>11</v>
      </c>
      <c r="W38" s="1561">
        <f t="shared" si="14"/>
        <v>100</v>
      </c>
      <c r="X38" s="1554"/>
      <c r="Y38" s="3385" t="s">
        <v>550</v>
      </c>
      <c r="Z38" s="1562" t="str">
        <f t="shared" si="15"/>
        <v>物业管理</v>
      </c>
      <c r="AA38" s="1563">
        <f t="shared" si="3"/>
        <v>1</v>
      </c>
      <c r="AB38" s="1563">
        <f t="shared" si="4"/>
        <v>1</v>
      </c>
      <c r="AC38" s="1563">
        <f t="shared" si="5"/>
        <v>1</v>
      </c>
    </row>
    <row r="39" spans="1:29" ht="15">
      <c r="A39" s="594"/>
      <c r="B39" s="1879"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85"/>
      <c r="Q39" s="1559" t="str">
        <f t="shared" si="11"/>
        <v>市政基础设施</v>
      </c>
      <c r="R39" s="1560" t="s">
        <v>11</v>
      </c>
      <c r="S39" s="1561">
        <f t="shared" si="12"/>
        <v>100</v>
      </c>
      <c r="T39" s="1560" t="s">
        <v>11</v>
      </c>
      <c r="U39" s="1561">
        <f t="shared" si="13"/>
        <v>100</v>
      </c>
      <c r="V39" s="1560" t="s">
        <v>11</v>
      </c>
      <c r="W39" s="1561">
        <f t="shared" si="14"/>
        <v>100</v>
      </c>
      <c r="X39" s="1554"/>
      <c r="Y39" s="338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85"/>
      <c r="Q40" s="1559" t="str">
        <f t="shared" si="11"/>
        <v>房型</v>
      </c>
      <c r="R40" s="1560" t="s">
        <v>11</v>
      </c>
      <c r="S40" s="1561">
        <f t="shared" si="12"/>
        <v>100</v>
      </c>
      <c r="T40" s="1560" t="s">
        <v>11</v>
      </c>
      <c r="U40" s="1561">
        <f t="shared" si="13"/>
        <v>100</v>
      </c>
      <c r="V40" s="1560" t="s">
        <v>11</v>
      </c>
      <c r="W40" s="1561">
        <f t="shared" si="14"/>
        <v>100</v>
      </c>
      <c r="X40" s="1554"/>
      <c r="Y40" s="3385"/>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85"/>
      <c r="Q41" s="1591" t="str">
        <f t="shared" si="11"/>
        <v>单套/主力户型建筑面积</v>
      </c>
      <c r="R41" s="1564" t="s">
        <v>11</v>
      </c>
      <c r="S41" s="1565">
        <f t="shared" si="12"/>
        <v>100</v>
      </c>
      <c r="T41" s="1564" t="s">
        <v>11</v>
      </c>
      <c r="U41" s="1565">
        <f t="shared" si="13"/>
        <v>100</v>
      </c>
      <c r="V41" s="1564" t="s">
        <v>11</v>
      </c>
      <c r="W41" s="1565">
        <f t="shared" si="14"/>
        <v>100</v>
      </c>
      <c r="X41" s="1566"/>
      <c r="Y41" s="338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85"/>
      <c r="Q42" s="1559" t="str">
        <f t="shared" si="11"/>
        <v>内部装修</v>
      </c>
      <c r="R42" s="1560" t="s">
        <v>11</v>
      </c>
      <c r="S42" s="1561">
        <f t="shared" si="12"/>
        <v>100</v>
      </c>
      <c r="T42" s="1560" t="s">
        <v>11</v>
      </c>
      <c r="U42" s="1561">
        <f t="shared" si="13"/>
        <v>100</v>
      </c>
      <c r="V42" s="1560" t="s">
        <v>11</v>
      </c>
      <c r="W42" s="1561">
        <f t="shared" si="14"/>
        <v>100</v>
      </c>
      <c r="X42" s="1554"/>
      <c r="Y42" s="3385"/>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85"/>
      <c r="Q43" s="1559" t="str">
        <f t="shared" si="11"/>
        <v>内部装修维护情况</v>
      </c>
      <c r="R43" s="1560" t="s">
        <v>11</v>
      </c>
      <c r="S43" s="1561">
        <f t="shared" si="12"/>
        <v>100</v>
      </c>
      <c r="T43" s="1560" t="s">
        <v>11</v>
      </c>
      <c r="U43" s="1561">
        <f t="shared" si="13"/>
        <v>100</v>
      </c>
      <c r="V43" s="1560" t="s">
        <v>11</v>
      </c>
      <c r="W43" s="1561">
        <f t="shared" si="14"/>
        <v>100</v>
      </c>
      <c r="X43" s="1554"/>
      <c r="Y43" s="338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85"/>
      <c r="Q44" s="1147">
        <f t="shared" si="11"/>
        <v>111</v>
      </c>
      <c r="R44" s="1555" t="s">
        <v>11</v>
      </c>
      <c r="S44" s="1556">
        <f t="shared" si="12"/>
        <v>100</v>
      </c>
      <c r="T44" s="1555" t="s">
        <v>11</v>
      </c>
      <c r="U44" s="1556">
        <f t="shared" si="13"/>
        <v>100</v>
      </c>
      <c r="V44" s="1555" t="s">
        <v>11</v>
      </c>
      <c r="W44" s="1556">
        <f t="shared" si="14"/>
        <v>100</v>
      </c>
      <c r="X44" s="1557"/>
      <c r="Y44" s="338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85"/>
      <c r="Q45" s="1559">
        <f t="shared" si="11"/>
        <v>111</v>
      </c>
      <c r="R45" s="1560" t="s">
        <v>11</v>
      </c>
      <c r="S45" s="1561">
        <f t="shared" si="12"/>
        <v>100</v>
      </c>
      <c r="T45" s="1560" t="s">
        <v>11</v>
      </c>
      <c r="U45" s="1561">
        <f t="shared" si="13"/>
        <v>100</v>
      </c>
      <c r="V45" s="1560" t="s">
        <v>11</v>
      </c>
      <c r="W45" s="1561">
        <f t="shared" si="14"/>
        <v>100</v>
      </c>
      <c r="X45" s="1554"/>
      <c r="Y45" s="3385"/>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5"/>
      <c r="Q46" s="1559">
        <f t="shared" si="11"/>
        <v>111</v>
      </c>
      <c r="R46" s="1560" t="s">
        <v>10</v>
      </c>
      <c r="S46" s="1561">
        <f t="shared" si="12"/>
        <v>100</v>
      </c>
      <c r="T46" s="1560" t="s">
        <v>10</v>
      </c>
      <c r="U46" s="1561">
        <f t="shared" si="13"/>
        <v>100</v>
      </c>
      <c r="V46" s="1560" t="s">
        <v>10</v>
      </c>
      <c r="W46" s="1561">
        <f t="shared" si="14"/>
        <v>100</v>
      </c>
      <c r="X46" s="1554"/>
      <c r="Y46" s="3485"/>
      <c r="Z46" s="1562">
        <f t="shared" si="15"/>
        <v>111</v>
      </c>
      <c r="AA46" s="1563">
        <f t="shared" si="3"/>
        <v>1</v>
      </c>
      <c r="AB46" s="1563">
        <f t="shared" si="4"/>
        <v>1</v>
      </c>
      <c r="AC46" s="1563">
        <f t="shared" si="5"/>
        <v>1</v>
      </c>
    </row>
    <row r="47" spans="1:29" ht="14.4">
      <c r="A47" s="607" t="s">
        <v>736</v>
      </c>
      <c r="B47" s="887"/>
      <c r="C47" s="2590" t="s">
        <v>9</v>
      </c>
      <c r="D47" s="2591"/>
      <c r="E47" s="2592"/>
      <c r="F47" s="2593"/>
      <c r="G47" s="2594"/>
      <c r="H47" s="2595"/>
      <c r="I47" s="2592"/>
      <c r="J47" s="2595"/>
      <c r="K47" s="1592"/>
      <c r="L47" s="2128"/>
      <c r="M47" s="2129"/>
      <c r="N47" s="2118"/>
      <c r="O47" s="2129"/>
      <c r="P47" s="3380" t="str">
        <f>A47</f>
        <v>成交单价（元/平方米）</v>
      </c>
      <c r="Q47" s="3380"/>
      <c r="R47" s="3484">
        <f>E47</f>
        <v>0</v>
      </c>
      <c r="S47" s="3484"/>
      <c r="T47" s="3484">
        <f>G47</f>
        <v>0</v>
      </c>
      <c r="U47" s="3484"/>
      <c r="V47" s="3484">
        <f>I47</f>
        <v>0</v>
      </c>
      <c r="W47" s="3484"/>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3"/>
      <c r="L48" s="2128"/>
      <c r="M48" s="2129"/>
      <c r="N48" s="2129"/>
      <c r="O48" s="2129"/>
      <c r="P48" s="3380" t="str">
        <f>A48</f>
        <v>比较价格（元/平方米）</v>
      </c>
      <c r="Q48" s="3380"/>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4"/>
      <c r="L49" s="2128"/>
      <c r="M49" s="2129"/>
      <c r="N49" s="2129"/>
      <c r="O49" s="2129"/>
      <c r="P49" s="3401" t="str">
        <f>A49</f>
        <v>估价对象XX用房的比较价格（楼面单价，元/平方米）</v>
      </c>
      <c r="Q49" s="3402"/>
      <c r="R49" s="3483" t="e">
        <f>IF(F1="售价",ROUND(AVERAGE(R48:V48),0),ROUND(AVERAGE(R48:V48),1))</f>
        <v>#DIV/0!</v>
      </c>
      <c r="S49" s="3483"/>
      <c r="T49" s="3483"/>
      <c r="U49" s="3483"/>
      <c r="V49" s="3483"/>
      <c r="W49" s="3483"/>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8" t="str">
        <f>YEAR(C7)&amp;"-"&amp;MONTH(C7)</f>
        <v>2020-3</v>
      </c>
      <c r="D58" s="2758">
        <f>EDATE(C58,-1)</f>
        <v>43862</v>
      </c>
      <c r="E58" s="2758">
        <f t="shared" ref="E58:O58" si="16">EDATE(D58,-1)</f>
        <v>43831</v>
      </c>
      <c r="F58" s="2758">
        <f t="shared" si="16"/>
        <v>43800</v>
      </c>
      <c r="G58" s="2758">
        <f t="shared" si="16"/>
        <v>43770</v>
      </c>
      <c r="H58" s="2758">
        <f t="shared" si="16"/>
        <v>43739</v>
      </c>
      <c r="I58" s="2758">
        <f t="shared" si="16"/>
        <v>43709</v>
      </c>
      <c r="J58" s="2758">
        <f t="shared" si="16"/>
        <v>43678</v>
      </c>
      <c r="K58" s="2758">
        <f t="shared" si="16"/>
        <v>43647</v>
      </c>
      <c r="L58" s="2758">
        <f t="shared" si="16"/>
        <v>43617</v>
      </c>
      <c r="M58" s="2758">
        <f t="shared" si="16"/>
        <v>43586</v>
      </c>
      <c r="N58" s="2758">
        <f t="shared" si="16"/>
        <v>43556</v>
      </c>
      <c r="O58" s="2758">
        <f t="shared" si="16"/>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G131" sqref="C126:G131"/>
      <selection pane="bottomLeft" activeCell="T5" sqref="T5"/>
    </sheetView>
  </sheetViews>
  <sheetFormatPr defaultColWidth="9" defaultRowHeight="13.2"/>
  <cols>
    <col min="1" max="1" width="11.44140625" style="1246" customWidth="1"/>
    <col min="2" max="2" width="9.21875" style="1214" customWidth="1"/>
    <col min="3" max="3" width="5" style="1214" customWidth="1"/>
    <col min="4" max="4" width="9" style="1214"/>
    <col min="5" max="5" width="9.2187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489" t="s">
        <v>2301</v>
      </c>
      <c r="D1" s="3490"/>
      <c r="E1" s="3490"/>
      <c r="F1" s="3490"/>
      <c r="G1" s="3490"/>
      <c r="H1" s="3490"/>
      <c r="I1" s="3490"/>
      <c r="J1" s="3490"/>
      <c r="K1" s="3490"/>
      <c r="L1" s="3490"/>
      <c r="M1" s="3490"/>
      <c r="N1" s="3490"/>
      <c r="O1" s="3490"/>
      <c r="P1" s="3490"/>
      <c r="Q1" s="3490"/>
      <c r="R1" s="3490"/>
      <c r="S1" s="3491"/>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52.8">
      <c r="A2" s="2219"/>
      <c r="B2" s="949" t="s">
        <v>2303</v>
      </c>
      <c r="C2" s="950" t="str">
        <f t="shared" ref="C2:L2" si="0">C3&amp;"(含)"&amp;"-"&amp;D3</f>
        <v>0(含)-20000</v>
      </c>
      <c r="D2" s="951" t="str">
        <f t="shared" si="0"/>
        <v>20000(含)-40000</v>
      </c>
      <c r="E2" s="951" t="str">
        <f t="shared" si="0"/>
        <v>40000(含)-60000</v>
      </c>
      <c r="F2" s="951" t="str">
        <f t="shared" si="0"/>
        <v>60000(含)-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f>'比较法-住宅、综合'!C119</f>
        <v>0</v>
      </c>
      <c r="D3" s="954">
        <f>'比较法-住宅、综合'!D119</f>
        <v>20000</v>
      </c>
      <c r="E3" s="954">
        <f>'比较法-住宅、综合'!E119</f>
        <v>40000</v>
      </c>
      <c r="F3" s="954">
        <f>'比较法-住宅、综合'!F119</f>
        <v>60000</v>
      </c>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f>'比较法-住宅、综合'!C120</f>
        <v>100</v>
      </c>
      <c r="D4" s="2229">
        <f>'比较法-住宅、综合'!D120</f>
        <v>102</v>
      </c>
      <c r="E4" s="2229">
        <f>'比较法-住宅、综合'!E120</f>
        <v>104</v>
      </c>
      <c r="F4" s="2229">
        <f>'比较法-住宅、综合'!F120</f>
        <v>106</v>
      </c>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496" t="s">
        <v>3166</v>
      </c>
      <c r="C5" s="2236">
        <f>'比较法-住宅、综合'!C82</f>
        <v>0</v>
      </c>
      <c r="D5" s="2237">
        <f>'比较法-住宅、综合'!D82</f>
        <v>1</v>
      </c>
      <c r="E5" s="2237">
        <f>'比较法-住宅、综合'!E82</f>
        <v>2</v>
      </c>
      <c r="F5" s="2237">
        <f>'比较法-住宅、综合'!F82</f>
        <v>3</v>
      </c>
      <c r="G5" s="2237"/>
      <c r="H5" s="2237"/>
      <c r="I5" s="2237"/>
      <c r="J5" s="2237"/>
      <c r="K5" s="2237"/>
      <c r="L5" s="2238"/>
      <c r="M5" s="2239"/>
      <c r="N5" s="2239"/>
      <c r="O5" s="2237"/>
      <c r="P5" s="2237"/>
      <c r="Q5" s="2237"/>
      <c r="R5" s="2237"/>
      <c r="S5" s="2240"/>
      <c r="T5" s="2241">
        <v>2</v>
      </c>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98</v>
      </c>
      <c r="E6" s="1953">
        <f t="shared" ref="E6:S6" si="7">D6-$T5</f>
        <v>96</v>
      </c>
      <c r="F6" s="1953">
        <f t="shared" si="7"/>
        <v>94</v>
      </c>
      <c r="G6" s="1953">
        <f t="shared" si="7"/>
        <v>92</v>
      </c>
      <c r="H6" s="1953">
        <f t="shared" si="7"/>
        <v>90</v>
      </c>
      <c r="I6" s="1953">
        <f t="shared" si="7"/>
        <v>88</v>
      </c>
      <c r="J6" s="1953">
        <f t="shared" si="7"/>
        <v>86</v>
      </c>
      <c r="K6" s="1953">
        <f t="shared" si="7"/>
        <v>84</v>
      </c>
      <c r="L6" s="1953">
        <f t="shared" si="7"/>
        <v>82</v>
      </c>
      <c r="M6" s="1953">
        <f t="shared" si="7"/>
        <v>80</v>
      </c>
      <c r="N6" s="1953">
        <f t="shared" si="7"/>
        <v>78</v>
      </c>
      <c r="O6" s="1953">
        <f t="shared" si="7"/>
        <v>76</v>
      </c>
      <c r="P6" s="1953">
        <f t="shared" si="7"/>
        <v>74</v>
      </c>
      <c r="Q6" s="1953">
        <f t="shared" si="7"/>
        <v>72</v>
      </c>
      <c r="R6" s="1953">
        <f t="shared" si="7"/>
        <v>70</v>
      </c>
      <c r="S6" s="1953">
        <f t="shared" si="7"/>
        <v>68</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2921</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2932</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 ca="1">S22</f>
        <v>126519</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f ca="1">R22</f>
        <v>3667</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345048.87</v>
      </c>
      <c r="C22" s="3486" t="s">
        <v>20</v>
      </c>
      <c r="D22" s="3487"/>
      <c r="E22" s="3487"/>
      <c r="F22" s="3487"/>
      <c r="G22" s="3487"/>
      <c r="H22" s="3487"/>
      <c r="I22" s="3487"/>
      <c r="J22" s="3487"/>
      <c r="K22" s="3487"/>
      <c r="L22" s="3487"/>
      <c r="M22" s="3487"/>
      <c r="N22" s="3487"/>
      <c r="O22" s="3487"/>
      <c r="P22" s="3487"/>
      <c r="Q22" s="3488"/>
      <c r="R22" s="490">
        <f ca="1">ROUND(S22*10000/B22,0)</f>
        <v>3667</v>
      </c>
      <c r="S22" s="53">
        <f ca="1">SUM(S24:S10000)</f>
        <v>126519</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面积表!B5</f>
        <v>2019-006</v>
      </c>
      <c r="B24" s="961">
        <f>面积表!D5</f>
        <v>40851.83</v>
      </c>
      <c r="C24" s="962">
        <v>1</v>
      </c>
      <c r="D24" s="963">
        <v>1</v>
      </c>
      <c r="E24" s="962">
        <v>1</v>
      </c>
      <c r="F24" s="963"/>
      <c r="G24" s="962">
        <v>1</v>
      </c>
      <c r="H24" s="963"/>
      <c r="I24" s="962">
        <v>1</v>
      </c>
      <c r="J24" s="963"/>
      <c r="K24" s="962">
        <v>1</v>
      </c>
      <c r="L24" s="963"/>
      <c r="M24" s="962">
        <v>1</v>
      </c>
      <c r="N24" s="963"/>
      <c r="O24" s="962">
        <v>1</v>
      </c>
      <c r="P24" s="963"/>
      <c r="Q24" s="962">
        <v>1</v>
      </c>
      <c r="R24" s="964">
        <f ca="1">结果表!G21</f>
        <v>3719</v>
      </c>
      <c r="S24" s="962">
        <f t="shared" ref="S24:S54" ca="1" si="11">ROUND(R24*B24/10000,0)</f>
        <v>15193</v>
      </c>
      <c r="T24" s="1957"/>
      <c r="U24" s="1957"/>
      <c r="V24" s="1957"/>
      <c r="W24" s="1957"/>
      <c r="X24" s="1957"/>
      <c r="Y24" s="1957"/>
      <c r="Z24" s="1957"/>
      <c r="AA24" s="1957"/>
      <c r="AB24" s="1957"/>
      <c r="AC24" s="1957"/>
      <c r="AD24" s="1957"/>
      <c r="AE24" s="1957"/>
      <c r="AF24" s="1957"/>
      <c r="AG24" s="1957"/>
      <c r="AH24" s="1957"/>
      <c r="AI24" s="1957"/>
    </row>
    <row r="25" spans="1:45">
      <c r="A25" s="961" t="str">
        <f>面积表!B6</f>
        <v>2019-007</v>
      </c>
      <c r="B25" s="961">
        <f>面积表!D6</f>
        <v>54141.7</v>
      </c>
      <c r="C25" s="53">
        <f>IF(B25="",1,(LOOKUP(B25,$3:$3,$4:$4)-LOOKUP($B$24,$3:$3,$4:$4)+100)/100)</f>
        <v>1</v>
      </c>
      <c r="D25" s="963">
        <v>1</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3719</v>
      </c>
      <c r="S25" s="799">
        <f t="shared" ca="1" si="11"/>
        <v>20135</v>
      </c>
    </row>
    <row r="26" spans="1:45">
      <c r="A26" s="961" t="str">
        <f>面积表!B7</f>
        <v>2019-008</v>
      </c>
      <c r="B26" s="961">
        <f>面积表!D7</f>
        <v>46040.5</v>
      </c>
      <c r="C26" s="53">
        <f t="shared" ref="C26:C89" si="12">IF(B26="",1,(LOOKUP(B26,$3:$3,$4:$4)-LOOKUP($B$24,$3:$3,$4:$4)+100)/100)</f>
        <v>1</v>
      </c>
      <c r="D26" s="963">
        <v>1</v>
      </c>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3719</v>
      </c>
      <c r="S26" s="799">
        <f t="shared" ca="1" si="11"/>
        <v>17122</v>
      </c>
    </row>
    <row r="27" spans="1:45">
      <c r="A27" s="961" t="str">
        <f>面积表!B8</f>
        <v>2019-009</v>
      </c>
      <c r="B27" s="961">
        <f>面积表!D8</f>
        <v>56518.48</v>
      </c>
      <c r="C27" s="53">
        <f t="shared" si="12"/>
        <v>1</v>
      </c>
      <c r="D27" s="963">
        <v>1</v>
      </c>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3719</v>
      </c>
      <c r="S27" s="799">
        <f t="shared" ca="1" si="11"/>
        <v>21019</v>
      </c>
    </row>
    <row r="28" spans="1:45">
      <c r="A28" s="961" t="str">
        <f>面积表!B9</f>
        <v>2019-010</v>
      </c>
      <c r="B28" s="961">
        <f>面积表!D9</f>
        <v>34966.17</v>
      </c>
      <c r="C28" s="53">
        <f t="shared" si="12"/>
        <v>0.98</v>
      </c>
      <c r="D28" s="963">
        <v>2</v>
      </c>
      <c r="E28" s="53">
        <f t="shared" si="13"/>
        <v>0.98</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3572</v>
      </c>
      <c r="S28" s="799">
        <f t="shared" ca="1" si="11"/>
        <v>12490</v>
      </c>
    </row>
    <row r="29" spans="1:45">
      <c r="A29" s="961" t="str">
        <f>面积表!B10</f>
        <v>2019-011</v>
      </c>
      <c r="B29" s="961">
        <f>面积表!D10</f>
        <v>35608.080000000002</v>
      </c>
      <c r="C29" s="53">
        <f t="shared" si="12"/>
        <v>0.98</v>
      </c>
      <c r="D29" s="963">
        <v>2</v>
      </c>
      <c r="E29" s="53">
        <f t="shared" si="13"/>
        <v>0.98</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3572</v>
      </c>
      <c r="S29" s="799">
        <f t="shared" ca="1" si="11"/>
        <v>12719</v>
      </c>
    </row>
    <row r="30" spans="1:45">
      <c r="A30" s="961" t="str">
        <f>面积表!B11</f>
        <v>2019-013-01</v>
      </c>
      <c r="B30" s="961">
        <f>面积表!D11</f>
        <v>49937.25</v>
      </c>
      <c r="C30" s="53">
        <f t="shared" si="12"/>
        <v>1</v>
      </c>
      <c r="D30" s="963">
        <v>2</v>
      </c>
      <c r="E30" s="53">
        <f t="shared" si="13"/>
        <v>0.98</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3645</v>
      </c>
      <c r="S30" s="799">
        <f t="shared" ca="1" si="11"/>
        <v>18202</v>
      </c>
    </row>
    <row r="31" spans="1:45">
      <c r="A31" s="961" t="str">
        <f>面积表!B12</f>
        <v>2019-013-02</v>
      </c>
      <c r="B31" s="961">
        <f>面积表!D12</f>
        <v>26984.86</v>
      </c>
      <c r="C31" s="53">
        <f t="shared" si="12"/>
        <v>0.98</v>
      </c>
      <c r="D31" s="963">
        <v>2</v>
      </c>
      <c r="E31" s="53">
        <f t="shared" si="13"/>
        <v>0.98</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3572</v>
      </c>
      <c r="S31" s="799">
        <f t="shared" ca="1" si="11"/>
        <v>9639</v>
      </c>
    </row>
    <row r="32" spans="1:45">
      <c r="A32" s="961"/>
      <c r="B32" s="137"/>
      <c r="C32" s="53">
        <f t="shared" si="12"/>
        <v>1</v>
      </c>
      <c r="D32" s="963"/>
      <c r="E32" s="53">
        <f t="shared" si="13"/>
        <v>1.02</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1.02</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1.02</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1.02</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1.02</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1.02</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1.02</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1.02</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1.02</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1.02</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1.02</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1.02</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1.02</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1.02</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1.02</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1.02</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1.02</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1.02</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1.02</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1.02</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1.02</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1.02</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1.02</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1.02</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1.02</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1.02</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1.02</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1.02</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1.02</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1.02</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1.02</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1.02</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1.02</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1.02</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1.02</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1.02</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1.02</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1.02</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1.02</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1.02</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1.02</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1.02</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1.02</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1.02</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1.02</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1.02</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1.02</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1.02</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1.02</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1.02</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1.02</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1.02</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1.02</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1.02</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1.02</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1.02</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1.02</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1.02</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1.02</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1.02</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1.02</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1.02</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1.02</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1.02</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1.02</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1.02</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1.02</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1.02</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1.02</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1.02</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1.02</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1.02</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1.02</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1.02</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1.02</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1.02</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1.02</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1.02</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1.02</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1.02</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1.02</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1.02</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1.02</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1.02</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1.02</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1.02</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1.02</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1.02</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1.02</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1.02</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1.02</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1.02</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1.02</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1.02</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1.02</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1.02</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1.02</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1.02</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1.02</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1.02</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1.02</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1.02</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1.02</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1.02</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1.02</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1.02</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1.02</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1.02</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1.02</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1.02</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1.02</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1.02</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1.02</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1.02</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1.02</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1.02</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1.02</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1.02</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1.02</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1.02</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1.02</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1.02</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1.02</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1.02</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1.02</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1.02</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1.02</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1.02</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1.02</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1.02</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1.02</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1.02</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1.02</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1.02</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1.02</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1.02</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1.02</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1.02</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1.02</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1.02</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1.02</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1.02</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1.02</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1.02</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1.02</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1.02</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1.02</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1.02</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1.02</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1.02</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1.02</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1.02</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1.02</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1.02</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1.02</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1.02</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1.02</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1.02</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1.02</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1.02</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1.02</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1.02</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1.02</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1.02</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1.02</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1.02</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1.02</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1.02</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1.02</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1.02</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1.02</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1.02</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1.02</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1.02</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1.02</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1.02</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1.02</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1.02</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1.02</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1.02</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1.02</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1.02</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1.02</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1.02</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1.02</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1.02</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1.02</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1.02</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1.02</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1.02</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1.02</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1.02</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1.02</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1.02</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1.02</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1.02</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1.02</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1.02</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1.02</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1.02</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1.02</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1.02</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1.02</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1.02</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1.02</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1.02</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1.02</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1.02</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1.02</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1.02</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1.02</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1.02</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1.02</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1.02</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1.02</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1.02</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1.02</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1.02</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1.02</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1.02</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1.02</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1.02</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1.02</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1.02</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1.02</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1.02</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1.02</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1.02</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1.02</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1.02</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1.02</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1.02</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1.02</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1.02</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1.02</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1.02</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1.02</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1.02</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1.02</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1.02</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1.02</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1.02</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1.02</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1.02</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1.02</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1.02</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1.02</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1.02</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1.02</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1.02</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1.02</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1.02</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1.02</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1.02</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1.02</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1.02</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1.02</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1.02</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1.02</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1.02</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1.02</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1.02</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1.02</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1.02</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1.02</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1.02</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1.02</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1.02</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1.02</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1.02</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1.02</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1.02</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1.02</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1.02</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1.02</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1.02</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1.02</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1.02</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1.02</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1.02</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1.02</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1.02</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1.02</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1.02</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1.02</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1.02</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1.02</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1.02</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1.02</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1.02</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1.02</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1.02</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1.02</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1.02</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1.02</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1.02</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1.02</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1.02</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1.02</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1.02</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1.02</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1.02</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1.02</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1.02</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1.02</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1.02</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1.02</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1.02</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1.02</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1.02</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1.02</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1.02</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1.02</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1.02</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1.02</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1.02</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1.02</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1.02</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1.02</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1.02</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1.02</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1.02</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1.02</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1.02</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1.02</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1.02</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1.02</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1.02</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1.02</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1.02</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1.02</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1.02</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1.02</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1.02</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1.02</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1.02</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1.02</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1.02</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1.02</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1.02</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1.02</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1.02</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1.02</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1.02</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1.02</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1.02</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1.02</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1.02</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1.02</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1.02</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1.02</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1.02</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1.02</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1.02</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1.02</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1.02</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1.02</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1.02</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1.02</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1.02</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1.02</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1.02</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1.02</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1.02</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1.02</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1.02</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1.02</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1.02</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1.02</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1.02</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1.02</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1.02</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1.02</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1.02</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1.02</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1.02</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1.02</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1.02</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1.02</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1.02</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1.02</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1.02</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1.02</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1.02</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1.02</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1.02</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1.02</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1.02</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1.02</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1.02</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1.02</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1.02</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1.02</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1.02</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1.02</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1.02</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1.02</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1.02</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1.02</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1.02</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1.02</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1.02</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1.02</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1.02</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1.02</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1.02</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1.02</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1.02</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1.02</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1.02</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1.02</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1.02</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1.02</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1.02</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1.02</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1.02</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1.02</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1.02</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1.02</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1.02</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1.02</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1.02</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1.02</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1.02</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1.02</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1.02</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1.02</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1.02</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1.02</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1.02</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1.02</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1.02</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1.02</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1.02</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1.02</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1.02</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1.02</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1.02</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1.02</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1.02</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1.02</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1.02</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1.02</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1.02</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1.02</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1.02</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1.02</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1.02</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1.02</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1.02</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1.02</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1.02</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1.02</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1.02</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1.02</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1.02</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1.02</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1.02</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1.02</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1.02</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1.02</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1.02</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1.02</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1.02</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1.02</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1.02</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1.02</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1.02</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1.02</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1.02</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1.02</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1.02</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1.02</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1.02</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1.02</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1.02</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1.02</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1.02</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1.02</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1.02</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1.02</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1.02</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1.02</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1.02</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1.02</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1.02</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1.02</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1.02</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1.02</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1.02</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1.02</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1.02</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1.02</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8B70-0B1C-4FDD-B33D-922BEBC8F688}">
  <dimension ref="A1"/>
  <sheetViews>
    <sheetView topLeftCell="A16" workbookViewId="0">
      <selection activeCell="V15" sqref="V15"/>
    </sheetView>
  </sheetViews>
  <sheetFormatPr defaultRowHeight="14.4"/>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0377-5C50-4E1D-A902-67D549101E79}">
  <dimension ref="A1"/>
  <sheetViews>
    <sheetView topLeftCell="A10" workbookViewId="0">
      <selection activeCell="A37" sqref="A37:XFD52"/>
    </sheetView>
  </sheetViews>
  <sheetFormatPr defaultRowHeight="14.4"/>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4.4">
      <c r="A4" s="512" t="s">
        <v>521</v>
      </c>
      <c r="B4" s="513"/>
      <c r="C4" s="3386" t="s">
        <v>522</v>
      </c>
      <c r="D4" s="3387"/>
      <c r="E4" s="3410" t="s">
        <v>523</v>
      </c>
      <c r="F4" s="3411"/>
      <c r="G4" s="3386" t="s">
        <v>524</v>
      </c>
      <c r="H4" s="3387"/>
      <c r="I4" s="3386" t="s">
        <v>525</v>
      </c>
      <c r="J4" s="3387"/>
      <c r="K4" s="514" t="s">
        <v>526</v>
      </c>
      <c r="L4" s="2117"/>
      <c r="M4" s="2118"/>
      <c r="N4" s="2118"/>
      <c r="O4" s="2118"/>
      <c r="P4" s="3388" t="s">
        <v>527</v>
      </c>
      <c r="Q4" s="3389"/>
      <c r="R4" s="3374" t="s">
        <v>523</v>
      </c>
      <c r="S4" s="3375"/>
      <c r="T4" s="3374" t="s">
        <v>524</v>
      </c>
      <c r="U4" s="3375"/>
      <c r="V4" s="3394" t="s">
        <v>525</v>
      </c>
      <c r="W4" s="3394"/>
      <c r="X4" s="1554"/>
      <c r="Y4" s="3374" t="s">
        <v>527</v>
      </c>
      <c r="Z4" s="3375"/>
      <c r="AA4" s="3369" t="s">
        <v>523</v>
      </c>
      <c r="AB4" s="3394" t="s">
        <v>524</v>
      </c>
      <c r="AC4" s="3369" t="s">
        <v>525</v>
      </c>
    </row>
    <row r="5" spans="1:29">
      <c r="A5" s="515"/>
      <c r="B5" s="516"/>
      <c r="C5" s="3397" t="s">
        <v>2922</v>
      </c>
      <c r="D5" s="3398"/>
      <c r="E5" s="3412" t="s">
        <v>2923</v>
      </c>
      <c r="F5" s="3413"/>
      <c r="G5" s="3397" t="s">
        <v>2924</v>
      </c>
      <c r="H5" s="3398"/>
      <c r="I5" s="3397" t="s">
        <v>2925</v>
      </c>
      <c r="J5" s="3398"/>
      <c r="K5" s="514"/>
      <c r="L5" s="2117"/>
      <c r="M5" s="2118"/>
      <c r="N5" s="2118"/>
      <c r="O5" s="2118"/>
      <c r="P5" s="3390"/>
      <c r="Q5" s="3391"/>
      <c r="R5" s="3376"/>
      <c r="S5" s="3377"/>
      <c r="T5" s="3376"/>
      <c r="U5" s="3377"/>
      <c r="V5" s="3394"/>
      <c r="W5" s="3394"/>
      <c r="X5" s="1554"/>
      <c r="Y5" s="3376"/>
      <c r="Z5" s="3377"/>
      <c r="AA5" s="3370"/>
      <c r="AB5" s="3394"/>
      <c r="AC5" s="3370"/>
    </row>
    <row r="6" spans="1:29" ht="15" thickBot="1">
      <c r="A6" s="517"/>
      <c r="B6" s="518"/>
      <c r="C6" s="3395" t="s">
        <v>2926</v>
      </c>
      <c r="D6" s="3396"/>
      <c r="E6" s="3414" t="s">
        <v>2926</v>
      </c>
      <c r="F6" s="3415"/>
      <c r="G6" s="3395" t="s">
        <v>2926</v>
      </c>
      <c r="H6" s="3396"/>
      <c r="I6" s="3395" t="s">
        <v>2926</v>
      </c>
      <c r="J6" s="3396"/>
      <c r="K6" s="514" t="s">
        <v>528</v>
      </c>
      <c r="L6" s="2117"/>
      <c r="M6" s="2118"/>
      <c r="N6" s="2118"/>
      <c r="O6" s="2118"/>
      <c r="P6" s="3392"/>
      <c r="Q6" s="3393"/>
      <c r="R6" s="3376"/>
      <c r="S6" s="3377"/>
      <c r="T6" s="3378"/>
      <c r="U6" s="3379"/>
      <c r="V6" s="3394"/>
      <c r="W6" s="3394"/>
      <c r="X6" s="1554"/>
      <c r="Y6" s="3378"/>
      <c r="Z6" s="3379"/>
      <c r="AA6" s="3371"/>
      <c r="AB6" s="3394"/>
      <c r="AC6" s="3371"/>
    </row>
    <row r="7" spans="1:29" s="1216" customFormat="1" ht="15" thickBot="1">
      <c r="A7" s="2866"/>
      <c r="B7" s="2873" t="s">
        <v>529</v>
      </c>
      <c r="C7" s="519">
        <f>'数据-取费表'!B2</f>
        <v>43905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72" t="s">
        <v>530</v>
      </c>
      <c r="Q7" s="3381"/>
      <c r="R7" s="1555" t="s">
        <v>8</v>
      </c>
      <c r="S7" s="1556">
        <f t="shared" ref="S7:S15" si="0">F7</f>
        <v>0</v>
      </c>
      <c r="T7" s="1555" t="s">
        <v>8</v>
      </c>
      <c r="U7" s="1556">
        <f t="shared" ref="U7:U15" si="1">H7</f>
        <v>0</v>
      </c>
      <c r="V7" s="1555" t="s">
        <v>8</v>
      </c>
      <c r="W7" s="1556">
        <f t="shared" ref="W7:W15" si="2">J7</f>
        <v>0</v>
      </c>
      <c r="X7" s="1557"/>
      <c r="Y7" s="3372" t="s">
        <v>530</v>
      </c>
      <c r="Z7" s="3373"/>
      <c r="AA7" s="1558" t="e">
        <f>D7/F7</f>
        <v>#DIV/0!</v>
      </c>
      <c r="AB7" s="1558" t="e">
        <f>D7/H7</f>
        <v>#DIV/0!</v>
      </c>
      <c r="AC7" s="1558" t="e">
        <f>D7/J7</f>
        <v>#DIV/0!</v>
      </c>
    </row>
    <row r="8" spans="1:29" s="1216"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72" t="s">
        <v>533</v>
      </c>
      <c r="Q8" s="3373"/>
      <c r="R8" s="1555" t="s">
        <v>8</v>
      </c>
      <c r="S8" s="1556">
        <f t="shared" si="0"/>
        <v>0</v>
      </c>
      <c r="T8" s="1555" t="s">
        <v>8</v>
      </c>
      <c r="U8" s="1556">
        <f t="shared" si="1"/>
        <v>0</v>
      </c>
      <c r="V8" s="1555" t="s">
        <v>8</v>
      </c>
      <c r="W8" s="1556">
        <f t="shared" si="2"/>
        <v>0</v>
      </c>
      <c r="X8" s="1557"/>
      <c r="Y8" s="3372" t="s">
        <v>533</v>
      </c>
      <c r="Z8" s="3373"/>
      <c r="AA8" s="1558" t="e">
        <f t="shared" ref="AA8:AA46" si="3">D8/F8</f>
        <v>#DIV/0!</v>
      </c>
      <c r="AB8" s="1558" t="e">
        <f t="shared" ref="AB8:AB46" si="4">D8/H8</f>
        <v>#DIV/0!</v>
      </c>
      <c r="AC8" s="1558" t="e">
        <f t="shared" ref="AC8:AC46" si="5">D8/J8</f>
        <v>#DIV/0!</v>
      </c>
    </row>
    <row r="9" spans="1:29" s="1216" customFormat="1" ht="14.4">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0" t="s">
        <v>535</v>
      </c>
      <c r="Q9" s="1147" t="str">
        <f t="shared" ref="Q9:Q15" si="6">B9</f>
        <v>用途</v>
      </c>
      <c r="R9" s="1555" t="s">
        <v>8</v>
      </c>
      <c r="S9" s="1556">
        <f t="shared" si="0"/>
        <v>100</v>
      </c>
      <c r="T9" s="1555" t="s">
        <v>8</v>
      </c>
      <c r="U9" s="1556">
        <f t="shared" si="1"/>
        <v>100</v>
      </c>
      <c r="V9" s="1555" t="s">
        <v>8</v>
      </c>
      <c r="W9" s="1556">
        <f t="shared" si="2"/>
        <v>100</v>
      </c>
      <c r="X9" s="1557"/>
      <c r="Y9" s="3337"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0"/>
      <c r="Q11" s="1147" t="str">
        <f t="shared" si="6"/>
        <v>容积率</v>
      </c>
      <c r="R11" s="1555" t="s">
        <v>8</v>
      </c>
      <c r="S11" s="1556" t="e">
        <f t="shared" si="0"/>
        <v>#N/A</v>
      </c>
      <c r="T11" s="1555" t="s">
        <v>8</v>
      </c>
      <c r="U11" s="1556" t="e">
        <f t="shared" si="1"/>
        <v>#N/A</v>
      </c>
      <c r="V11" s="1555" t="s">
        <v>8</v>
      </c>
      <c r="W11" s="1556" t="e">
        <f t="shared" si="2"/>
        <v>#N/A</v>
      </c>
      <c r="X11" s="1557"/>
      <c r="Y11" s="333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 t="shared" si="3"/>
        <v>1</v>
      </c>
      <c r="AB14" s="1558">
        <f t="shared" si="4"/>
        <v>1</v>
      </c>
      <c r="AC14" s="1558">
        <f t="shared" si="5"/>
        <v>1</v>
      </c>
    </row>
    <row r="15" spans="1:29" ht="15">
      <c r="A15" s="2864"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82" t="s">
        <v>540</v>
      </c>
      <c r="Q15" s="1559" t="str">
        <f t="shared" si="6"/>
        <v>商业繁华度</v>
      </c>
      <c r="R15" s="1560" t="s">
        <v>8</v>
      </c>
      <c r="S15" s="1561">
        <f t="shared" si="0"/>
        <v>100</v>
      </c>
      <c r="T15" s="1560" t="s">
        <v>8</v>
      </c>
      <c r="U15" s="1561">
        <f t="shared" si="1"/>
        <v>100</v>
      </c>
      <c r="V15" s="1560" t="s">
        <v>8</v>
      </c>
      <c r="W15" s="1561">
        <f t="shared" si="2"/>
        <v>100</v>
      </c>
      <c r="X15" s="1554"/>
      <c r="Y15" s="338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383"/>
      <c r="Q16" s="1559"/>
      <c r="R16" s="1560"/>
      <c r="S16" s="1561"/>
      <c r="T16" s="1560"/>
      <c r="U16" s="1561"/>
      <c r="V16" s="1560"/>
      <c r="W16" s="1561"/>
      <c r="X16" s="1554"/>
      <c r="Y16" s="3383"/>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83"/>
      <c r="Q17" s="1559" t="str">
        <f>B17</f>
        <v>交通便捷度</v>
      </c>
      <c r="R17" s="1560" t="s">
        <v>8</v>
      </c>
      <c r="S17" s="1561">
        <f>F17</f>
        <v>100</v>
      </c>
      <c r="T17" s="1560" t="s">
        <v>8</v>
      </c>
      <c r="U17" s="1561">
        <f>H17</f>
        <v>100</v>
      </c>
      <c r="V17" s="1560" t="s">
        <v>8</v>
      </c>
      <c r="W17" s="1561">
        <f>J17</f>
        <v>100</v>
      </c>
      <c r="X17" s="1554"/>
      <c r="Y17" s="338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383"/>
      <c r="Q18" s="1559"/>
      <c r="R18" s="1560"/>
      <c r="S18" s="1561"/>
      <c r="T18" s="1560"/>
      <c r="U18" s="1561"/>
      <c r="V18" s="1560"/>
      <c r="W18" s="1561"/>
      <c r="X18" s="1554"/>
      <c r="Y18" s="3383"/>
      <c r="Z18" s="1562"/>
      <c r="AA18" s="1563">
        <v>1</v>
      </c>
      <c r="AB18" s="1563">
        <v>1</v>
      </c>
      <c r="AC18" s="1563">
        <v>1</v>
      </c>
    </row>
    <row r="19" spans="1:29" ht="15">
      <c r="A19" s="532"/>
      <c r="B19" s="2563"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83"/>
      <c r="Q19" s="1559" t="str">
        <f>B19</f>
        <v>公共配套设施</v>
      </c>
      <c r="R19" s="1560" t="s">
        <v>8</v>
      </c>
      <c r="S19" s="1561">
        <f>F19</f>
        <v>100</v>
      </c>
      <c r="T19" s="1560" t="s">
        <v>8</v>
      </c>
      <c r="U19" s="1561">
        <f>H19</f>
        <v>100</v>
      </c>
      <c r="V19" s="1560" t="s">
        <v>8</v>
      </c>
      <c r="W19" s="1561">
        <f>J19</f>
        <v>100</v>
      </c>
      <c r="X19" s="1554"/>
      <c r="Y19" s="338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383"/>
      <c r="Q20" s="1559"/>
      <c r="R20" s="1560"/>
      <c r="S20" s="1561"/>
      <c r="T20" s="1560"/>
      <c r="U20" s="1561"/>
      <c r="V20" s="1560"/>
      <c r="W20" s="1561"/>
      <c r="X20" s="1554"/>
      <c r="Y20" s="3383"/>
      <c r="Z20" s="1562"/>
      <c r="AA20" s="1563">
        <v>1</v>
      </c>
      <c r="AB20" s="1563">
        <v>1</v>
      </c>
      <c r="AC20" s="1563">
        <v>1</v>
      </c>
    </row>
    <row r="21" spans="1:29" ht="15">
      <c r="A21" s="532"/>
      <c r="B21" s="2556"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83"/>
      <c r="Q21" s="2542" t="str">
        <f>B21</f>
        <v>基础设施水平</v>
      </c>
      <c r="R21" s="1560" t="s">
        <v>8</v>
      </c>
      <c r="S21" s="1561">
        <f>F21</f>
        <v>100</v>
      </c>
      <c r="T21" s="1560" t="s">
        <v>8</v>
      </c>
      <c r="U21" s="1561">
        <f>H21</f>
        <v>100</v>
      </c>
      <c r="V21" s="1560" t="s">
        <v>8</v>
      </c>
      <c r="W21" s="1561">
        <f>J21</f>
        <v>100</v>
      </c>
      <c r="X21" s="2544"/>
      <c r="Y21" s="3383"/>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383"/>
      <c r="Q22" s="2542"/>
      <c r="R22" s="1560"/>
      <c r="S22" s="1561"/>
      <c r="T22" s="1560"/>
      <c r="U22" s="1561"/>
      <c r="V22" s="1560"/>
      <c r="W22" s="1561"/>
      <c r="X22" s="2544"/>
      <c r="Y22" s="3383"/>
      <c r="Z22" s="2543"/>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83"/>
      <c r="Q23" s="1559" t="str">
        <f>B23</f>
        <v>自然及人文环境</v>
      </c>
      <c r="R23" s="1560" t="s">
        <v>8</v>
      </c>
      <c r="S23" s="1561">
        <f>F23</f>
        <v>100</v>
      </c>
      <c r="T23" s="1560" t="s">
        <v>8</v>
      </c>
      <c r="U23" s="1561">
        <f>H23</f>
        <v>100</v>
      </c>
      <c r="V23" s="1560" t="s">
        <v>8</v>
      </c>
      <c r="W23" s="1561">
        <f>J23</f>
        <v>100</v>
      </c>
      <c r="X23" s="1554"/>
      <c r="Y23" s="338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383"/>
      <c r="Q24" s="1559"/>
      <c r="R24" s="1560"/>
      <c r="S24" s="1561"/>
      <c r="T24" s="1560"/>
      <c r="U24" s="1561"/>
      <c r="V24" s="1560"/>
      <c r="W24" s="1561"/>
      <c r="X24" s="1554"/>
      <c r="Y24" s="338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83"/>
      <c r="Q25" s="1559" t="str">
        <f t="shared" ref="Q25:Q46" si="11">B25</f>
        <v>临街状况</v>
      </c>
      <c r="R25" s="1560" t="s">
        <v>8</v>
      </c>
      <c r="S25" s="1561">
        <f>F25</f>
        <v>100</v>
      </c>
      <c r="T25" s="1560" t="s">
        <v>8</v>
      </c>
      <c r="U25" s="1561">
        <f>H25</f>
        <v>100</v>
      </c>
      <c r="V25" s="1560" t="s">
        <v>8</v>
      </c>
      <c r="W25" s="1561">
        <f>J25</f>
        <v>100</v>
      </c>
      <c r="X25" s="1554"/>
      <c r="Y25" s="338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83"/>
      <c r="Q26" s="1559" t="str">
        <f t="shared" si="11"/>
        <v>平面位置/可视性</v>
      </c>
      <c r="R26" s="1560" t="s">
        <v>8</v>
      </c>
      <c r="S26" s="1561">
        <f>F26</f>
        <v>100</v>
      </c>
      <c r="T26" s="1560" t="s">
        <v>8</v>
      </c>
      <c r="U26" s="1561">
        <f>H26</f>
        <v>100</v>
      </c>
      <c r="V26" s="1560" t="s">
        <v>8</v>
      </c>
      <c r="W26" s="1561">
        <f>J26</f>
        <v>100</v>
      </c>
      <c r="X26" s="1554"/>
      <c r="Y26" s="338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83"/>
      <c r="Q27" s="1147" t="str">
        <f t="shared" si="11"/>
        <v>人流量</v>
      </c>
      <c r="R27" s="1555" t="s">
        <v>8</v>
      </c>
      <c r="S27" s="1556">
        <f>F27</f>
        <v>100</v>
      </c>
      <c r="T27" s="1555" t="s">
        <v>8</v>
      </c>
      <c r="U27" s="1556">
        <f>H27</f>
        <v>100</v>
      </c>
      <c r="V27" s="1555" t="s">
        <v>8</v>
      </c>
      <c r="W27" s="1556">
        <f>J27</f>
        <v>100</v>
      </c>
      <c r="X27" s="1557"/>
      <c r="Y27" s="338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8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83"/>
      <c r="Q29" s="1559">
        <f t="shared" si="11"/>
        <v>111</v>
      </c>
      <c r="R29" s="1560" t="s">
        <v>8</v>
      </c>
      <c r="S29" s="1561">
        <f t="shared" si="12"/>
        <v>100</v>
      </c>
      <c r="T29" s="1560" t="s">
        <v>8</v>
      </c>
      <c r="U29" s="1561">
        <f t="shared" si="13"/>
        <v>100</v>
      </c>
      <c r="V29" s="1560" t="s">
        <v>8</v>
      </c>
      <c r="W29" s="1561">
        <f t="shared" si="14"/>
        <v>100</v>
      </c>
      <c r="X29" s="1554"/>
      <c r="Y29" s="338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83"/>
      <c r="Q30" s="1559">
        <f t="shared" si="11"/>
        <v>111</v>
      </c>
      <c r="R30" s="1560" t="s">
        <v>8</v>
      </c>
      <c r="S30" s="1561">
        <f t="shared" si="12"/>
        <v>100</v>
      </c>
      <c r="T30" s="1560" t="s">
        <v>8</v>
      </c>
      <c r="U30" s="1561">
        <f t="shared" si="13"/>
        <v>100</v>
      </c>
      <c r="V30" s="1560" t="s">
        <v>8</v>
      </c>
      <c r="W30" s="1561">
        <f t="shared" si="14"/>
        <v>100</v>
      </c>
      <c r="X30" s="1554"/>
      <c r="Y30" s="3383"/>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83"/>
      <c r="Q31" s="1559">
        <f t="shared" si="11"/>
        <v>111</v>
      </c>
      <c r="R31" s="1560" t="s">
        <v>8</v>
      </c>
      <c r="S31" s="1561">
        <f t="shared" si="12"/>
        <v>100</v>
      </c>
      <c r="T31" s="1560" t="s">
        <v>8</v>
      </c>
      <c r="U31" s="1561">
        <f t="shared" si="13"/>
        <v>100</v>
      </c>
      <c r="V31" s="1560" t="s">
        <v>8</v>
      </c>
      <c r="W31" s="1561">
        <f t="shared" si="14"/>
        <v>100</v>
      </c>
      <c r="X31" s="1554"/>
      <c r="Y31" s="3383"/>
      <c r="Z31" s="1562">
        <f t="shared" si="15"/>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84" t="s">
        <v>550</v>
      </c>
      <c r="Q32" s="1559" t="str">
        <f t="shared" si="11"/>
        <v>商业类型</v>
      </c>
      <c r="R32" s="1560" t="s">
        <v>8</v>
      </c>
      <c r="S32" s="1561">
        <f t="shared" si="12"/>
        <v>100</v>
      </c>
      <c r="T32" s="1560" t="s">
        <v>8</v>
      </c>
      <c r="U32" s="1561">
        <f t="shared" si="13"/>
        <v>100</v>
      </c>
      <c r="V32" s="1560" t="s">
        <v>8</v>
      </c>
      <c r="W32" s="1561">
        <f t="shared" si="14"/>
        <v>100</v>
      </c>
      <c r="X32" s="1554"/>
      <c r="Y32" s="338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85"/>
      <c r="Q33" s="1591" t="str">
        <f t="shared" si="11"/>
        <v>项目建筑规模</v>
      </c>
      <c r="R33" s="1564" t="s">
        <v>8</v>
      </c>
      <c r="S33" s="1565" t="e">
        <f t="shared" si="12"/>
        <v>#N/A</v>
      </c>
      <c r="T33" s="1564" t="s">
        <v>8</v>
      </c>
      <c r="U33" s="1565" t="e">
        <f t="shared" si="13"/>
        <v>#N/A</v>
      </c>
      <c r="V33" s="1564" t="s">
        <v>8</v>
      </c>
      <c r="W33" s="1565" t="e">
        <f t="shared" si="14"/>
        <v>#N/A</v>
      </c>
      <c r="X33" s="1566"/>
      <c r="Y33" s="338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85"/>
      <c r="Q34" s="1559" t="str">
        <f t="shared" si="11"/>
        <v>建筑结构</v>
      </c>
      <c r="R34" s="1560" t="s">
        <v>8</v>
      </c>
      <c r="S34" s="1561">
        <f t="shared" si="12"/>
        <v>100</v>
      </c>
      <c r="T34" s="1560" t="s">
        <v>8</v>
      </c>
      <c r="U34" s="1561">
        <f t="shared" si="13"/>
        <v>100</v>
      </c>
      <c r="V34" s="1560" t="s">
        <v>8</v>
      </c>
      <c r="W34" s="1561">
        <f t="shared" si="14"/>
        <v>100</v>
      </c>
      <c r="X34" s="1554"/>
      <c r="Y34" s="338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85"/>
      <c r="Q35" s="1559" t="str">
        <f t="shared" si="11"/>
        <v>公共部分装修</v>
      </c>
      <c r="R35" s="1560" t="s">
        <v>8</v>
      </c>
      <c r="S35" s="1561">
        <f t="shared" si="12"/>
        <v>100</v>
      </c>
      <c r="T35" s="1560" t="s">
        <v>8</v>
      </c>
      <c r="U35" s="1561">
        <f t="shared" si="13"/>
        <v>100</v>
      </c>
      <c r="V35" s="1560" t="s">
        <v>8</v>
      </c>
      <c r="W35" s="1561">
        <f t="shared" si="14"/>
        <v>100</v>
      </c>
      <c r="X35" s="1554"/>
      <c r="Y35" s="338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85"/>
      <c r="Q36" s="1559" t="str">
        <f t="shared" si="11"/>
        <v>成新度</v>
      </c>
      <c r="R36" s="1560" t="s">
        <v>8</v>
      </c>
      <c r="S36" s="1561" t="e">
        <f t="shared" si="12"/>
        <v>#N/A</v>
      </c>
      <c r="T36" s="1560" t="s">
        <v>8</v>
      </c>
      <c r="U36" s="1561" t="e">
        <f t="shared" si="13"/>
        <v>#N/A</v>
      </c>
      <c r="V36" s="1560" t="s">
        <v>8</v>
      </c>
      <c r="W36" s="1561" t="e">
        <f t="shared" si="14"/>
        <v>#N/A</v>
      </c>
      <c r="X36" s="1554"/>
      <c r="Y36" s="3385"/>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85"/>
      <c r="Q37" s="1147" t="str">
        <f t="shared" si="11"/>
        <v>市政基础设施</v>
      </c>
      <c r="R37" s="1555" t="s">
        <v>8</v>
      </c>
      <c r="S37" s="1556">
        <f t="shared" si="12"/>
        <v>100</v>
      </c>
      <c r="T37" s="1555" t="s">
        <v>8</v>
      </c>
      <c r="U37" s="1556">
        <f t="shared" si="13"/>
        <v>100</v>
      </c>
      <c r="V37" s="1555" t="s">
        <v>8</v>
      </c>
      <c r="W37" s="1556">
        <f t="shared" si="14"/>
        <v>100</v>
      </c>
      <c r="X37" s="1557"/>
      <c r="Y37" s="338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85" t="s">
        <v>766</v>
      </c>
      <c r="Q38" s="1559" t="str">
        <f t="shared" si="11"/>
        <v>业态</v>
      </c>
      <c r="R38" s="1560" t="s">
        <v>8</v>
      </c>
      <c r="S38" s="1561">
        <f t="shared" si="12"/>
        <v>100</v>
      </c>
      <c r="T38" s="1560" t="s">
        <v>8</v>
      </c>
      <c r="U38" s="1561">
        <f t="shared" si="13"/>
        <v>100</v>
      </c>
      <c r="V38" s="1560" t="s">
        <v>8</v>
      </c>
      <c r="W38" s="1561">
        <f t="shared" si="14"/>
        <v>100</v>
      </c>
      <c r="X38" s="1554"/>
      <c r="Y38" s="338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5"/>
      <c r="Q39" s="1559" t="str">
        <f t="shared" si="11"/>
        <v>层高</v>
      </c>
      <c r="R39" s="1560" t="s">
        <v>8</v>
      </c>
      <c r="S39" s="1561">
        <f t="shared" si="12"/>
        <v>100</v>
      </c>
      <c r="T39" s="1560" t="s">
        <v>8</v>
      </c>
      <c r="U39" s="1561">
        <f t="shared" si="13"/>
        <v>100</v>
      </c>
      <c r="V39" s="1560" t="s">
        <v>8</v>
      </c>
      <c r="W39" s="1561">
        <f t="shared" si="14"/>
        <v>100</v>
      </c>
      <c r="X39" s="1554"/>
      <c r="Y39" s="338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85"/>
      <c r="Q40" s="1559" t="str">
        <f t="shared" si="11"/>
        <v>单套建筑面积</v>
      </c>
      <c r="R40" s="1560" t="s">
        <v>8</v>
      </c>
      <c r="S40" s="1561">
        <f t="shared" si="12"/>
        <v>100</v>
      </c>
      <c r="T40" s="1560" t="s">
        <v>8</v>
      </c>
      <c r="U40" s="1561">
        <f t="shared" si="13"/>
        <v>100</v>
      </c>
      <c r="V40" s="1560" t="s">
        <v>8</v>
      </c>
      <c r="W40" s="1561">
        <f t="shared" si="14"/>
        <v>100</v>
      </c>
      <c r="X40" s="1554"/>
      <c r="Y40" s="338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85"/>
      <c r="Q41" s="1591" t="str">
        <f t="shared" si="11"/>
        <v>进深比</v>
      </c>
      <c r="R41" s="1564" t="s">
        <v>8</v>
      </c>
      <c r="S41" s="1565">
        <f t="shared" si="12"/>
        <v>100</v>
      </c>
      <c r="T41" s="1564" t="s">
        <v>8</v>
      </c>
      <c r="U41" s="1565">
        <f t="shared" si="13"/>
        <v>100</v>
      </c>
      <c r="V41" s="1564" t="s">
        <v>8</v>
      </c>
      <c r="W41" s="1565">
        <f t="shared" si="14"/>
        <v>100</v>
      </c>
      <c r="X41" s="1566"/>
      <c r="Y41" s="338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85"/>
      <c r="Q42" s="1559" t="str">
        <f t="shared" si="11"/>
        <v>内部装修</v>
      </c>
      <c r="R42" s="1560" t="s">
        <v>8</v>
      </c>
      <c r="S42" s="1561">
        <f t="shared" si="12"/>
        <v>100</v>
      </c>
      <c r="T42" s="1560" t="s">
        <v>8</v>
      </c>
      <c r="U42" s="1561">
        <f t="shared" si="13"/>
        <v>100</v>
      </c>
      <c r="V42" s="1560" t="s">
        <v>8</v>
      </c>
      <c r="W42" s="1561">
        <f t="shared" si="14"/>
        <v>100</v>
      </c>
      <c r="X42" s="1554"/>
      <c r="Y42" s="3385"/>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85"/>
      <c r="Q43" s="1559" t="str">
        <f t="shared" si="11"/>
        <v>内部装修维护情况</v>
      </c>
      <c r="R43" s="1560" t="s">
        <v>8</v>
      </c>
      <c r="S43" s="1561">
        <f t="shared" si="12"/>
        <v>100</v>
      </c>
      <c r="T43" s="1560" t="s">
        <v>8</v>
      </c>
      <c r="U43" s="1561">
        <f t="shared" si="13"/>
        <v>100</v>
      </c>
      <c r="V43" s="1560" t="s">
        <v>8</v>
      </c>
      <c r="W43" s="1561">
        <f t="shared" si="14"/>
        <v>100</v>
      </c>
      <c r="X43" s="1554"/>
      <c r="Y43" s="338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85"/>
      <c r="Q44" s="1147">
        <f t="shared" si="11"/>
        <v>111</v>
      </c>
      <c r="R44" s="1555" t="s">
        <v>8</v>
      </c>
      <c r="S44" s="1556">
        <f t="shared" si="12"/>
        <v>100</v>
      </c>
      <c r="T44" s="1555" t="s">
        <v>8</v>
      </c>
      <c r="U44" s="1556">
        <f t="shared" si="13"/>
        <v>100</v>
      </c>
      <c r="V44" s="1555" t="s">
        <v>8</v>
      </c>
      <c r="W44" s="1556">
        <f t="shared" si="14"/>
        <v>100</v>
      </c>
      <c r="X44" s="1557"/>
      <c r="Y44" s="338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85"/>
      <c r="Q45" s="1559">
        <f t="shared" si="11"/>
        <v>111</v>
      </c>
      <c r="R45" s="1560" t="s">
        <v>8</v>
      </c>
      <c r="S45" s="1561">
        <f t="shared" si="12"/>
        <v>100</v>
      </c>
      <c r="T45" s="1560" t="s">
        <v>8</v>
      </c>
      <c r="U45" s="1561">
        <f t="shared" si="13"/>
        <v>100</v>
      </c>
      <c r="V45" s="1560" t="s">
        <v>8</v>
      </c>
      <c r="W45" s="1561">
        <f t="shared" si="14"/>
        <v>100</v>
      </c>
      <c r="X45" s="1554"/>
      <c r="Y45" s="3385"/>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85"/>
      <c r="Q46" s="1559">
        <f t="shared" si="11"/>
        <v>111</v>
      </c>
      <c r="R46" s="1560" t="s">
        <v>8</v>
      </c>
      <c r="S46" s="1561">
        <f t="shared" si="12"/>
        <v>100</v>
      </c>
      <c r="T46" s="1560" t="s">
        <v>8</v>
      </c>
      <c r="U46" s="1561">
        <f t="shared" si="13"/>
        <v>100</v>
      </c>
      <c r="V46" s="1560" t="s">
        <v>8</v>
      </c>
      <c r="W46" s="1561">
        <f t="shared" si="14"/>
        <v>100</v>
      </c>
      <c r="X46" s="1554"/>
      <c r="Y46" s="3485"/>
      <c r="Z46" s="1562">
        <f t="shared" si="15"/>
        <v>111</v>
      </c>
      <c r="AA46" s="1563">
        <f t="shared" si="3"/>
        <v>1</v>
      </c>
      <c r="AB46" s="1563">
        <f t="shared" si="4"/>
        <v>1</v>
      </c>
      <c r="AC46" s="1563">
        <f t="shared" si="5"/>
        <v>1</v>
      </c>
    </row>
    <row r="47" spans="1:29" ht="14.4">
      <c r="A47" s="607" t="s">
        <v>736</v>
      </c>
      <c r="B47" s="887"/>
      <c r="C47" s="2590" t="s">
        <v>1</v>
      </c>
      <c r="D47" s="2591"/>
      <c r="E47" s="2592"/>
      <c r="F47" s="2593"/>
      <c r="G47" s="2594"/>
      <c r="H47" s="2595"/>
      <c r="I47" s="2592"/>
      <c r="J47" s="2595"/>
      <c r="K47" s="1597"/>
      <c r="L47" s="2128"/>
      <c r="M47" s="2129"/>
      <c r="N47" s="2118"/>
      <c r="O47" s="2129"/>
      <c r="P47" s="3380" t="str">
        <f>A47</f>
        <v>成交单价（元/平方米）</v>
      </c>
      <c r="Q47" s="3380"/>
      <c r="R47" s="3484">
        <f>E47</f>
        <v>0</v>
      </c>
      <c r="S47" s="3484"/>
      <c r="T47" s="3484">
        <f>G47</f>
        <v>0</v>
      </c>
      <c r="U47" s="3484"/>
      <c r="V47" s="3484">
        <f>I47</f>
        <v>0</v>
      </c>
      <c r="W47" s="3484"/>
      <c r="X47" s="1546"/>
      <c r="Y47" s="1568"/>
      <c r="Z47" s="1546"/>
      <c r="AA47" s="1546"/>
      <c r="AB47" s="1546"/>
      <c r="AC47" s="1546"/>
    </row>
    <row r="48" spans="1:29" ht="1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380" t="str">
        <f>A48</f>
        <v>比较价格（元/平方米）</v>
      </c>
      <c r="Q48" s="3380"/>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 thickBot="1">
      <c r="A49" s="621" t="s">
        <v>2928</v>
      </c>
      <c r="B49" s="622"/>
      <c r="C49" s="2599" t="e">
        <f>R49</f>
        <v>#DIV/0!</v>
      </c>
      <c r="D49" s="2599"/>
      <c r="E49" s="2599"/>
      <c r="F49" s="2599"/>
      <c r="G49" s="2599"/>
      <c r="H49" s="2599"/>
      <c r="I49" s="2599"/>
      <c r="J49" s="2599"/>
      <c r="K49" s="1599"/>
      <c r="L49" s="2128"/>
      <c r="M49" s="2129"/>
      <c r="N49" s="2118"/>
      <c r="O49" s="2129"/>
      <c r="P49" s="3401" t="str">
        <f>A49</f>
        <v>估价对象XX用房的比较价格（楼面单价，元/平方米）</v>
      </c>
      <c r="Q49" s="3402"/>
      <c r="R49" s="3483" t="e">
        <f>IF(F1="售价",ROUND(AVERAGE(R48:V48),0),ROUND(AVERAGE(R48:V48),1))</f>
        <v>#DIV/0!</v>
      </c>
      <c r="S49" s="3483"/>
      <c r="T49" s="3483"/>
      <c r="U49" s="3483"/>
      <c r="V49" s="3483"/>
      <c r="W49" s="3483"/>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4.4">
      <c r="A58" s="645" t="s">
        <v>529</v>
      </c>
      <c r="B58" s="646"/>
      <c r="C58" s="2756" t="str">
        <f>YEAR(C7)&amp;"-"&amp;MONTH(C7)</f>
        <v>2020-3</v>
      </c>
      <c r="D58" s="2758">
        <f>EDATE(C58,-1)</f>
        <v>43862</v>
      </c>
      <c r="E58" s="2758">
        <f t="shared" ref="E58:O58" si="16">EDATE(D58,-1)</f>
        <v>43831</v>
      </c>
      <c r="F58" s="2758">
        <f t="shared" si="16"/>
        <v>43800</v>
      </c>
      <c r="G58" s="2758">
        <f t="shared" si="16"/>
        <v>43770</v>
      </c>
      <c r="H58" s="2758">
        <f t="shared" si="16"/>
        <v>43739</v>
      </c>
      <c r="I58" s="2758">
        <f t="shared" si="16"/>
        <v>43709</v>
      </c>
      <c r="J58" s="2758">
        <f t="shared" si="16"/>
        <v>43678</v>
      </c>
      <c r="K58" s="2758">
        <f t="shared" si="16"/>
        <v>43647</v>
      </c>
      <c r="L58" s="2758">
        <f t="shared" si="16"/>
        <v>43617</v>
      </c>
      <c r="M58" s="2758">
        <f t="shared" si="16"/>
        <v>43586</v>
      </c>
      <c r="N58" s="2758">
        <f t="shared" si="16"/>
        <v>43556</v>
      </c>
      <c r="O58" s="2758">
        <f t="shared" si="16"/>
        <v>43525</v>
      </c>
      <c r="P58" s="2144"/>
      <c r="Q58" s="2145"/>
      <c r="R58" s="2145"/>
      <c r="S58" s="2145"/>
      <c r="T58" s="2145"/>
      <c r="U58" s="2145"/>
      <c r="V58" s="2145"/>
      <c r="W58" s="2145"/>
      <c r="X58" s="2145"/>
      <c r="Y58" s="2145"/>
      <c r="Z58" s="2145"/>
      <c r="AA58" s="2145"/>
      <c r="AB58" s="2145"/>
      <c r="AC58" s="2145"/>
    </row>
    <row r="59" spans="1:29" s="1216"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1903</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受贵公司委托，我公司对天山路以东，赤水河街以南，嘉陵江路以北等6宗住宅、商业用地出让国有建设用地使用权抵押价格进行了预评估。</v>
      </c>
    </row>
    <row r="5" spans="1:4" ht="17.399999999999999">
      <c r="A5" s="1778" t="s">
        <v>1904</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南恒大瑞隆置业有限公司使用的、位于天山路以东，赤水河街以南，嘉陵江路以北等6宗住宅、商业用地出让国有建设用地使用权。根据《国有土地使用证》[]，估价对象（分摊）出让国有建设用地使用权面积为40851.83平方米。根据《建设工程规划许可证》[]、《出让合同》[]，估价对象规划建筑面积为61277.75平方米。</v>
      </c>
    </row>
    <row r="7" spans="1:4" ht="87">
      <c r="A7" s="2827" t="s">
        <v>2744</v>
      </c>
    </row>
    <row r="8" spans="1:4" ht="17.399999999999999">
      <c r="A8" s="1778" t="s">
        <v>1905</v>
      </c>
    </row>
    <row r="9" spans="1:4" ht="87">
      <c r="A9" s="1780" t="str">
        <f>IF(项目基本情况!B8="抵押",IF(项目基本情况!B5=项目基本情况!B6,定义!C51,定义!B51),定义!D51)</f>
        <v>拟使用天山路以东，赤水河街以南，嘉陵江路以北等6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2023</v>
      </c>
    </row>
    <row r="11" spans="1:4" ht="17.399999999999999">
      <c r="A11" s="1764" t="str">
        <f>TEXT(项目基本情况!D3,"yyyy年m月d日;;")&amp;IF(项目基本情况!B3=项目基本情况!D3,"（评估专业人员勘察现场之日）","")</f>
        <v>2020年3月15日</v>
      </c>
    </row>
    <row r="12" spans="1:4" ht="17.399999999999999">
      <c r="A12" s="1781" t="s">
        <v>2022</v>
      </c>
    </row>
    <row r="13" spans="1:4" ht="17.399999999999999">
      <c r="A13" s="1775" t="s">
        <v>2068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2069</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2070</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根据《国有土地使用证》[]，估价对象（分摊）出让国有建设用地使用权面积为40851.83平方米。根据《建设工程规划许可证》[]、《出让合同》[]，估价对象规划建筑面积为61277.75平方米。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2071</v>
      </c>
    </row>
    <row r="23" spans="1:1" ht="17.399999999999999">
      <c r="A23" s="2829" t="s">
        <v>2745</v>
      </c>
    </row>
    <row r="24" spans="1:1" ht="17.399999999999999">
      <c r="A24" s="1775" t="s">
        <v>2072</v>
      </c>
    </row>
    <row r="25" spans="1:1" ht="87">
      <c r="A25" s="1775" t="str">
        <f>定义!C53</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2024</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5"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4.4">
      <c r="A4" s="512" t="s">
        <v>521</v>
      </c>
      <c r="B4" s="513"/>
      <c r="C4" s="3386" t="s">
        <v>522</v>
      </c>
      <c r="D4" s="3387"/>
      <c r="E4" s="3410" t="s">
        <v>523</v>
      </c>
      <c r="F4" s="3411"/>
      <c r="G4" s="3386" t="s">
        <v>524</v>
      </c>
      <c r="H4" s="3387"/>
      <c r="I4" s="3386" t="s">
        <v>525</v>
      </c>
      <c r="J4" s="3387"/>
      <c r="K4" s="514" t="s">
        <v>526</v>
      </c>
      <c r="L4" s="2117"/>
      <c r="M4" s="2118"/>
      <c r="N4" s="2118"/>
      <c r="O4" s="2118"/>
      <c r="P4" s="3492" t="s">
        <v>527</v>
      </c>
      <c r="Q4" s="3389"/>
      <c r="R4" s="3374" t="s">
        <v>523</v>
      </c>
      <c r="S4" s="3375"/>
      <c r="T4" s="3374" t="s">
        <v>524</v>
      </c>
      <c r="U4" s="3375"/>
      <c r="V4" s="3394" t="s">
        <v>525</v>
      </c>
      <c r="W4" s="3394"/>
      <c r="X4" s="1554"/>
      <c r="Y4" s="3374" t="s">
        <v>527</v>
      </c>
      <c r="Z4" s="3375"/>
      <c r="AA4" s="3369" t="s">
        <v>523</v>
      </c>
      <c r="AB4" s="3369" t="s">
        <v>524</v>
      </c>
      <c r="AC4" s="3369" t="s">
        <v>525</v>
      </c>
    </row>
    <row r="5" spans="1:29">
      <c r="A5" s="515"/>
      <c r="B5" s="516"/>
      <c r="C5" s="3397" t="s">
        <v>2922</v>
      </c>
      <c r="D5" s="3398"/>
      <c r="E5" s="3412" t="s">
        <v>2923</v>
      </c>
      <c r="F5" s="3413"/>
      <c r="G5" s="3397" t="s">
        <v>2924</v>
      </c>
      <c r="H5" s="3398"/>
      <c r="I5" s="3397" t="s">
        <v>2925</v>
      </c>
      <c r="J5" s="3398"/>
      <c r="K5" s="514"/>
      <c r="L5" s="2117"/>
      <c r="M5" s="2118"/>
      <c r="N5" s="2118"/>
      <c r="O5" s="2118"/>
      <c r="P5" s="3493"/>
      <c r="Q5" s="3391"/>
      <c r="R5" s="3376"/>
      <c r="S5" s="3377"/>
      <c r="T5" s="3376"/>
      <c r="U5" s="3377"/>
      <c r="V5" s="3394"/>
      <c r="W5" s="3394"/>
      <c r="X5" s="1554"/>
      <c r="Y5" s="3376"/>
      <c r="Z5" s="3377"/>
      <c r="AA5" s="3370"/>
      <c r="AB5" s="3370"/>
      <c r="AC5" s="3370"/>
    </row>
    <row r="6" spans="1:29" ht="15" thickBot="1">
      <c r="A6" s="517"/>
      <c r="B6" s="518"/>
      <c r="C6" s="3395" t="s">
        <v>2926</v>
      </c>
      <c r="D6" s="3396"/>
      <c r="E6" s="3414" t="s">
        <v>2926</v>
      </c>
      <c r="F6" s="3415"/>
      <c r="G6" s="3395" t="s">
        <v>2926</v>
      </c>
      <c r="H6" s="3396"/>
      <c r="I6" s="3395" t="s">
        <v>2926</v>
      </c>
      <c r="J6" s="3396"/>
      <c r="K6" s="514" t="s">
        <v>528</v>
      </c>
      <c r="L6" s="2117"/>
      <c r="M6" s="2118"/>
      <c r="N6" s="2118"/>
      <c r="O6" s="2118"/>
      <c r="P6" s="3494"/>
      <c r="Q6" s="3393"/>
      <c r="R6" s="3376"/>
      <c r="S6" s="3377"/>
      <c r="T6" s="3378"/>
      <c r="U6" s="3379"/>
      <c r="V6" s="3394"/>
      <c r="W6" s="3394"/>
      <c r="X6" s="1554"/>
      <c r="Y6" s="3378"/>
      <c r="Z6" s="3379"/>
      <c r="AA6" s="3371"/>
      <c r="AB6" s="3371"/>
      <c r="AC6" s="3371"/>
    </row>
    <row r="7" spans="1:29" s="1216" customFormat="1" ht="15" thickBot="1">
      <c r="A7" s="2866"/>
      <c r="B7" s="2873" t="s">
        <v>529</v>
      </c>
      <c r="C7" s="519">
        <f>'数据-取费表'!B2</f>
        <v>43905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1" t="s">
        <v>530</v>
      </c>
      <c r="Q7" s="3381"/>
      <c r="R7" s="1555" t="s">
        <v>8</v>
      </c>
      <c r="S7" s="1556">
        <f t="shared" ref="S7:S15" si="0">F7</f>
        <v>0</v>
      </c>
      <c r="T7" s="1555" t="s">
        <v>8</v>
      </c>
      <c r="U7" s="1556">
        <f t="shared" ref="U7:U15" si="1">H7</f>
        <v>0</v>
      </c>
      <c r="V7" s="1555" t="s">
        <v>8</v>
      </c>
      <c r="W7" s="1556">
        <f t="shared" ref="W7:W15" si="2">J7</f>
        <v>0</v>
      </c>
      <c r="X7" s="1557"/>
      <c r="Y7" s="3372" t="s">
        <v>530</v>
      </c>
      <c r="Z7" s="3373"/>
      <c r="AA7" s="1558" t="e">
        <f>D7/F7</f>
        <v>#DIV/0!</v>
      </c>
      <c r="AB7" s="1558" t="e">
        <f>D7/H7</f>
        <v>#DIV/0!</v>
      </c>
      <c r="AC7" s="1558" t="e">
        <f>D7/J7</f>
        <v>#DIV/0!</v>
      </c>
    </row>
    <row r="8" spans="1:29" s="1216"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1" t="s">
        <v>533</v>
      </c>
      <c r="Q8" s="3373"/>
      <c r="R8" s="1555" t="s">
        <v>8</v>
      </c>
      <c r="S8" s="1556">
        <f t="shared" si="0"/>
        <v>0</v>
      </c>
      <c r="T8" s="1555" t="s">
        <v>8</v>
      </c>
      <c r="U8" s="1556">
        <f t="shared" si="1"/>
        <v>0</v>
      </c>
      <c r="V8" s="1555" t="s">
        <v>8</v>
      </c>
      <c r="W8" s="1556">
        <f t="shared" si="2"/>
        <v>0</v>
      </c>
      <c r="X8" s="1557"/>
      <c r="Y8" s="3372" t="s">
        <v>533</v>
      </c>
      <c r="Z8" s="3373"/>
      <c r="AA8" s="1558" t="e">
        <f t="shared" ref="AA8:AA47" si="3">D8/F8</f>
        <v>#DIV/0!</v>
      </c>
      <c r="AB8" s="1558" t="e">
        <f t="shared" ref="AB8:AB47" si="4">D8/H8</f>
        <v>#DIV/0!</v>
      </c>
      <c r="AC8" s="1558" t="e">
        <f t="shared" ref="AC8:AC47" si="5">D8/J8</f>
        <v>#DIV/0!</v>
      </c>
    </row>
    <row r="9" spans="1:29" s="1216" customFormat="1" ht="14.4">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0" t="s">
        <v>535</v>
      </c>
      <c r="Q9" s="1147" t="str">
        <f t="shared" ref="Q9:Q15" si="6">B9</f>
        <v>用途</v>
      </c>
      <c r="R9" s="1555" t="s">
        <v>8</v>
      </c>
      <c r="S9" s="1556">
        <f t="shared" si="0"/>
        <v>100</v>
      </c>
      <c r="T9" s="1555" t="s">
        <v>8</v>
      </c>
      <c r="U9" s="1556">
        <f t="shared" si="1"/>
        <v>100</v>
      </c>
      <c r="V9" s="1555" t="s">
        <v>8</v>
      </c>
      <c r="W9" s="1556">
        <f t="shared" si="2"/>
        <v>100</v>
      </c>
      <c r="X9" s="1557"/>
      <c r="Y9" s="3337"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0"/>
      <c r="Q11" s="1147" t="str">
        <f t="shared" si="6"/>
        <v>容积率</v>
      </c>
      <c r="R11" s="1555" t="s">
        <v>8</v>
      </c>
      <c r="S11" s="1556" t="e">
        <f t="shared" si="0"/>
        <v>#N/A</v>
      </c>
      <c r="T11" s="1555" t="s">
        <v>8</v>
      </c>
      <c r="U11" s="1556" t="e">
        <f t="shared" si="1"/>
        <v>#N/A</v>
      </c>
      <c r="V11" s="1555" t="s">
        <v>8</v>
      </c>
      <c r="W11" s="1556" t="e">
        <f t="shared" si="2"/>
        <v>#N/A</v>
      </c>
      <c r="X11" s="1557"/>
      <c r="Y11" s="333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 t="shared" si="3"/>
        <v>1</v>
      </c>
      <c r="AB14" s="1558">
        <f t="shared" si="4"/>
        <v>1</v>
      </c>
      <c r="AC14" s="1558">
        <f t="shared" si="5"/>
        <v>1</v>
      </c>
    </row>
    <row r="15" spans="1:29" ht="15">
      <c r="A15" s="2864"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82" t="s">
        <v>540</v>
      </c>
      <c r="Q15" s="1559" t="str">
        <f t="shared" si="6"/>
        <v>办公集聚程度</v>
      </c>
      <c r="R15" s="1560" t="s">
        <v>8</v>
      </c>
      <c r="S15" s="1561">
        <f t="shared" si="0"/>
        <v>100</v>
      </c>
      <c r="T15" s="1560" t="s">
        <v>8</v>
      </c>
      <c r="U15" s="1561">
        <f t="shared" si="1"/>
        <v>100</v>
      </c>
      <c r="V15" s="1560" t="s">
        <v>8</v>
      </c>
      <c r="W15" s="1561">
        <f t="shared" si="2"/>
        <v>100</v>
      </c>
      <c r="X15" s="1554"/>
      <c r="Y15" s="338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383"/>
      <c r="Q16" s="1559"/>
      <c r="R16" s="1560"/>
      <c r="S16" s="1561"/>
      <c r="T16" s="1560"/>
      <c r="U16" s="1561"/>
      <c r="V16" s="1560"/>
      <c r="W16" s="1561"/>
      <c r="X16" s="1554"/>
      <c r="Y16" s="3383"/>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83"/>
      <c r="Q17" s="1559" t="str">
        <f>B17</f>
        <v>交通便捷度</v>
      </c>
      <c r="R17" s="1560" t="s">
        <v>8</v>
      </c>
      <c r="S17" s="1561">
        <f>F17</f>
        <v>100</v>
      </c>
      <c r="T17" s="1560" t="s">
        <v>8</v>
      </c>
      <c r="U17" s="1561">
        <f>H17</f>
        <v>100</v>
      </c>
      <c r="V17" s="1560" t="s">
        <v>8</v>
      </c>
      <c r="W17" s="1561">
        <f>J17</f>
        <v>100</v>
      </c>
      <c r="X17" s="1554"/>
      <c r="Y17" s="338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383"/>
      <c r="Q18" s="1559"/>
      <c r="R18" s="1560"/>
      <c r="S18" s="1561"/>
      <c r="T18" s="1560"/>
      <c r="U18" s="1561"/>
      <c r="V18" s="1560"/>
      <c r="W18" s="1561"/>
      <c r="X18" s="1554"/>
      <c r="Y18" s="3383"/>
      <c r="Z18" s="1562"/>
      <c r="AA18" s="1563">
        <v>1</v>
      </c>
      <c r="AB18" s="1563">
        <v>1</v>
      </c>
      <c r="AC18" s="1563">
        <v>1</v>
      </c>
    </row>
    <row r="19" spans="1:29" ht="15">
      <c r="A19" s="532"/>
      <c r="B19" s="2566"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83"/>
      <c r="Q19" s="1559" t="str">
        <f>B19</f>
        <v>公共配套设施</v>
      </c>
      <c r="R19" s="1560" t="s">
        <v>8</v>
      </c>
      <c r="S19" s="1561">
        <f>F19</f>
        <v>100</v>
      </c>
      <c r="T19" s="1560" t="s">
        <v>8</v>
      </c>
      <c r="U19" s="1561">
        <f>H19</f>
        <v>100</v>
      </c>
      <c r="V19" s="1560" t="s">
        <v>8</v>
      </c>
      <c r="W19" s="1561">
        <f>J19</f>
        <v>100</v>
      </c>
      <c r="X19" s="1554"/>
      <c r="Y19" s="338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383"/>
      <c r="Q20" s="1559"/>
      <c r="R20" s="1560"/>
      <c r="S20" s="1561"/>
      <c r="T20" s="1560"/>
      <c r="U20" s="1561"/>
      <c r="V20" s="1560"/>
      <c r="W20" s="1561"/>
      <c r="X20" s="1554"/>
      <c r="Y20" s="3383"/>
      <c r="Z20" s="1562"/>
      <c r="AA20" s="1563">
        <v>1</v>
      </c>
      <c r="AB20" s="1563">
        <v>1</v>
      </c>
      <c r="AC20" s="1563">
        <v>1</v>
      </c>
    </row>
    <row r="21" spans="1:29" ht="15">
      <c r="A21" s="532"/>
      <c r="B21" s="2554"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83"/>
      <c r="Q21" s="2542" t="str">
        <f>B21</f>
        <v>基础设施水平</v>
      </c>
      <c r="R21" s="1560" t="s">
        <v>8</v>
      </c>
      <c r="S21" s="1561">
        <f>F21</f>
        <v>100</v>
      </c>
      <c r="T21" s="1560" t="s">
        <v>8</v>
      </c>
      <c r="U21" s="1561">
        <f>H21</f>
        <v>100</v>
      </c>
      <c r="V21" s="1560" t="s">
        <v>8</v>
      </c>
      <c r="W21" s="1561">
        <f>J21</f>
        <v>100</v>
      </c>
      <c r="X21" s="2544"/>
      <c r="Y21" s="3383"/>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383"/>
      <c r="Q22" s="2542"/>
      <c r="R22" s="1560"/>
      <c r="S22" s="1561"/>
      <c r="T22" s="1560"/>
      <c r="U22" s="1561"/>
      <c r="V22" s="1560"/>
      <c r="W22" s="1561"/>
      <c r="X22" s="2544"/>
      <c r="Y22" s="3383"/>
      <c r="Z22" s="2543"/>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83"/>
      <c r="Q23" s="1559" t="str">
        <f>B23</f>
        <v>环境质量</v>
      </c>
      <c r="R23" s="1560" t="s">
        <v>8</v>
      </c>
      <c r="S23" s="1561">
        <f>F23</f>
        <v>100</v>
      </c>
      <c r="T23" s="1560" t="s">
        <v>8</v>
      </c>
      <c r="U23" s="1561">
        <f>H23</f>
        <v>100</v>
      </c>
      <c r="V23" s="1560" t="s">
        <v>8</v>
      </c>
      <c r="W23" s="1561">
        <f>J23</f>
        <v>100</v>
      </c>
      <c r="X23" s="1554"/>
      <c r="Y23" s="338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383"/>
      <c r="Q24" s="1559"/>
      <c r="R24" s="1560"/>
      <c r="S24" s="1561"/>
      <c r="T24" s="1560"/>
      <c r="U24" s="1561"/>
      <c r="V24" s="1560"/>
      <c r="W24" s="1561"/>
      <c r="X24" s="1554"/>
      <c r="Y24" s="3383"/>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83"/>
      <c r="Q25" s="1559" t="str">
        <f>B25</f>
        <v>毗邻道路的类型与等级</v>
      </c>
      <c r="R25" s="1560" t="s">
        <v>8</v>
      </c>
      <c r="S25" s="1561">
        <f>F25</f>
        <v>100</v>
      </c>
      <c r="T25" s="1560" t="s">
        <v>8</v>
      </c>
      <c r="U25" s="1561">
        <f>H25</f>
        <v>100</v>
      </c>
      <c r="V25" s="1560" t="s">
        <v>8</v>
      </c>
      <c r="W25" s="1561">
        <f>J25</f>
        <v>100</v>
      </c>
      <c r="X25" s="1554"/>
      <c r="Y25" s="338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383"/>
      <c r="Q26" s="1559"/>
      <c r="R26" s="1560"/>
      <c r="S26" s="1561"/>
      <c r="T26" s="1560"/>
      <c r="U26" s="1561"/>
      <c r="V26" s="1560"/>
      <c r="W26" s="1561"/>
      <c r="X26" s="1554"/>
      <c r="Y26" s="338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83"/>
      <c r="Q27" s="1559" t="str">
        <f t="shared" ref="Q27:Q47" si="11">B27</f>
        <v>楼层</v>
      </c>
      <c r="R27" s="1560" t="s">
        <v>8</v>
      </c>
      <c r="S27" s="1561">
        <f>F27</f>
        <v>100</v>
      </c>
      <c r="T27" s="1560" t="s">
        <v>8</v>
      </c>
      <c r="U27" s="1561">
        <f>H27</f>
        <v>100</v>
      </c>
      <c r="V27" s="1560" t="s">
        <v>8</v>
      </c>
      <c r="W27" s="1561">
        <f>J27</f>
        <v>100</v>
      </c>
      <c r="X27" s="1554"/>
      <c r="Y27" s="338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83"/>
      <c r="Q28" s="1147" t="str">
        <f t="shared" si="11"/>
        <v>朝向</v>
      </c>
      <c r="R28" s="1555" t="s">
        <v>8</v>
      </c>
      <c r="S28" s="1556">
        <f>F28</f>
        <v>100</v>
      </c>
      <c r="T28" s="1555" t="s">
        <v>8</v>
      </c>
      <c r="U28" s="1556">
        <f>H28</f>
        <v>100</v>
      </c>
      <c r="V28" s="1555" t="s">
        <v>8</v>
      </c>
      <c r="W28" s="1556">
        <f>J28</f>
        <v>100</v>
      </c>
      <c r="X28" s="1557"/>
      <c r="Y28" s="338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83"/>
      <c r="Q29" s="1559">
        <f t="shared" si="11"/>
        <v>111</v>
      </c>
      <c r="R29" s="1560" t="s">
        <v>8</v>
      </c>
      <c r="S29" s="1561">
        <f t="shared" ref="S29:S47" si="12">F29</f>
        <v>100</v>
      </c>
      <c r="T29" s="1560" t="s">
        <v>8</v>
      </c>
      <c r="U29" s="1561">
        <f t="shared" ref="U29:U47" si="13">H29</f>
        <v>100</v>
      </c>
      <c r="V29" s="1560" t="s">
        <v>8</v>
      </c>
      <c r="W29" s="1561">
        <f t="shared" ref="W29:W47" si="14">J29</f>
        <v>100</v>
      </c>
      <c r="X29" s="1554"/>
      <c r="Y29" s="338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83"/>
      <c r="Q30" s="1559">
        <f t="shared" si="11"/>
        <v>111</v>
      </c>
      <c r="R30" s="1560" t="s">
        <v>8</v>
      </c>
      <c r="S30" s="1561">
        <f t="shared" si="12"/>
        <v>100</v>
      </c>
      <c r="T30" s="1560" t="s">
        <v>8</v>
      </c>
      <c r="U30" s="1561">
        <f t="shared" si="13"/>
        <v>100</v>
      </c>
      <c r="V30" s="1560" t="s">
        <v>8</v>
      </c>
      <c r="W30" s="1561">
        <f t="shared" si="14"/>
        <v>100</v>
      </c>
      <c r="X30" s="1554"/>
      <c r="Y30" s="338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83"/>
      <c r="Q31" s="1559">
        <f t="shared" si="11"/>
        <v>111</v>
      </c>
      <c r="R31" s="1560" t="s">
        <v>8</v>
      </c>
      <c r="S31" s="1561">
        <f t="shared" si="12"/>
        <v>100</v>
      </c>
      <c r="T31" s="1560" t="s">
        <v>8</v>
      </c>
      <c r="U31" s="1561">
        <f t="shared" si="13"/>
        <v>100</v>
      </c>
      <c r="V31" s="1560" t="s">
        <v>8</v>
      </c>
      <c r="W31" s="1561">
        <f t="shared" si="14"/>
        <v>100</v>
      </c>
      <c r="X31" s="1554"/>
      <c r="Y31" s="3383"/>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83"/>
      <c r="Q32" s="1559">
        <f t="shared" si="11"/>
        <v>111</v>
      </c>
      <c r="R32" s="1560" t="s">
        <v>8</v>
      </c>
      <c r="S32" s="1561">
        <f t="shared" si="12"/>
        <v>100</v>
      </c>
      <c r="T32" s="1560" t="s">
        <v>8</v>
      </c>
      <c r="U32" s="1561">
        <f t="shared" si="13"/>
        <v>100</v>
      </c>
      <c r="V32" s="1560" t="s">
        <v>8</v>
      </c>
      <c r="W32" s="1561">
        <f t="shared" si="14"/>
        <v>100</v>
      </c>
      <c r="X32" s="1554"/>
      <c r="Y32" s="3383"/>
      <c r="Z32" s="1562">
        <f t="shared" si="15"/>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84" t="s">
        <v>550</v>
      </c>
      <c r="Q33" s="1559" t="str">
        <f t="shared" si="11"/>
        <v>建筑类型</v>
      </c>
      <c r="R33" s="1560" t="s">
        <v>8</v>
      </c>
      <c r="S33" s="1561">
        <f t="shared" si="12"/>
        <v>100</v>
      </c>
      <c r="T33" s="1560" t="s">
        <v>8</v>
      </c>
      <c r="U33" s="1561">
        <f t="shared" si="13"/>
        <v>100</v>
      </c>
      <c r="V33" s="1560" t="s">
        <v>8</v>
      </c>
      <c r="W33" s="1561">
        <f t="shared" si="14"/>
        <v>100</v>
      </c>
      <c r="X33" s="1554"/>
      <c r="Y33" s="338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85"/>
      <c r="Q34" s="1591" t="str">
        <f t="shared" si="11"/>
        <v>项目建筑规模</v>
      </c>
      <c r="R34" s="1564" t="s">
        <v>8</v>
      </c>
      <c r="S34" s="1565" t="e">
        <f t="shared" si="12"/>
        <v>#N/A</v>
      </c>
      <c r="T34" s="1564" t="s">
        <v>8</v>
      </c>
      <c r="U34" s="1565" t="e">
        <f t="shared" si="13"/>
        <v>#N/A</v>
      </c>
      <c r="V34" s="1564" t="s">
        <v>8</v>
      </c>
      <c r="W34" s="1565" t="e">
        <f t="shared" si="14"/>
        <v>#N/A</v>
      </c>
      <c r="X34" s="1566"/>
      <c r="Y34" s="338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85"/>
      <c r="Q35" s="1559" t="str">
        <f t="shared" si="11"/>
        <v>建筑结构</v>
      </c>
      <c r="R35" s="1560" t="s">
        <v>8</v>
      </c>
      <c r="S35" s="1561">
        <f t="shared" si="12"/>
        <v>100</v>
      </c>
      <c r="T35" s="1560" t="s">
        <v>8</v>
      </c>
      <c r="U35" s="1561">
        <f t="shared" si="13"/>
        <v>100</v>
      </c>
      <c r="V35" s="1560" t="s">
        <v>8</v>
      </c>
      <c r="W35" s="1561">
        <f t="shared" si="14"/>
        <v>100</v>
      </c>
      <c r="X35" s="1554"/>
      <c r="Y35" s="338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85"/>
      <c r="Q36" s="1559" t="str">
        <f t="shared" si="11"/>
        <v>公共部分装修</v>
      </c>
      <c r="R36" s="1560" t="s">
        <v>8</v>
      </c>
      <c r="S36" s="1561">
        <f t="shared" si="12"/>
        <v>100</v>
      </c>
      <c r="T36" s="1560" t="s">
        <v>8</v>
      </c>
      <c r="U36" s="1561">
        <f t="shared" si="13"/>
        <v>100</v>
      </c>
      <c r="V36" s="1560" t="s">
        <v>8</v>
      </c>
      <c r="W36" s="1561">
        <f t="shared" si="14"/>
        <v>100</v>
      </c>
      <c r="X36" s="1554"/>
      <c r="Y36" s="338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85"/>
      <c r="Q37" s="1559" t="str">
        <f t="shared" si="11"/>
        <v>成新度</v>
      </c>
      <c r="R37" s="1560" t="s">
        <v>8</v>
      </c>
      <c r="S37" s="1561" t="e">
        <f t="shared" si="12"/>
        <v>#N/A</v>
      </c>
      <c r="T37" s="1560" t="s">
        <v>8</v>
      </c>
      <c r="U37" s="1561" t="e">
        <f t="shared" si="13"/>
        <v>#N/A</v>
      </c>
      <c r="V37" s="1560" t="s">
        <v>8</v>
      </c>
      <c r="W37" s="1561" t="e">
        <f t="shared" si="14"/>
        <v>#N/A</v>
      </c>
      <c r="X37" s="1554"/>
      <c r="Y37" s="338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85"/>
      <c r="Q38" s="1147" t="str">
        <f t="shared" si="11"/>
        <v>写字楼等级</v>
      </c>
      <c r="R38" s="1555" t="s">
        <v>8</v>
      </c>
      <c r="S38" s="1556">
        <f t="shared" si="12"/>
        <v>100</v>
      </c>
      <c r="T38" s="1555" t="s">
        <v>8</v>
      </c>
      <c r="U38" s="1556">
        <f t="shared" si="13"/>
        <v>100</v>
      </c>
      <c r="V38" s="1555" t="s">
        <v>8</v>
      </c>
      <c r="W38" s="1556">
        <f t="shared" si="14"/>
        <v>100</v>
      </c>
      <c r="X38" s="1557"/>
      <c r="Y38" s="338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85" t="s">
        <v>550</v>
      </c>
      <c r="Q39" s="1559" t="str">
        <f t="shared" si="11"/>
        <v>物业管理</v>
      </c>
      <c r="R39" s="1560" t="s">
        <v>8</v>
      </c>
      <c r="S39" s="1561">
        <f t="shared" si="12"/>
        <v>100</v>
      </c>
      <c r="T39" s="1560" t="s">
        <v>8</v>
      </c>
      <c r="U39" s="1561">
        <f t="shared" si="13"/>
        <v>100</v>
      </c>
      <c r="V39" s="1560" t="s">
        <v>8</v>
      </c>
      <c r="W39" s="1561">
        <f t="shared" si="14"/>
        <v>100</v>
      </c>
      <c r="X39" s="1554"/>
      <c r="Y39" s="3385"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85"/>
      <c r="Q40" s="1559" t="str">
        <f t="shared" si="11"/>
        <v>市政基础设施</v>
      </c>
      <c r="R40" s="1560" t="s">
        <v>8</v>
      </c>
      <c r="S40" s="1561">
        <f t="shared" si="12"/>
        <v>100</v>
      </c>
      <c r="T40" s="1560" t="s">
        <v>8</v>
      </c>
      <c r="U40" s="1561">
        <f t="shared" si="13"/>
        <v>100</v>
      </c>
      <c r="V40" s="1560" t="s">
        <v>8</v>
      </c>
      <c r="W40" s="1561">
        <f t="shared" si="14"/>
        <v>100</v>
      </c>
      <c r="X40" s="1554"/>
      <c r="Y40" s="338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85"/>
      <c r="Q41" s="1559" t="str">
        <f t="shared" si="11"/>
        <v>层高</v>
      </c>
      <c r="R41" s="1560" t="s">
        <v>8</v>
      </c>
      <c r="S41" s="1561">
        <f t="shared" si="12"/>
        <v>100</v>
      </c>
      <c r="T41" s="1560" t="s">
        <v>8</v>
      </c>
      <c r="U41" s="1561">
        <f t="shared" si="13"/>
        <v>100</v>
      </c>
      <c r="V41" s="1560" t="s">
        <v>8</v>
      </c>
      <c r="W41" s="1561">
        <f t="shared" si="14"/>
        <v>100</v>
      </c>
      <c r="X41" s="1554"/>
      <c r="Y41" s="338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85"/>
      <c r="Q42" s="1591" t="str">
        <f t="shared" si="11"/>
        <v>单套建筑面积</v>
      </c>
      <c r="R42" s="1564" t="s">
        <v>8</v>
      </c>
      <c r="S42" s="1565">
        <f t="shared" si="12"/>
        <v>100</v>
      </c>
      <c r="T42" s="1564" t="s">
        <v>8</v>
      </c>
      <c r="U42" s="1565">
        <f t="shared" si="13"/>
        <v>100</v>
      </c>
      <c r="V42" s="1564" t="s">
        <v>8</v>
      </c>
      <c r="W42" s="1565">
        <f t="shared" si="14"/>
        <v>100</v>
      </c>
      <c r="X42" s="1566"/>
      <c r="Y42" s="338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85"/>
      <c r="Q43" s="1559" t="str">
        <f t="shared" si="11"/>
        <v>内部装修</v>
      </c>
      <c r="R43" s="1560" t="s">
        <v>8</v>
      </c>
      <c r="S43" s="1561">
        <f t="shared" si="12"/>
        <v>100</v>
      </c>
      <c r="T43" s="1560" t="s">
        <v>8</v>
      </c>
      <c r="U43" s="1561">
        <f t="shared" si="13"/>
        <v>100</v>
      </c>
      <c r="V43" s="1560" t="s">
        <v>8</v>
      </c>
      <c r="W43" s="1561">
        <f t="shared" si="14"/>
        <v>100</v>
      </c>
      <c r="X43" s="1554"/>
      <c r="Y43" s="3385"/>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85"/>
      <c r="Q44" s="1559" t="str">
        <f t="shared" si="11"/>
        <v>内部装修维护情况</v>
      </c>
      <c r="R44" s="1560" t="s">
        <v>8</v>
      </c>
      <c r="S44" s="1561">
        <f t="shared" si="12"/>
        <v>100</v>
      </c>
      <c r="T44" s="1560" t="s">
        <v>8</v>
      </c>
      <c r="U44" s="1561">
        <f t="shared" si="13"/>
        <v>100</v>
      </c>
      <c r="V44" s="1560" t="s">
        <v>8</v>
      </c>
      <c r="W44" s="1561">
        <f t="shared" si="14"/>
        <v>100</v>
      </c>
      <c r="X44" s="1554"/>
      <c r="Y44" s="338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85"/>
      <c r="Q45" s="1147">
        <f t="shared" si="11"/>
        <v>111</v>
      </c>
      <c r="R45" s="1555" t="s">
        <v>8</v>
      </c>
      <c r="S45" s="1556">
        <f t="shared" si="12"/>
        <v>100</v>
      </c>
      <c r="T45" s="1555" t="s">
        <v>8</v>
      </c>
      <c r="U45" s="1556">
        <f t="shared" si="13"/>
        <v>100</v>
      </c>
      <c r="V45" s="1555" t="s">
        <v>8</v>
      </c>
      <c r="W45" s="1556">
        <f t="shared" si="14"/>
        <v>100</v>
      </c>
      <c r="X45" s="1557"/>
      <c r="Y45" s="338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85"/>
      <c r="Q46" s="1559">
        <f t="shared" si="11"/>
        <v>111</v>
      </c>
      <c r="R46" s="1560" t="s">
        <v>8</v>
      </c>
      <c r="S46" s="1561">
        <f t="shared" si="12"/>
        <v>100</v>
      </c>
      <c r="T46" s="1560" t="s">
        <v>8</v>
      </c>
      <c r="U46" s="1561">
        <f t="shared" si="13"/>
        <v>100</v>
      </c>
      <c r="V46" s="1560" t="s">
        <v>8</v>
      </c>
      <c r="W46" s="1561">
        <f t="shared" si="14"/>
        <v>100</v>
      </c>
      <c r="X46" s="1554"/>
      <c r="Y46" s="3385"/>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85"/>
      <c r="Q47" s="1559">
        <f t="shared" si="11"/>
        <v>111</v>
      </c>
      <c r="R47" s="1560" t="s">
        <v>8</v>
      </c>
      <c r="S47" s="1561">
        <f t="shared" si="12"/>
        <v>100</v>
      </c>
      <c r="T47" s="1560" t="s">
        <v>8</v>
      </c>
      <c r="U47" s="1561">
        <f t="shared" si="13"/>
        <v>100</v>
      </c>
      <c r="V47" s="1560" t="s">
        <v>8</v>
      </c>
      <c r="W47" s="1561">
        <f t="shared" si="14"/>
        <v>100</v>
      </c>
      <c r="X47" s="1554"/>
      <c r="Y47" s="3485"/>
      <c r="Z47" s="1562">
        <f t="shared" si="15"/>
        <v>111</v>
      </c>
      <c r="AA47" s="1563">
        <f t="shared" si="3"/>
        <v>1</v>
      </c>
      <c r="AB47" s="1563">
        <f t="shared" si="4"/>
        <v>1</v>
      </c>
      <c r="AC47" s="1563">
        <f t="shared" si="5"/>
        <v>1</v>
      </c>
    </row>
    <row r="48" spans="1:29" ht="14.4">
      <c r="A48" s="607" t="s">
        <v>736</v>
      </c>
      <c r="B48" s="887"/>
      <c r="C48" s="2590" t="s">
        <v>1</v>
      </c>
      <c r="D48" s="2591"/>
      <c r="E48" s="2592"/>
      <c r="F48" s="2593"/>
      <c r="G48" s="2594"/>
      <c r="H48" s="2595"/>
      <c r="I48" s="2592"/>
      <c r="J48" s="2595"/>
      <c r="K48" s="1597"/>
      <c r="L48" s="2128"/>
      <c r="M48" s="2118"/>
      <c r="N48" s="2118"/>
      <c r="O48" s="2118"/>
      <c r="P48" s="3402" t="str">
        <f>A48</f>
        <v>成交单价（元/平方米）</v>
      </c>
      <c r="Q48" s="3380"/>
      <c r="R48" s="3484">
        <f>E48</f>
        <v>0</v>
      </c>
      <c r="S48" s="3484"/>
      <c r="T48" s="3484">
        <f>G48</f>
        <v>0</v>
      </c>
      <c r="U48" s="3484"/>
      <c r="V48" s="3484">
        <f>I48</f>
        <v>0</v>
      </c>
      <c r="W48" s="3484"/>
      <c r="X48" s="1546"/>
      <c r="Y48" s="1568"/>
      <c r="Z48" s="1546"/>
      <c r="AA48" s="1546"/>
      <c r="AB48" s="1546"/>
      <c r="AC48" s="1546"/>
    </row>
    <row r="49" spans="1:29" ht="1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402" t="str">
        <f>A49</f>
        <v>比较价格（元/平方米）</v>
      </c>
      <c r="Q49" s="3380"/>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6"/>
      <c r="Y49" s="1546"/>
      <c r="Z49" s="1546"/>
      <c r="AA49" s="1546"/>
      <c r="AB49" s="1546"/>
      <c r="AC49" s="1546"/>
    </row>
    <row r="50" spans="1:29" ht="15" thickBot="1">
      <c r="A50" s="621" t="s">
        <v>2928</v>
      </c>
      <c r="B50" s="622"/>
      <c r="C50" s="2599" t="e">
        <f>R50</f>
        <v>#DIV/0!</v>
      </c>
      <c r="D50" s="2599"/>
      <c r="E50" s="2599"/>
      <c r="F50" s="2599"/>
      <c r="G50" s="2599"/>
      <c r="H50" s="2599"/>
      <c r="I50" s="2599"/>
      <c r="J50" s="2599"/>
      <c r="K50" s="1599"/>
      <c r="L50" s="2128"/>
      <c r="M50" s="2118"/>
      <c r="N50" s="2118"/>
      <c r="O50" s="2118"/>
      <c r="P50" s="3495" t="str">
        <f>A50</f>
        <v>估价对象XX用房的比较价格（楼面单价，元/平方米）</v>
      </c>
      <c r="Q50" s="3402"/>
      <c r="R50" s="3483" t="e">
        <f>IF(F1="售价",ROUND(AVERAGE(R49:V49),0),ROUND(AVERAGE(R49:V49),1))</f>
        <v>#DIV/0!</v>
      </c>
      <c r="S50" s="3483"/>
      <c r="T50" s="3483"/>
      <c r="U50" s="3483"/>
      <c r="V50" s="3483"/>
      <c r="W50" s="3483"/>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4.4">
      <c r="A59" s="645" t="s">
        <v>529</v>
      </c>
      <c r="B59" s="646"/>
      <c r="C59" s="2756" t="str">
        <f>YEAR(C7)&amp;"-"&amp;MONTH(C7)</f>
        <v>2020-3</v>
      </c>
      <c r="D59" s="2758">
        <f>EDATE(C59,-1)</f>
        <v>43862</v>
      </c>
      <c r="E59" s="2758">
        <f t="shared" ref="E59:O59" si="16">EDATE(D59,-1)</f>
        <v>43831</v>
      </c>
      <c r="F59" s="2758">
        <f t="shared" si="16"/>
        <v>43800</v>
      </c>
      <c r="G59" s="2758">
        <f t="shared" si="16"/>
        <v>43770</v>
      </c>
      <c r="H59" s="2758">
        <f t="shared" si="16"/>
        <v>43739</v>
      </c>
      <c r="I59" s="2758">
        <f t="shared" si="16"/>
        <v>43709</v>
      </c>
      <c r="J59" s="2758">
        <f t="shared" si="16"/>
        <v>43678</v>
      </c>
      <c r="K59" s="2758">
        <f t="shared" si="16"/>
        <v>43647</v>
      </c>
      <c r="L59" s="2758">
        <f t="shared" si="16"/>
        <v>43617</v>
      </c>
      <c r="M59" s="2758">
        <f t="shared" si="16"/>
        <v>43586</v>
      </c>
      <c r="N59" s="2758">
        <f t="shared" si="16"/>
        <v>43556</v>
      </c>
      <c r="O59" s="2758">
        <f t="shared" si="16"/>
        <v>43525</v>
      </c>
      <c r="P59" s="2195"/>
      <c r="Q59" s="2145"/>
      <c r="R59" s="2145"/>
      <c r="S59" s="2145"/>
      <c r="T59" s="2145"/>
      <c r="U59" s="2145"/>
      <c r="V59" s="2145"/>
      <c r="W59" s="2145"/>
      <c r="X59" s="2145"/>
      <c r="Y59" s="2145"/>
      <c r="Z59" s="2145"/>
      <c r="AA59" s="2145"/>
      <c r="AB59" s="2145"/>
      <c r="AC59" s="2145"/>
    </row>
    <row r="60" spans="1:29" s="1216"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521</v>
      </c>
      <c r="B4" s="513"/>
      <c r="C4" s="3386" t="s">
        <v>522</v>
      </c>
      <c r="D4" s="3387"/>
      <c r="E4" s="3410" t="s">
        <v>523</v>
      </c>
      <c r="F4" s="3411"/>
      <c r="G4" s="3386" t="s">
        <v>524</v>
      </c>
      <c r="H4" s="3387"/>
      <c r="I4" s="3386" t="s">
        <v>525</v>
      </c>
      <c r="J4" s="3387"/>
      <c r="K4" s="514" t="s">
        <v>526</v>
      </c>
      <c r="L4" s="2117"/>
      <c r="M4" s="2118"/>
      <c r="N4" s="2118"/>
      <c r="O4" s="2118"/>
      <c r="P4" s="3388" t="s">
        <v>527</v>
      </c>
      <c r="Q4" s="3389"/>
      <c r="R4" s="3374" t="s">
        <v>523</v>
      </c>
      <c r="S4" s="3375"/>
      <c r="T4" s="3374" t="s">
        <v>524</v>
      </c>
      <c r="U4" s="3375"/>
      <c r="V4" s="3394" t="s">
        <v>525</v>
      </c>
      <c r="W4" s="3394"/>
      <c r="X4" s="1554"/>
      <c r="Y4" s="3374" t="s">
        <v>527</v>
      </c>
      <c r="Z4" s="3375"/>
      <c r="AA4" s="3369" t="s">
        <v>523</v>
      </c>
      <c r="AB4" s="3370" t="s">
        <v>524</v>
      </c>
      <c r="AC4" s="3369" t="s">
        <v>525</v>
      </c>
    </row>
    <row r="5" spans="1:29">
      <c r="A5" s="515"/>
      <c r="B5" s="516"/>
      <c r="C5" s="3397" t="s">
        <v>2922</v>
      </c>
      <c r="D5" s="3398"/>
      <c r="E5" s="3412" t="s">
        <v>2923</v>
      </c>
      <c r="F5" s="3413"/>
      <c r="G5" s="3397" t="s">
        <v>2924</v>
      </c>
      <c r="H5" s="3398"/>
      <c r="I5" s="3397" t="s">
        <v>2925</v>
      </c>
      <c r="J5" s="3398"/>
      <c r="K5" s="514"/>
      <c r="L5" s="2117"/>
      <c r="M5" s="2118"/>
      <c r="N5" s="2118"/>
      <c r="O5" s="2118"/>
      <c r="P5" s="3390"/>
      <c r="Q5" s="3391"/>
      <c r="R5" s="3376"/>
      <c r="S5" s="3377"/>
      <c r="T5" s="3376"/>
      <c r="U5" s="3377"/>
      <c r="V5" s="3394"/>
      <c r="W5" s="3394"/>
      <c r="X5" s="1554"/>
      <c r="Y5" s="3376"/>
      <c r="Z5" s="3377"/>
      <c r="AA5" s="3370"/>
      <c r="AB5" s="3370"/>
      <c r="AC5" s="3370"/>
    </row>
    <row r="6" spans="1:29" ht="15" thickBot="1">
      <c r="A6" s="517"/>
      <c r="B6" s="518"/>
      <c r="C6" s="3395" t="s">
        <v>2926</v>
      </c>
      <c r="D6" s="3396"/>
      <c r="E6" s="3414" t="s">
        <v>2926</v>
      </c>
      <c r="F6" s="3415"/>
      <c r="G6" s="3395" t="s">
        <v>2926</v>
      </c>
      <c r="H6" s="3396"/>
      <c r="I6" s="3395" t="s">
        <v>2926</v>
      </c>
      <c r="J6" s="3396"/>
      <c r="K6" s="514" t="s">
        <v>528</v>
      </c>
      <c r="L6" s="2117"/>
      <c r="M6" s="2118"/>
      <c r="N6" s="2118"/>
      <c r="O6" s="2118"/>
      <c r="P6" s="3392"/>
      <c r="Q6" s="3393"/>
      <c r="R6" s="3376"/>
      <c r="S6" s="3377"/>
      <c r="T6" s="3378"/>
      <c r="U6" s="3379"/>
      <c r="V6" s="3394"/>
      <c r="W6" s="3394"/>
      <c r="X6" s="1554"/>
      <c r="Y6" s="3378"/>
      <c r="Z6" s="3379"/>
      <c r="AA6" s="3371"/>
      <c r="AB6" s="3371"/>
      <c r="AC6" s="3371"/>
    </row>
    <row r="7" spans="1:29" s="1216" customFormat="1" ht="15" thickBot="1">
      <c r="A7" s="2866"/>
      <c r="B7" s="2873" t="s">
        <v>529</v>
      </c>
      <c r="C7" s="519">
        <f>'数据-取费表'!B2</f>
        <v>43905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72" t="s">
        <v>530</v>
      </c>
      <c r="Q7" s="3381"/>
      <c r="R7" s="1555" t="s">
        <v>8</v>
      </c>
      <c r="S7" s="1556">
        <f t="shared" ref="S7:S15" si="0">F7</f>
        <v>0</v>
      </c>
      <c r="T7" s="1555" t="s">
        <v>8</v>
      </c>
      <c r="U7" s="1556">
        <f t="shared" ref="U7:U15" si="1">H7</f>
        <v>0</v>
      </c>
      <c r="V7" s="1555" t="s">
        <v>8</v>
      </c>
      <c r="W7" s="1556">
        <f t="shared" ref="W7:W15" si="2">J7</f>
        <v>0</v>
      </c>
      <c r="X7" s="1557"/>
      <c r="Y7" s="3372" t="s">
        <v>530</v>
      </c>
      <c r="Z7" s="3373"/>
      <c r="AA7" s="1558" t="e">
        <f>D7/F7</f>
        <v>#DIV/0!</v>
      </c>
      <c r="AB7" s="1558" t="e">
        <f>D7/H7</f>
        <v>#DIV/0!</v>
      </c>
      <c r="AC7" s="1558" t="e">
        <f>D7/J7</f>
        <v>#DIV/0!</v>
      </c>
    </row>
    <row r="8" spans="1:29" s="1216"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72" t="s">
        <v>533</v>
      </c>
      <c r="Q8" s="3373"/>
      <c r="R8" s="1555" t="s">
        <v>8</v>
      </c>
      <c r="S8" s="1556">
        <f t="shared" si="0"/>
        <v>0</v>
      </c>
      <c r="T8" s="1555" t="s">
        <v>8</v>
      </c>
      <c r="U8" s="1556">
        <f t="shared" si="1"/>
        <v>0</v>
      </c>
      <c r="V8" s="1555" t="s">
        <v>8</v>
      </c>
      <c r="W8" s="1556">
        <f t="shared" si="2"/>
        <v>0</v>
      </c>
      <c r="X8" s="1557"/>
      <c r="Y8" s="3372" t="s">
        <v>533</v>
      </c>
      <c r="Z8" s="3373"/>
      <c r="AA8" s="1558" t="e">
        <f t="shared" ref="AA8:AA40" si="3">D8/F8</f>
        <v>#DIV/0!</v>
      </c>
      <c r="AB8" s="1558" t="e">
        <f t="shared" ref="AB8:AB40" si="4">D8/H8</f>
        <v>#DIV/0!</v>
      </c>
      <c r="AC8" s="1558" t="e">
        <f t="shared" ref="AC8:AC40" si="5">D8/J8</f>
        <v>#DIV/0!</v>
      </c>
    </row>
    <row r="9" spans="1:29" s="1216" customFormat="1" ht="14.4">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0" t="s">
        <v>535</v>
      </c>
      <c r="Q9" s="1147" t="str">
        <f t="shared" ref="Q9:Q15" si="6">B9</f>
        <v>用途</v>
      </c>
      <c r="R9" s="1555" t="s">
        <v>8</v>
      </c>
      <c r="S9" s="1556">
        <f t="shared" si="0"/>
        <v>100</v>
      </c>
      <c r="T9" s="1555" t="s">
        <v>8</v>
      </c>
      <c r="U9" s="1556">
        <f t="shared" si="1"/>
        <v>100</v>
      </c>
      <c r="V9" s="1555" t="s">
        <v>8</v>
      </c>
      <c r="W9" s="1556">
        <f t="shared" si="2"/>
        <v>100</v>
      </c>
      <c r="X9" s="1557"/>
      <c r="Y9" s="3337" t="s">
        <v>536</v>
      </c>
      <c r="Z9" s="1146" t="str">
        <f t="shared" ref="Z9:Z15" si="7">Q9</f>
        <v>用途</v>
      </c>
      <c r="AA9" s="1558">
        <f t="shared" si="3"/>
        <v>1</v>
      </c>
      <c r="AB9" s="1558">
        <f t="shared" si="4"/>
        <v>1</v>
      </c>
      <c r="AC9" s="1558">
        <f t="shared" si="5"/>
        <v>1</v>
      </c>
    </row>
    <row r="10" spans="1:29" s="1334" customFormat="1" ht="28.8">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0"/>
      <c r="Q11" s="1147" t="str">
        <f t="shared" si="6"/>
        <v>容积率</v>
      </c>
      <c r="R11" s="1555" t="s">
        <v>8</v>
      </c>
      <c r="S11" s="1556" t="e">
        <f t="shared" si="0"/>
        <v>#N/A</v>
      </c>
      <c r="T11" s="1555" t="s">
        <v>8</v>
      </c>
      <c r="U11" s="1556" t="e">
        <f t="shared" si="1"/>
        <v>#N/A</v>
      </c>
      <c r="V11" s="1555" t="s">
        <v>8</v>
      </c>
      <c r="W11" s="1556" t="e">
        <f t="shared" si="2"/>
        <v>#N/A</v>
      </c>
      <c r="X11" s="1557"/>
      <c r="Y11" s="3337"/>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0"/>
      <c r="Q14" s="1147">
        <f t="shared" si="6"/>
        <v>111</v>
      </c>
      <c r="R14" s="1555" t="s">
        <v>8</v>
      </c>
      <c r="S14" s="1556">
        <f t="shared" si="0"/>
        <v>100</v>
      </c>
      <c r="T14" s="1555" t="s">
        <v>8</v>
      </c>
      <c r="U14" s="1556">
        <f t="shared" si="1"/>
        <v>100</v>
      </c>
      <c r="V14" s="1555" t="s">
        <v>8</v>
      </c>
      <c r="W14" s="1556">
        <f t="shared" si="2"/>
        <v>100</v>
      </c>
      <c r="X14" s="1557"/>
      <c r="Y14" s="3337"/>
      <c r="Z14" s="1146">
        <f t="shared" si="7"/>
        <v>111</v>
      </c>
      <c r="AA14" s="1558">
        <f t="shared" si="3"/>
        <v>1</v>
      </c>
      <c r="AB14" s="1558">
        <f t="shared" si="4"/>
        <v>1</v>
      </c>
      <c r="AC14" s="1558">
        <f t="shared" si="5"/>
        <v>1</v>
      </c>
    </row>
    <row r="15" spans="1:29" ht="69">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82" t="s">
        <v>540</v>
      </c>
      <c r="Q15" s="1559" t="str">
        <f t="shared" si="6"/>
        <v>产业集聚程度</v>
      </c>
      <c r="R15" s="1560" t="s">
        <v>8</v>
      </c>
      <c r="S15" s="1561">
        <f t="shared" si="0"/>
        <v>100</v>
      </c>
      <c r="T15" s="1560" t="s">
        <v>8</v>
      </c>
      <c r="U15" s="1561">
        <f t="shared" si="1"/>
        <v>100</v>
      </c>
      <c r="V15" s="1560" t="s">
        <v>8</v>
      </c>
      <c r="W15" s="1561">
        <f t="shared" si="2"/>
        <v>100</v>
      </c>
      <c r="X15" s="1554"/>
      <c r="Y15" s="338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383"/>
      <c r="Q16" s="1559"/>
      <c r="R16" s="1560"/>
      <c r="S16" s="1561"/>
      <c r="T16" s="1560"/>
      <c r="U16" s="1561"/>
      <c r="V16" s="1560"/>
      <c r="W16" s="1561"/>
      <c r="X16" s="1554"/>
      <c r="Y16" s="3383"/>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83"/>
      <c r="Q17" s="1559" t="str">
        <f>B17</f>
        <v>交通便捷度</v>
      </c>
      <c r="R17" s="1560" t="s">
        <v>8</v>
      </c>
      <c r="S17" s="1561">
        <f>F17</f>
        <v>100</v>
      </c>
      <c r="T17" s="1560" t="s">
        <v>8</v>
      </c>
      <c r="U17" s="1561">
        <f>H17</f>
        <v>100</v>
      </c>
      <c r="V17" s="1560" t="s">
        <v>8</v>
      </c>
      <c r="W17" s="1561">
        <f>J17</f>
        <v>100</v>
      </c>
      <c r="X17" s="1554"/>
      <c r="Y17" s="338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383"/>
      <c r="Q18" s="1559"/>
      <c r="R18" s="1560"/>
      <c r="S18" s="1561"/>
      <c r="T18" s="1560"/>
      <c r="U18" s="1561"/>
      <c r="V18" s="1560"/>
      <c r="W18" s="1561"/>
      <c r="X18" s="1554"/>
      <c r="Y18" s="3383"/>
      <c r="Z18" s="1562"/>
      <c r="AA18" s="1563">
        <v>1</v>
      </c>
      <c r="AB18" s="1563">
        <v>1</v>
      </c>
      <c r="AC18" s="1563">
        <v>1</v>
      </c>
    </row>
    <row r="19" spans="1:29" ht="41.4">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83"/>
      <c r="Q19" s="1559" t="str">
        <f>B19</f>
        <v>公共配套设施</v>
      </c>
      <c r="R19" s="1560" t="s">
        <v>8</v>
      </c>
      <c r="S19" s="1561">
        <f>F19</f>
        <v>100</v>
      </c>
      <c r="T19" s="1560" t="s">
        <v>8</v>
      </c>
      <c r="U19" s="1561">
        <f>H19</f>
        <v>100</v>
      </c>
      <c r="V19" s="1560" t="s">
        <v>8</v>
      </c>
      <c r="W19" s="1561">
        <f>J19</f>
        <v>100</v>
      </c>
      <c r="X19" s="1554"/>
      <c r="Y19" s="338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383"/>
      <c r="Q20" s="1559"/>
      <c r="R20" s="1560"/>
      <c r="S20" s="1561"/>
      <c r="T20" s="1560"/>
      <c r="U20" s="1561"/>
      <c r="V20" s="1560"/>
      <c r="W20" s="1561"/>
      <c r="X20" s="1554"/>
      <c r="Y20" s="3383"/>
      <c r="Z20" s="1562"/>
      <c r="AA20" s="1563">
        <v>1</v>
      </c>
      <c r="AB20" s="1563">
        <v>1</v>
      </c>
      <c r="AC20" s="1563">
        <v>1</v>
      </c>
    </row>
    <row r="21" spans="1:29" ht="41.4">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83"/>
      <c r="Q21" s="2542" t="str">
        <f>B21</f>
        <v>基础设施水平</v>
      </c>
      <c r="R21" s="1560" t="s">
        <v>8</v>
      </c>
      <c r="S21" s="1561">
        <f>F21</f>
        <v>100</v>
      </c>
      <c r="T21" s="1560" t="s">
        <v>8</v>
      </c>
      <c r="U21" s="1561">
        <f>H21</f>
        <v>100</v>
      </c>
      <c r="V21" s="1560" t="s">
        <v>8</v>
      </c>
      <c r="W21" s="1561">
        <f>J21</f>
        <v>100</v>
      </c>
      <c r="X21" s="2544"/>
      <c r="Y21" s="3383"/>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383"/>
      <c r="Q22" s="2542"/>
      <c r="R22" s="1560"/>
      <c r="S22" s="1561"/>
      <c r="T22" s="1560"/>
      <c r="U22" s="1561"/>
      <c r="V22" s="1560"/>
      <c r="W22" s="1561"/>
      <c r="X22" s="2544"/>
      <c r="Y22" s="3383"/>
      <c r="Z22" s="2543"/>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83"/>
      <c r="Q23" s="1559" t="str">
        <f>B23</f>
        <v>环境质量</v>
      </c>
      <c r="R23" s="1560" t="s">
        <v>8</v>
      </c>
      <c r="S23" s="1561">
        <f>F23</f>
        <v>100</v>
      </c>
      <c r="T23" s="1560" t="s">
        <v>8</v>
      </c>
      <c r="U23" s="1561">
        <f>H23</f>
        <v>100</v>
      </c>
      <c r="V23" s="1560" t="s">
        <v>8</v>
      </c>
      <c r="W23" s="1561">
        <f>J23</f>
        <v>100</v>
      </c>
      <c r="X23" s="1554"/>
      <c r="Y23" s="338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383"/>
      <c r="Q24" s="1559"/>
      <c r="R24" s="1560"/>
      <c r="S24" s="1561"/>
      <c r="T24" s="1560"/>
      <c r="U24" s="1561"/>
      <c r="V24" s="1560"/>
      <c r="W24" s="1561"/>
      <c r="X24" s="1554"/>
      <c r="Y24" s="338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83"/>
      <c r="Q25" s="1559">
        <f>B25</f>
        <v>111</v>
      </c>
      <c r="R25" s="1560" t="s">
        <v>8</v>
      </c>
      <c r="S25" s="1561">
        <f>F25</f>
        <v>100</v>
      </c>
      <c r="T25" s="1560" t="s">
        <v>8</v>
      </c>
      <c r="U25" s="1561">
        <f>H25</f>
        <v>100</v>
      </c>
      <c r="V25" s="1560" t="s">
        <v>8</v>
      </c>
      <c r="W25" s="1561">
        <f>J25</f>
        <v>100</v>
      </c>
      <c r="X25" s="1554"/>
      <c r="Y25" s="338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83"/>
      <c r="Q26" s="1559">
        <f t="shared" ref="Q26:Q40" si="11">B26</f>
        <v>111</v>
      </c>
      <c r="R26" s="1560" t="s">
        <v>8</v>
      </c>
      <c r="S26" s="1561">
        <f>F26</f>
        <v>100</v>
      </c>
      <c r="T26" s="1560" t="s">
        <v>8</v>
      </c>
      <c r="U26" s="1561">
        <f>H26</f>
        <v>100</v>
      </c>
      <c r="V26" s="1560" t="s">
        <v>8</v>
      </c>
      <c r="W26" s="1561">
        <f>J26</f>
        <v>100</v>
      </c>
      <c r="X26" s="1554"/>
      <c r="Y26" s="338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83"/>
      <c r="Q27" s="1147">
        <f t="shared" si="11"/>
        <v>111</v>
      </c>
      <c r="R27" s="1555" t="s">
        <v>8</v>
      </c>
      <c r="S27" s="1556">
        <f>F27</f>
        <v>100</v>
      </c>
      <c r="T27" s="1555" t="s">
        <v>8</v>
      </c>
      <c r="U27" s="1556">
        <f>H27</f>
        <v>100</v>
      </c>
      <c r="V27" s="1555" t="s">
        <v>8</v>
      </c>
      <c r="W27" s="1556">
        <f>J27</f>
        <v>100</v>
      </c>
      <c r="X27" s="1557"/>
      <c r="Y27" s="3383"/>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83"/>
      <c r="Q28" s="1559">
        <f t="shared" si="11"/>
        <v>111</v>
      </c>
      <c r="R28" s="1560" t="s">
        <v>8</v>
      </c>
      <c r="S28" s="1561">
        <f t="shared" ref="S28:S40" si="12">F28</f>
        <v>100</v>
      </c>
      <c r="T28" s="1560" t="s">
        <v>8</v>
      </c>
      <c r="U28" s="1561">
        <f t="shared" ref="U28:U40" si="13">H28</f>
        <v>100</v>
      </c>
      <c r="V28" s="1560" t="s">
        <v>8</v>
      </c>
      <c r="W28" s="1561">
        <f t="shared" ref="W28:W40" si="14">J28</f>
        <v>100</v>
      </c>
      <c r="X28" s="1554"/>
      <c r="Y28" s="3383"/>
      <c r="Z28" s="1562">
        <f t="shared" ref="Z28:Z40" si="15">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84" t="s">
        <v>550</v>
      </c>
      <c r="Q29" s="1559" t="str">
        <f t="shared" si="11"/>
        <v>建筑类型</v>
      </c>
      <c r="R29" s="1560" t="s">
        <v>8</v>
      </c>
      <c r="S29" s="1561">
        <f t="shared" si="12"/>
        <v>100</v>
      </c>
      <c r="T29" s="1560" t="s">
        <v>8</v>
      </c>
      <c r="U29" s="1561">
        <f t="shared" si="13"/>
        <v>100</v>
      </c>
      <c r="V29" s="1560" t="s">
        <v>8</v>
      </c>
      <c r="W29" s="1561">
        <f t="shared" si="14"/>
        <v>100</v>
      </c>
      <c r="X29" s="1554"/>
      <c r="Y29" s="338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85"/>
      <c r="Q30" s="1591" t="str">
        <f t="shared" si="11"/>
        <v>项目建筑规模</v>
      </c>
      <c r="R30" s="1564" t="s">
        <v>8</v>
      </c>
      <c r="S30" s="1565" t="e">
        <f t="shared" si="12"/>
        <v>#N/A</v>
      </c>
      <c r="T30" s="1564" t="s">
        <v>8</v>
      </c>
      <c r="U30" s="1565" t="e">
        <f t="shared" si="13"/>
        <v>#N/A</v>
      </c>
      <c r="V30" s="1564" t="s">
        <v>8</v>
      </c>
      <c r="W30" s="1565" t="e">
        <f t="shared" si="14"/>
        <v>#N/A</v>
      </c>
      <c r="X30" s="1566"/>
      <c r="Y30" s="338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85"/>
      <c r="Q31" s="1559" t="str">
        <f t="shared" si="11"/>
        <v>建筑结构</v>
      </c>
      <c r="R31" s="1560" t="s">
        <v>8</v>
      </c>
      <c r="S31" s="1561">
        <f t="shared" si="12"/>
        <v>100</v>
      </c>
      <c r="T31" s="1560" t="s">
        <v>8</v>
      </c>
      <c r="U31" s="1561">
        <f t="shared" si="13"/>
        <v>100</v>
      </c>
      <c r="V31" s="1560" t="s">
        <v>8</v>
      </c>
      <c r="W31" s="1561">
        <f t="shared" si="14"/>
        <v>100</v>
      </c>
      <c r="X31" s="1554"/>
      <c r="Y31" s="338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85"/>
      <c r="Q32" s="1559" t="str">
        <f t="shared" si="11"/>
        <v>公共部分装修</v>
      </c>
      <c r="R32" s="1560" t="s">
        <v>8</v>
      </c>
      <c r="S32" s="1561">
        <f t="shared" si="12"/>
        <v>100</v>
      </c>
      <c r="T32" s="1560" t="s">
        <v>8</v>
      </c>
      <c r="U32" s="1561">
        <f t="shared" si="13"/>
        <v>100</v>
      </c>
      <c r="V32" s="1560" t="s">
        <v>8</v>
      </c>
      <c r="W32" s="1561">
        <f t="shared" si="14"/>
        <v>100</v>
      </c>
      <c r="X32" s="1554"/>
      <c r="Y32" s="338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85"/>
      <c r="Q33" s="1559" t="str">
        <f t="shared" si="11"/>
        <v>成新度</v>
      </c>
      <c r="R33" s="1560" t="s">
        <v>8</v>
      </c>
      <c r="S33" s="1561" t="e">
        <f t="shared" si="12"/>
        <v>#N/A</v>
      </c>
      <c r="T33" s="1560" t="s">
        <v>8</v>
      </c>
      <c r="U33" s="1561" t="e">
        <f t="shared" si="13"/>
        <v>#N/A</v>
      </c>
      <c r="V33" s="1560" t="s">
        <v>8</v>
      </c>
      <c r="W33" s="1561" t="e">
        <f t="shared" si="14"/>
        <v>#N/A</v>
      </c>
      <c r="X33" s="1554"/>
      <c r="Y33" s="338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85"/>
      <c r="Q34" s="1147" t="str">
        <f t="shared" si="11"/>
        <v>物业管理</v>
      </c>
      <c r="R34" s="1555" t="s">
        <v>8</v>
      </c>
      <c r="S34" s="1556">
        <f t="shared" si="12"/>
        <v>100</v>
      </c>
      <c r="T34" s="1555" t="s">
        <v>8</v>
      </c>
      <c r="U34" s="1556">
        <f t="shared" si="13"/>
        <v>100</v>
      </c>
      <c r="V34" s="1555" t="s">
        <v>8</v>
      </c>
      <c r="W34" s="1556">
        <f t="shared" si="14"/>
        <v>100</v>
      </c>
      <c r="X34" s="1557"/>
      <c r="Y34" s="3385"/>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85" t="s">
        <v>550</v>
      </c>
      <c r="Q35" s="1559" t="str">
        <f t="shared" si="11"/>
        <v>市政基础设施</v>
      </c>
      <c r="R35" s="1560" t="s">
        <v>8</v>
      </c>
      <c r="S35" s="1561">
        <f t="shared" si="12"/>
        <v>100</v>
      </c>
      <c r="T35" s="1560" t="s">
        <v>8</v>
      </c>
      <c r="U35" s="1561">
        <f t="shared" si="13"/>
        <v>100</v>
      </c>
      <c r="V35" s="1560" t="s">
        <v>8</v>
      </c>
      <c r="W35" s="1561">
        <f t="shared" si="14"/>
        <v>100</v>
      </c>
      <c r="X35" s="1554"/>
      <c r="Y35" s="338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85"/>
      <c r="Q36" s="1559" t="str">
        <f t="shared" si="11"/>
        <v>内部装修</v>
      </c>
      <c r="R36" s="1560" t="s">
        <v>8</v>
      </c>
      <c r="S36" s="1561">
        <f t="shared" si="12"/>
        <v>100</v>
      </c>
      <c r="T36" s="1560" t="s">
        <v>8</v>
      </c>
      <c r="U36" s="1561">
        <f t="shared" si="13"/>
        <v>100</v>
      </c>
      <c r="V36" s="1560" t="s">
        <v>8</v>
      </c>
      <c r="W36" s="1561">
        <f t="shared" si="14"/>
        <v>100</v>
      </c>
      <c r="X36" s="1554"/>
      <c r="Y36" s="338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85"/>
      <c r="Q37" s="1559" t="str">
        <f t="shared" si="11"/>
        <v>内部装修状况</v>
      </c>
      <c r="R37" s="1560" t="s">
        <v>8</v>
      </c>
      <c r="S37" s="1561">
        <f t="shared" si="12"/>
        <v>100</v>
      </c>
      <c r="T37" s="1560" t="s">
        <v>8</v>
      </c>
      <c r="U37" s="1561">
        <f t="shared" si="13"/>
        <v>100</v>
      </c>
      <c r="V37" s="1560" t="s">
        <v>8</v>
      </c>
      <c r="W37" s="1561">
        <f t="shared" si="14"/>
        <v>100</v>
      </c>
      <c r="X37" s="1554"/>
      <c r="Y37" s="338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85"/>
      <c r="Q38" s="1591">
        <f t="shared" si="11"/>
        <v>111</v>
      </c>
      <c r="R38" s="1564" t="s">
        <v>8</v>
      </c>
      <c r="S38" s="1565">
        <f t="shared" si="12"/>
        <v>100</v>
      </c>
      <c r="T38" s="1564" t="s">
        <v>8</v>
      </c>
      <c r="U38" s="1565">
        <f t="shared" si="13"/>
        <v>100</v>
      </c>
      <c r="V38" s="1564" t="s">
        <v>8</v>
      </c>
      <c r="W38" s="1565">
        <f t="shared" si="14"/>
        <v>100</v>
      </c>
      <c r="X38" s="1566"/>
      <c r="Y38" s="338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85"/>
      <c r="Q39" s="1559">
        <f t="shared" si="11"/>
        <v>111</v>
      </c>
      <c r="R39" s="1560" t="s">
        <v>8</v>
      </c>
      <c r="S39" s="1561">
        <f t="shared" si="12"/>
        <v>100</v>
      </c>
      <c r="T39" s="1560" t="s">
        <v>8</v>
      </c>
      <c r="U39" s="1561">
        <f t="shared" si="13"/>
        <v>100</v>
      </c>
      <c r="V39" s="1560" t="s">
        <v>8</v>
      </c>
      <c r="W39" s="1561">
        <f t="shared" si="14"/>
        <v>100</v>
      </c>
      <c r="X39" s="1554"/>
      <c r="Y39" s="3385"/>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85"/>
      <c r="Q40" s="1559">
        <f t="shared" si="11"/>
        <v>111</v>
      </c>
      <c r="R40" s="1560" t="s">
        <v>8</v>
      </c>
      <c r="S40" s="1561">
        <f t="shared" si="12"/>
        <v>100</v>
      </c>
      <c r="T40" s="1560" t="s">
        <v>8</v>
      </c>
      <c r="U40" s="1561">
        <f t="shared" si="13"/>
        <v>100</v>
      </c>
      <c r="V40" s="1560" t="s">
        <v>8</v>
      </c>
      <c r="W40" s="1561">
        <f t="shared" si="14"/>
        <v>100</v>
      </c>
      <c r="X40" s="1554"/>
      <c r="Y40" s="3485"/>
      <c r="Z40" s="1562">
        <f t="shared" si="15"/>
        <v>111</v>
      </c>
      <c r="AA40" s="1563">
        <f t="shared" si="3"/>
        <v>1</v>
      </c>
      <c r="AB40" s="1563">
        <f t="shared" si="4"/>
        <v>1</v>
      </c>
      <c r="AC40" s="1563">
        <f t="shared" si="5"/>
        <v>1</v>
      </c>
    </row>
    <row r="41" spans="1:29" ht="14.4">
      <c r="A41" s="607" t="s">
        <v>736</v>
      </c>
      <c r="B41" s="887"/>
      <c r="C41" s="2590" t="s">
        <v>1</v>
      </c>
      <c r="D41" s="2591"/>
      <c r="E41" s="2592"/>
      <c r="F41" s="2593"/>
      <c r="G41" s="2594"/>
      <c r="H41" s="2595"/>
      <c r="I41" s="2592"/>
      <c r="J41" s="2595"/>
      <c r="K41" s="1597"/>
      <c r="L41" s="2128"/>
      <c r="M41" s="2129"/>
      <c r="N41" s="2118"/>
      <c r="O41" s="2129"/>
      <c r="P41" s="3380" t="str">
        <f>A41</f>
        <v>成交单价（元/平方米）</v>
      </c>
      <c r="Q41" s="3380"/>
      <c r="R41" s="3484">
        <f>E41</f>
        <v>0</v>
      </c>
      <c r="S41" s="3484"/>
      <c r="T41" s="3484">
        <f>G41</f>
        <v>0</v>
      </c>
      <c r="U41" s="3484"/>
      <c r="V41" s="3484">
        <f>I41</f>
        <v>0</v>
      </c>
      <c r="W41" s="3484"/>
      <c r="X41" s="1546"/>
      <c r="Y41" s="1568"/>
      <c r="Z41" s="1546"/>
      <c r="AA41" s="1546"/>
      <c r="AB41" s="1546"/>
      <c r="AC41" s="1546"/>
    </row>
    <row r="42" spans="1:29" ht="1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380" t="str">
        <f>A42</f>
        <v>比较价格（元/平方米）</v>
      </c>
      <c r="Q42" s="3380"/>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6"/>
      <c r="Y42" s="1546"/>
      <c r="Z42" s="1546"/>
      <c r="AA42" s="1546"/>
      <c r="AB42" s="1546"/>
      <c r="AC42" s="1546"/>
    </row>
    <row r="43" spans="1:29" ht="15" thickBot="1">
      <c r="A43" s="621" t="s">
        <v>2928</v>
      </c>
      <c r="B43" s="622"/>
      <c r="C43" s="2599" t="e">
        <f>R43</f>
        <v>#DIV/0!</v>
      </c>
      <c r="D43" s="2599"/>
      <c r="E43" s="2599"/>
      <c r="F43" s="2599"/>
      <c r="G43" s="2599"/>
      <c r="H43" s="2599"/>
      <c r="I43" s="2599"/>
      <c r="J43" s="2599"/>
      <c r="K43" s="1599"/>
      <c r="L43" s="2128"/>
      <c r="M43" s="2129"/>
      <c r="N43" s="2129"/>
      <c r="O43" s="2129"/>
      <c r="P43" s="3401" t="str">
        <f>A43</f>
        <v>估价对象XX用房的比较价格（楼面单价，元/平方米）</v>
      </c>
      <c r="Q43" s="3402"/>
      <c r="R43" s="3483" t="e">
        <f>IF(F1="售价",ROUND(AVERAGE(R42:V42),0),ROUND(AVERAGE(R42:V42),1))</f>
        <v>#DIV/0!</v>
      </c>
      <c r="S43" s="3483"/>
      <c r="T43" s="3483"/>
      <c r="U43" s="3483"/>
      <c r="V43" s="3483"/>
      <c r="W43" s="3483"/>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4.4">
      <c r="A52" s="645" t="s">
        <v>529</v>
      </c>
      <c r="B52" s="646"/>
      <c r="C52" s="2756" t="str">
        <f>YEAR(C7)&amp;"-"&amp;MONTH(C7)</f>
        <v>2020-3</v>
      </c>
      <c r="D52" s="2758">
        <f>EDATE(C52,-1)</f>
        <v>43862</v>
      </c>
      <c r="E52" s="2758">
        <f t="shared" ref="E52:O52" si="16">EDATE(D52,-1)</f>
        <v>43831</v>
      </c>
      <c r="F52" s="2758">
        <f t="shared" si="16"/>
        <v>43800</v>
      </c>
      <c r="G52" s="2758">
        <f t="shared" si="16"/>
        <v>43770</v>
      </c>
      <c r="H52" s="2758">
        <f t="shared" si="16"/>
        <v>43739</v>
      </c>
      <c r="I52" s="2758">
        <f t="shared" si="16"/>
        <v>43709</v>
      </c>
      <c r="J52" s="2758">
        <f t="shared" si="16"/>
        <v>43678</v>
      </c>
      <c r="K52" s="2758">
        <f t="shared" si="16"/>
        <v>43647</v>
      </c>
      <c r="L52" s="2758">
        <f t="shared" si="16"/>
        <v>43617</v>
      </c>
      <c r="M52" s="2758">
        <f t="shared" si="16"/>
        <v>43586</v>
      </c>
      <c r="N52" s="2758">
        <f t="shared" si="16"/>
        <v>43556</v>
      </c>
      <c r="O52" s="2758">
        <f t="shared" si="16"/>
        <v>43525</v>
      </c>
      <c r="P52" s="2144"/>
      <c r="Q52" s="2145"/>
      <c r="R52" s="2145"/>
      <c r="S52" s="2145"/>
      <c r="T52" s="2145"/>
      <c r="U52" s="2145"/>
      <c r="V52" s="2145"/>
      <c r="W52" s="2145"/>
      <c r="X52" s="2145"/>
      <c r="Y52" s="2145"/>
      <c r="Z52" s="2145"/>
      <c r="AA52" s="2145"/>
      <c r="AB52" s="2145"/>
      <c r="AC52" s="2145"/>
    </row>
    <row r="53" spans="1:29" s="1216"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86" t="s">
        <v>798</v>
      </c>
      <c r="D4" s="3387"/>
      <c r="E4" s="3386" t="s">
        <v>799</v>
      </c>
      <c r="F4" s="3387"/>
      <c r="G4" s="3386" t="s">
        <v>800</v>
      </c>
      <c r="H4" s="3387"/>
      <c r="I4" s="3386" t="s">
        <v>801</v>
      </c>
      <c r="J4" s="3387"/>
      <c r="K4" s="514" t="s">
        <v>802</v>
      </c>
      <c r="L4" s="2117"/>
      <c r="M4" s="2118"/>
      <c r="N4" s="2118"/>
      <c r="O4" s="2118"/>
      <c r="P4" s="3388" t="s">
        <v>803</v>
      </c>
      <c r="Q4" s="3389"/>
      <c r="R4" s="3374" t="s">
        <v>799</v>
      </c>
      <c r="S4" s="3375"/>
      <c r="T4" s="3374" t="s">
        <v>800</v>
      </c>
      <c r="U4" s="3375"/>
      <c r="V4" s="3394" t="s">
        <v>801</v>
      </c>
      <c r="W4" s="3394"/>
      <c r="X4" s="1554"/>
      <c r="Y4" s="3374" t="s">
        <v>803</v>
      </c>
      <c r="Z4" s="3375"/>
      <c r="AA4" s="3369" t="s">
        <v>799</v>
      </c>
      <c r="AB4" s="3370" t="s">
        <v>800</v>
      </c>
      <c r="AC4" s="3369" t="s">
        <v>801</v>
      </c>
    </row>
    <row r="5" spans="1:29">
      <c r="A5" s="515"/>
      <c r="B5" s="516"/>
      <c r="C5" s="3397" t="s">
        <v>2922</v>
      </c>
      <c r="D5" s="3398"/>
      <c r="E5" s="3397" t="s">
        <v>2923</v>
      </c>
      <c r="F5" s="3398"/>
      <c r="G5" s="3397" t="s">
        <v>2924</v>
      </c>
      <c r="H5" s="3398"/>
      <c r="I5" s="3397" t="s">
        <v>2925</v>
      </c>
      <c r="J5" s="3398"/>
      <c r="K5" s="514"/>
      <c r="L5" s="2117"/>
      <c r="M5" s="2118"/>
      <c r="N5" s="2118"/>
      <c r="O5" s="2118"/>
      <c r="P5" s="3390"/>
      <c r="Q5" s="3391"/>
      <c r="R5" s="3376"/>
      <c r="S5" s="3377"/>
      <c r="T5" s="3376"/>
      <c r="U5" s="3377"/>
      <c r="V5" s="3394"/>
      <c r="W5" s="3394"/>
      <c r="X5" s="1554"/>
      <c r="Y5" s="3376"/>
      <c r="Z5" s="3377"/>
      <c r="AA5" s="3370"/>
      <c r="AB5" s="3370"/>
      <c r="AC5" s="3370"/>
    </row>
    <row r="6" spans="1:29" ht="15" thickBot="1">
      <c r="A6" s="517"/>
      <c r="B6" s="518"/>
      <c r="C6" s="3395" t="s">
        <v>2926</v>
      </c>
      <c r="D6" s="3396"/>
      <c r="E6" s="3399" t="s">
        <v>2926</v>
      </c>
      <c r="F6" s="3400"/>
      <c r="G6" s="3395" t="s">
        <v>2926</v>
      </c>
      <c r="H6" s="3396"/>
      <c r="I6" s="3395" t="s">
        <v>2926</v>
      </c>
      <c r="J6" s="3396"/>
      <c r="K6" s="514" t="s">
        <v>528</v>
      </c>
      <c r="L6" s="2117"/>
      <c r="M6" s="2118"/>
      <c r="N6" s="2118"/>
      <c r="O6" s="2118"/>
      <c r="P6" s="3392"/>
      <c r="Q6" s="3393"/>
      <c r="R6" s="3376"/>
      <c r="S6" s="3377"/>
      <c r="T6" s="3378"/>
      <c r="U6" s="3379"/>
      <c r="V6" s="3394"/>
      <c r="W6" s="3394"/>
      <c r="X6" s="1554"/>
      <c r="Y6" s="3378"/>
      <c r="Z6" s="3379"/>
      <c r="AA6" s="3371"/>
      <c r="AB6" s="3371"/>
      <c r="AC6" s="3371"/>
    </row>
    <row r="7" spans="1:29" s="1216" customFormat="1" ht="15" thickBot="1">
      <c r="A7" s="2866"/>
      <c r="B7" s="2873" t="s">
        <v>529</v>
      </c>
      <c r="C7" s="519">
        <f>'数据-取费表'!B2</f>
        <v>43905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72" t="s">
        <v>530</v>
      </c>
      <c r="Q7" s="3381"/>
      <c r="R7" s="1555" t="s">
        <v>8</v>
      </c>
      <c r="S7" s="1556">
        <f t="shared" ref="S7:S14" si="0">F7</f>
        <v>0</v>
      </c>
      <c r="T7" s="1555" t="s">
        <v>8</v>
      </c>
      <c r="U7" s="1556">
        <f t="shared" ref="U7:U14" si="1">H7</f>
        <v>0</v>
      </c>
      <c r="V7" s="1555" t="s">
        <v>8</v>
      </c>
      <c r="W7" s="1556">
        <f t="shared" ref="W7:W14" si="2">J7</f>
        <v>0</v>
      </c>
      <c r="X7" s="1557"/>
      <c r="Y7" s="3372" t="s">
        <v>530</v>
      </c>
      <c r="Z7" s="3373"/>
      <c r="AA7" s="1558" t="e">
        <f>D7/F7</f>
        <v>#DIV/0!</v>
      </c>
      <c r="AB7" s="1558" t="e">
        <f>D7/H7</f>
        <v>#DIV/0!</v>
      </c>
      <c r="AC7" s="1558" t="e">
        <f>D7/J7</f>
        <v>#DIV/0!</v>
      </c>
    </row>
    <row r="8" spans="1:29" s="1216"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72" t="s">
        <v>533</v>
      </c>
      <c r="Q8" s="3373"/>
      <c r="R8" s="1555" t="s">
        <v>8</v>
      </c>
      <c r="S8" s="1556">
        <f t="shared" si="0"/>
        <v>0</v>
      </c>
      <c r="T8" s="1555" t="s">
        <v>8</v>
      </c>
      <c r="U8" s="1556">
        <f t="shared" si="1"/>
        <v>0</v>
      </c>
      <c r="V8" s="1555" t="s">
        <v>8</v>
      </c>
      <c r="W8" s="1556">
        <f t="shared" si="2"/>
        <v>0</v>
      </c>
      <c r="X8" s="1557"/>
      <c r="Y8" s="3372" t="s">
        <v>533</v>
      </c>
      <c r="Z8" s="3373"/>
      <c r="AA8" s="1558" t="e">
        <f t="shared" ref="AA8:AA36" si="3">D8/F8</f>
        <v>#DIV/0!</v>
      </c>
      <c r="AB8" s="1558" t="e">
        <f t="shared" ref="AB8:AB36" si="4">D8/H8</f>
        <v>#DIV/0!</v>
      </c>
      <c r="AC8" s="1558" t="e">
        <f t="shared" ref="AC8:AC36" si="5">D8/J8</f>
        <v>#DIV/0!</v>
      </c>
    </row>
    <row r="9" spans="1:29" s="1216" customFormat="1" ht="14.4">
      <c r="A9" s="2868"/>
      <c r="B9" s="2875" t="s">
        <v>2752</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0" t="s">
        <v>535</v>
      </c>
      <c r="Q9" s="1147" t="str">
        <f t="shared" ref="Q9:Q14" si="6">B9</f>
        <v>用途</v>
      </c>
      <c r="R9" s="1555" t="s">
        <v>8</v>
      </c>
      <c r="S9" s="1556">
        <f t="shared" si="0"/>
        <v>100</v>
      </c>
      <c r="T9" s="1555" t="s">
        <v>8</v>
      </c>
      <c r="U9" s="1556">
        <f t="shared" si="1"/>
        <v>100</v>
      </c>
      <c r="V9" s="1555" t="s">
        <v>8</v>
      </c>
      <c r="W9" s="1556">
        <f t="shared" si="2"/>
        <v>100</v>
      </c>
      <c r="X9" s="1557"/>
      <c r="Y9" s="3337"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0"/>
      <c r="Q11" s="1147">
        <f t="shared" si="6"/>
        <v>111</v>
      </c>
      <c r="R11" s="1555" t="s">
        <v>8</v>
      </c>
      <c r="S11" s="1556">
        <f t="shared" si="0"/>
        <v>100</v>
      </c>
      <c r="T11" s="1555" t="s">
        <v>8</v>
      </c>
      <c r="U11" s="1556">
        <f t="shared" si="1"/>
        <v>100</v>
      </c>
      <c r="V11" s="1555" t="s">
        <v>8</v>
      </c>
      <c r="W11" s="1556">
        <f t="shared" si="2"/>
        <v>100</v>
      </c>
      <c r="X11" s="1557"/>
      <c r="Y11" s="3337"/>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
      <c r="A14" s="2864"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82" t="s">
        <v>540</v>
      </c>
      <c r="Q14" s="1559" t="str">
        <f t="shared" si="6"/>
        <v>交通便捷度</v>
      </c>
      <c r="R14" s="1560" t="s">
        <v>8</v>
      </c>
      <c r="S14" s="1561">
        <f t="shared" si="0"/>
        <v>100</v>
      </c>
      <c r="T14" s="1560" t="s">
        <v>8</v>
      </c>
      <c r="U14" s="1561">
        <f t="shared" si="1"/>
        <v>100</v>
      </c>
      <c r="V14" s="1560" t="s">
        <v>8</v>
      </c>
      <c r="W14" s="1561">
        <f t="shared" si="2"/>
        <v>100</v>
      </c>
      <c r="X14" s="1554"/>
      <c r="Y14" s="338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6"/>
      <c r="M15" s="2118"/>
      <c r="N15" s="2118"/>
      <c r="O15" s="2125"/>
      <c r="P15" s="3383"/>
      <c r="Q15" s="1559"/>
      <c r="R15" s="1560"/>
      <c r="S15" s="1561"/>
      <c r="T15" s="1560"/>
      <c r="U15" s="1561"/>
      <c r="V15" s="1560"/>
      <c r="W15" s="1561"/>
      <c r="X15" s="1554"/>
      <c r="Y15" s="3383"/>
      <c r="Z15" s="1562"/>
      <c r="AA15" s="1563">
        <v>1</v>
      </c>
      <c r="AB15" s="1563">
        <v>1</v>
      </c>
      <c r="AC15" s="1563">
        <v>1</v>
      </c>
    </row>
    <row r="16" spans="1:29" ht="15">
      <c r="A16" s="515"/>
      <c r="B16" s="2566"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83"/>
      <c r="Q16" s="1559" t="str">
        <f>B16</f>
        <v>公共配套设施</v>
      </c>
      <c r="R16" s="1560" t="s">
        <v>8</v>
      </c>
      <c r="S16" s="1561">
        <f>F16</f>
        <v>100</v>
      </c>
      <c r="T16" s="1560" t="s">
        <v>8</v>
      </c>
      <c r="U16" s="1561">
        <f>H16</f>
        <v>100</v>
      </c>
      <c r="V16" s="1560" t="s">
        <v>8</v>
      </c>
      <c r="W16" s="1561">
        <f>J16</f>
        <v>100</v>
      </c>
      <c r="X16" s="1554"/>
      <c r="Y16" s="338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6"/>
      <c r="M17" s="2118"/>
      <c r="N17" s="2118"/>
      <c r="O17" s="2125"/>
      <c r="P17" s="3383"/>
      <c r="Q17" s="1559"/>
      <c r="R17" s="1560"/>
      <c r="S17" s="1561"/>
      <c r="T17" s="1560"/>
      <c r="U17" s="1561"/>
      <c r="V17" s="1560"/>
      <c r="W17" s="1561"/>
      <c r="X17" s="1554"/>
      <c r="Y17" s="3383"/>
      <c r="Z17" s="1562"/>
      <c r="AA17" s="1563">
        <v>1</v>
      </c>
      <c r="AB17" s="1563">
        <v>1</v>
      </c>
      <c r="AC17" s="1563">
        <v>1</v>
      </c>
    </row>
    <row r="18" spans="1:29" ht="15">
      <c r="A18" s="515"/>
      <c r="B18" s="2554"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83"/>
      <c r="Q18" s="2542" t="str">
        <f>B18</f>
        <v>基础设施水平</v>
      </c>
      <c r="R18" s="1560" t="s">
        <v>8</v>
      </c>
      <c r="S18" s="1561">
        <f>F18</f>
        <v>100</v>
      </c>
      <c r="T18" s="1560" t="s">
        <v>8</v>
      </c>
      <c r="U18" s="1561">
        <f>H18</f>
        <v>100</v>
      </c>
      <c r="V18" s="1560" t="s">
        <v>8</v>
      </c>
      <c r="W18" s="1561">
        <f>J18</f>
        <v>100</v>
      </c>
      <c r="X18" s="2544"/>
      <c r="Y18" s="3383"/>
      <c r="Z18" s="2543"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5"/>
      <c r="L19" s="2126"/>
      <c r="M19" s="2118"/>
      <c r="N19" s="2118"/>
      <c r="O19" s="2125"/>
      <c r="P19" s="3383"/>
      <c r="Q19" s="2542"/>
      <c r="R19" s="1560"/>
      <c r="S19" s="1561"/>
      <c r="T19" s="1560"/>
      <c r="U19" s="1561"/>
      <c r="V19" s="1560"/>
      <c r="W19" s="1561"/>
      <c r="X19" s="2544"/>
      <c r="Y19" s="3383"/>
      <c r="Z19" s="2543"/>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83"/>
      <c r="Q20" s="1559" t="str">
        <f>B20</f>
        <v>自然及人文环境</v>
      </c>
      <c r="R20" s="1560" t="s">
        <v>8</v>
      </c>
      <c r="S20" s="1561">
        <f>F20</f>
        <v>100</v>
      </c>
      <c r="T20" s="1560" t="s">
        <v>8</v>
      </c>
      <c r="U20" s="1561">
        <f>H20</f>
        <v>100</v>
      </c>
      <c r="V20" s="1560" t="s">
        <v>8</v>
      </c>
      <c r="W20" s="1561">
        <f>J20</f>
        <v>100</v>
      </c>
      <c r="X20" s="1554"/>
      <c r="Y20" s="338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6"/>
      <c r="M21" s="2118"/>
      <c r="N21" s="2118"/>
      <c r="O21" s="2125"/>
      <c r="P21" s="3383"/>
      <c r="Q21" s="1559"/>
      <c r="R21" s="1560"/>
      <c r="S21" s="1561"/>
      <c r="T21" s="1560"/>
      <c r="U21" s="1561"/>
      <c r="V21" s="1560"/>
      <c r="W21" s="1561"/>
      <c r="X21" s="1554"/>
      <c r="Y21" s="338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83"/>
      <c r="Q22" s="1559" t="str">
        <f>B22</f>
        <v>楼层</v>
      </c>
      <c r="R22" s="1560" t="s">
        <v>8</v>
      </c>
      <c r="S22" s="1561">
        <f>F22</f>
        <v>100</v>
      </c>
      <c r="T22" s="1560" t="s">
        <v>8</v>
      </c>
      <c r="U22" s="1561">
        <f>H22</f>
        <v>100</v>
      </c>
      <c r="V22" s="1560" t="s">
        <v>8</v>
      </c>
      <c r="W22" s="1561">
        <f>J22</f>
        <v>100</v>
      </c>
      <c r="X22" s="1554"/>
      <c r="Y22" s="338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83"/>
      <c r="Q23" s="1559">
        <f>B23</f>
        <v>111</v>
      </c>
      <c r="R23" s="1560" t="s">
        <v>8</v>
      </c>
      <c r="S23" s="1561">
        <f>F23</f>
        <v>100</v>
      </c>
      <c r="T23" s="1560" t="s">
        <v>8</v>
      </c>
      <c r="U23" s="1561">
        <f>H23</f>
        <v>100</v>
      </c>
      <c r="V23" s="1560" t="s">
        <v>8</v>
      </c>
      <c r="W23" s="1561">
        <f>J23</f>
        <v>100</v>
      </c>
      <c r="X23" s="1554"/>
      <c r="Y23" s="338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83"/>
      <c r="Q24" s="1559">
        <f t="shared" ref="Q24:Q36" si="11">B24</f>
        <v>111</v>
      </c>
      <c r="R24" s="1560" t="s">
        <v>8</v>
      </c>
      <c r="S24" s="1561">
        <f>F24</f>
        <v>100</v>
      </c>
      <c r="T24" s="1560" t="s">
        <v>8</v>
      </c>
      <c r="U24" s="1561">
        <f>H24</f>
        <v>100</v>
      </c>
      <c r="V24" s="1560" t="s">
        <v>8</v>
      </c>
      <c r="W24" s="1561">
        <f>J24</f>
        <v>100</v>
      </c>
      <c r="X24" s="1554"/>
      <c r="Y24" s="3383"/>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83"/>
      <c r="Q25" s="1147">
        <f t="shared" si="11"/>
        <v>111</v>
      </c>
      <c r="R25" s="1555" t="s">
        <v>8</v>
      </c>
      <c r="S25" s="1556">
        <f>F25</f>
        <v>100</v>
      </c>
      <c r="T25" s="1555" t="s">
        <v>8</v>
      </c>
      <c r="U25" s="1556">
        <f>H25</f>
        <v>100</v>
      </c>
      <c r="V25" s="1555" t="s">
        <v>8</v>
      </c>
      <c r="W25" s="1556">
        <f>J25</f>
        <v>100</v>
      </c>
      <c r="X25" s="1557"/>
      <c r="Y25" s="3383"/>
      <c r="Z25" s="1146">
        <f>Q25</f>
        <v>111</v>
      </c>
      <c r="AA25" s="1563">
        <f>D25/F25</f>
        <v>1</v>
      </c>
      <c r="AB25" s="1563">
        <f>D25/H25</f>
        <v>1</v>
      </c>
      <c r="AC25" s="1563">
        <f>D25/J25</f>
        <v>1</v>
      </c>
    </row>
    <row r="26" spans="1:29" ht="15">
      <c r="A26" s="2861"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8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85"/>
      <c r="Q27" s="1591" t="str">
        <f t="shared" si="11"/>
        <v>项目停车位配比</v>
      </c>
      <c r="R27" s="1564" t="s">
        <v>8</v>
      </c>
      <c r="S27" s="1565">
        <f t="shared" si="12"/>
        <v>100</v>
      </c>
      <c r="T27" s="1564" t="s">
        <v>8</v>
      </c>
      <c r="U27" s="1565">
        <f t="shared" si="13"/>
        <v>100</v>
      </c>
      <c r="V27" s="1564" t="s">
        <v>8</v>
      </c>
      <c r="W27" s="1565">
        <f t="shared" si="14"/>
        <v>100</v>
      </c>
      <c r="X27" s="1566"/>
      <c r="Y27" s="338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85"/>
      <c r="Q28" s="1559" t="str">
        <f t="shared" si="11"/>
        <v>公共部分装修</v>
      </c>
      <c r="R28" s="1560" t="s">
        <v>8</v>
      </c>
      <c r="S28" s="1561">
        <f t="shared" si="12"/>
        <v>100</v>
      </c>
      <c r="T28" s="1560" t="s">
        <v>8</v>
      </c>
      <c r="U28" s="1561">
        <f t="shared" si="13"/>
        <v>100</v>
      </c>
      <c r="V28" s="1560" t="s">
        <v>8</v>
      </c>
      <c r="W28" s="1561">
        <f t="shared" si="14"/>
        <v>100</v>
      </c>
      <c r="X28" s="1554"/>
      <c r="Y28" s="338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85"/>
      <c r="Q29" s="1559" t="str">
        <f t="shared" si="11"/>
        <v>成新率</v>
      </c>
      <c r="R29" s="1560" t="s">
        <v>8</v>
      </c>
      <c r="S29" s="1561" t="e">
        <f t="shared" si="12"/>
        <v>#N/A</v>
      </c>
      <c r="T29" s="1560" t="s">
        <v>8</v>
      </c>
      <c r="U29" s="1561" t="e">
        <f t="shared" si="13"/>
        <v>#N/A</v>
      </c>
      <c r="V29" s="1560" t="s">
        <v>8</v>
      </c>
      <c r="W29" s="1561" t="e">
        <f t="shared" si="14"/>
        <v>#N/A</v>
      </c>
      <c r="X29" s="1554"/>
      <c r="Y29" s="338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85"/>
      <c r="Q30" s="1559" t="str">
        <f t="shared" si="11"/>
        <v>物业等级</v>
      </c>
      <c r="R30" s="1560" t="s">
        <v>8</v>
      </c>
      <c r="S30" s="1561">
        <f t="shared" si="12"/>
        <v>100</v>
      </c>
      <c r="T30" s="1560" t="s">
        <v>8</v>
      </c>
      <c r="U30" s="1561">
        <f t="shared" si="13"/>
        <v>100</v>
      </c>
      <c r="V30" s="1560" t="s">
        <v>8</v>
      </c>
      <c r="W30" s="1561">
        <f t="shared" si="14"/>
        <v>100</v>
      </c>
      <c r="X30" s="1554"/>
      <c r="Y30" s="338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85"/>
      <c r="Q31" s="1147" t="str">
        <f t="shared" si="11"/>
        <v>停车位面积</v>
      </c>
      <c r="R31" s="1555" t="s">
        <v>8</v>
      </c>
      <c r="S31" s="1556" t="e">
        <f t="shared" si="12"/>
        <v>#N/A</v>
      </c>
      <c r="T31" s="1555" t="s">
        <v>8</v>
      </c>
      <c r="U31" s="1556" t="e">
        <f t="shared" si="13"/>
        <v>#N/A</v>
      </c>
      <c r="V31" s="1555" t="s">
        <v>8</v>
      </c>
      <c r="W31" s="1556" t="e">
        <f t="shared" si="14"/>
        <v>#N/A</v>
      </c>
      <c r="X31" s="1557"/>
      <c r="Y31" s="338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85" t="s">
        <v>550</v>
      </c>
      <c r="Q32" s="1559" t="str">
        <f t="shared" si="11"/>
        <v>车位类型</v>
      </c>
      <c r="R32" s="1560" t="s">
        <v>8</v>
      </c>
      <c r="S32" s="1561">
        <f t="shared" si="12"/>
        <v>100</v>
      </c>
      <c r="T32" s="1560" t="s">
        <v>8</v>
      </c>
      <c r="U32" s="1561">
        <f t="shared" si="13"/>
        <v>100</v>
      </c>
      <c r="V32" s="1560" t="s">
        <v>8</v>
      </c>
      <c r="W32" s="1561">
        <f t="shared" si="14"/>
        <v>100</v>
      </c>
      <c r="X32" s="1554"/>
      <c r="Y32" s="338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85"/>
      <c r="Q33" s="1559" t="str">
        <f t="shared" si="11"/>
        <v>是否直接入户</v>
      </c>
      <c r="R33" s="1560" t="s">
        <v>8</v>
      </c>
      <c r="S33" s="1561">
        <f t="shared" si="12"/>
        <v>100</v>
      </c>
      <c r="T33" s="1560" t="s">
        <v>8</v>
      </c>
      <c r="U33" s="1561">
        <f t="shared" si="13"/>
        <v>100</v>
      </c>
      <c r="V33" s="1560" t="s">
        <v>8</v>
      </c>
      <c r="W33" s="1561">
        <f t="shared" si="14"/>
        <v>100</v>
      </c>
      <c r="X33" s="1554"/>
      <c r="Y33" s="338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85"/>
      <c r="Q34" s="1559">
        <f t="shared" si="11"/>
        <v>111</v>
      </c>
      <c r="R34" s="1560" t="s">
        <v>8</v>
      </c>
      <c r="S34" s="1561">
        <f t="shared" si="12"/>
        <v>100</v>
      </c>
      <c r="T34" s="1560" t="s">
        <v>8</v>
      </c>
      <c r="U34" s="1561">
        <f t="shared" si="13"/>
        <v>100</v>
      </c>
      <c r="V34" s="1560" t="s">
        <v>8</v>
      </c>
      <c r="W34" s="1561">
        <f t="shared" si="14"/>
        <v>100</v>
      </c>
      <c r="X34" s="1554"/>
      <c r="Y34" s="338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85"/>
      <c r="Q35" s="1591">
        <f t="shared" si="11"/>
        <v>111</v>
      </c>
      <c r="R35" s="1564" t="s">
        <v>8</v>
      </c>
      <c r="S35" s="1565">
        <f t="shared" si="12"/>
        <v>100</v>
      </c>
      <c r="T35" s="1564" t="s">
        <v>8</v>
      </c>
      <c r="U35" s="1565">
        <f t="shared" si="13"/>
        <v>100</v>
      </c>
      <c r="V35" s="1564" t="s">
        <v>8</v>
      </c>
      <c r="W35" s="1565">
        <f t="shared" si="14"/>
        <v>100</v>
      </c>
      <c r="X35" s="1566"/>
      <c r="Y35" s="3385"/>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85"/>
      <c r="Q36" s="1559">
        <f t="shared" si="11"/>
        <v>111</v>
      </c>
      <c r="R36" s="1560" t="s">
        <v>8</v>
      </c>
      <c r="S36" s="1561">
        <f t="shared" si="12"/>
        <v>100</v>
      </c>
      <c r="T36" s="1560" t="s">
        <v>8</v>
      </c>
      <c r="U36" s="1561">
        <f t="shared" si="13"/>
        <v>100</v>
      </c>
      <c r="V36" s="1560" t="s">
        <v>8</v>
      </c>
      <c r="W36" s="1561">
        <f t="shared" si="14"/>
        <v>100</v>
      </c>
      <c r="X36" s="1554"/>
      <c r="Y36" s="3385"/>
      <c r="Z36" s="1562">
        <f t="shared" si="15"/>
        <v>111</v>
      </c>
      <c r="AA36" s="1563">
        <f t="shared" si="3"/>
        <v>1</v>
      </c>
      <c r="AB36" s="1563">
        <f t="shared" si="4"/>
        <v>1</v>
      </c>
      <c r="AC36" s="1563">
        <f t="shared" si="5"/>
        <v>1</v>
      </c>
    </row>
    <row r="37" spans="1:29" ht="14.4">
      <c r="A37" s="1830" t="s">
        <v>2074</v>
      </c>
      <c r="B37" s="1831" t="s">
        <v>2075</v>
      </c>
      <c r="C37" s="2590" t="s">
        <v>1</v>
      </c>
      <c r="D37" s="2591"/>
      <c r="E37" s="2592"/>
      <c r="F37" s="2593"/>
      <c r="G37" s="2594"/>
      <c r="H37" s="2595"/>
      <c r="I37" s="2592"/>
      <c r="J37" s="2595"/>
      <c r="K37" s="1597"/>
      <c r="L37" s="2128"/>
      <c r="M37" s="2129"/>
      <c r="N37" s="2118"/>
      <c r="O37" s="2129"/>
      <c r="P37" s="3380" t="str">
        <f>A37</f>
        <v>成交单价</v>
      </c>
      <c r="Q37" s="3380"/>
      <c r="R37" s="3484">
        <f>E37</f>
        <v>0</v>
      </c>
      <c r="S37" s="3484"/>
      <c r="T37" s="3484">
        <f>G37</f>
        <v>0</v>
      </c>
      <c r="U37" s="3484"/>
      <c r="V37" s="3484">
        <f>I37</f>
        <v>0</v>
      </c>
      <c r="W37" s="3484"/>
      <c r="X37" s="1546"/>
      <c r="Y37" s="1568"/>
      <c r="Z37" s="1546"/>
      <c r="AA37" s="1546"/>
      <c r="AB37" s="1546"/>
      <c r="AC37" s="1546"/>
    </row>
    <row r="38" spans="1:29" ht="15" thickBot="1">
      <c r="A38" s="615" t="s">
        <v>2756</v>
      </c>
      <c r="B38" s="888"/>
      <c r="C38" s="2596" t="e">
        <f>R39</f>
        <v>#DIV/0!</v>
      </c>
      <c r="D38" s="2597"/>
      <c r="E38" s="2598" t="e">
        <f>R38</f>
        <v>#DIV/0!</v>
      </c>
      <c r="F38" s="2598"/>
      <c r="G38" s="2596" t="e">
        <f>T38</f>
        <v>#DIV/0!</v>
      </c>
      <c r="H38" s="2597"/>
      <c r="I38" s="2598" t="e">
        <f>V38</f>
        <v>#DIV/0!</v>
      </c>
      <c r="J38" s="2597"/>
      <c r="K38" s="1598"/>
      <c r="L38" s="2128"/>
      <c r="M38" s="2129"/>
      <c r="N38" s="2129"/>
      <c r="O38" s="2129"/>
      <c r="P38" s="3380" t="str">
        <f>A38</f>
        <v>比较价格（元/平方米）</v>
      </c>
      <c r="Q38" s="3380"/>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6"/>
      <c r="Y38" s="1546"/>
      <c r="Z38" s="1546"/>
      <c r="AA38" s="1546"/>
      <c r="AB38" s="1546"/>
      <c r="AC38" s="1546"/>
    </row>
    <row r="39" spans="1:29" ht="15" thickBot="1">
      <c r="A39" s="621" t="s">
        <v>2928</v>
      </c>
      <c r="B39" s="622"/>
      <c r="C39" s="2599" t="e">
        <f>R39</f>
        <v>#DIV/0!</v>
      </c>
      <c r="D39" s="2599"/>
      <c r="E39" s="2599"/>
      <c r="F39" s="2599"/>
      <c r="G39" s="2599"/>
      <c r="H39" s="2599"/>
      <c r="I39" s="2599"/>
      <c r="J39" s="2599"/>
      <c r="K39" s="1599"/>
      <c r="L39" s="2128"/>
      <c r="M39" s="2129"/>
      <c r="N39" s="2129"/>
      <c r="O39" s="2129"/>
      <c r="P39" s="3401" t="str">
        <f>A39</f>
        <v>估价对象XX用房的比较价格（楼面单价，元/平方米）</v>
      </c>
      <c r="Q39" s="3402"/>
      <c r="R39" s="3483" t="e">
        <f>IF(F1="售价",ROUND(AVERAGE(R38:V38),0),ROUND(AVERAGE(R38:V38),1))</f>
        <v>#DIV/0!</v>
      </c>
      <c r="S39" s="3483"/>
      <c r="T39" s="3483"/>
      <c r="U39" s="3483"/>
      <c r="V39" s="3483"/>
      <c r="W39" s="3483"/>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4.4">
      <c r="A48" s="645" t="s">
        <v>529</v>
      </c>
      <c r="B48" s="646"/>
      <c r="C48" s="2756" t="str">
        <f>YEAR(C7)&amp;"-"&amp;MONTH(C7)</f>
        <v>2020-3</v>
      </c>
      <c r="D48" s="2758">
        <f>EDATE(C48,-1)</f>
        <v>43862</v>
      </c>
      <c r="E48" s="2758">
        <f t="shared" ref="E48:O48" si="16">EDATE(D48,-1)</f>
        <v>43831</v>
      </c>
      <c r="F48" s="2758">
        <f t="shared" si="16"/>
        <v>43800</v>
      </c>
      <c r="G48" s="2758">
        <f t="shared" si="16"/>
        <v>43770</v>
      </c>
      <c r="H48" s="2758">
        <f t="shared" si="16"/>
        <v>43739</v>
      </c>
      <c r="I48" s="2758">
        <f t="shared" si="16"/>
        <v>43709</v>
      </c>
      <c r="J48" s="2758">
        <f t="shared" si="16"/>
        <v>43678</v>
      </c>
      <c r="K48" s="2758">
        <f t="shared" si="16"/>
        <v>43647</v>
      </c>
      <c r="L48" s="2758">
        <f t="shared" si="16"/>
        <v>43617</v>
      </c>
      <c r="M48" s="2758">
        <f t="shared" si="16"/>
        <v>43586</v>
      </c>
      <c r="N48" s="2758">
        <f t="shared" si="16"/>
        <v>43556</v>
      </c>
      <c r="O48" s="2758">
        <f t="shared" si="16"/>
        <v>43525</v>
      </c>
      <c r="P48" s="2144"/>
      <c r="Q48" s="2145"/>
      <c r="R48" s="2145"/>
      <c r="S48" s="2145"/>
      <c r="T48" s="2145"/>
      <c r="U48" s="2145"/>
      <c r="V48" s="2145"/>
      <c r="W48" s="2145"/>
      <c r="X48" s="2145"/>
      <c r="Y48" s="2145"/>
      <c r="Z48" s="2145"/>
      <c r="AA48" s="2145"/>
      <c r="AB48" s="2145"/>
      <c r="AC48" s="2145"/>
    </row>
    <row r="49" spans="1:29" s="1216"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4.4">
      <c r="A4" s="512" t="s">
        <v>797</v>
      </c>
      <c r="B4" s="513"/>
      <c r="C4" s="3386" t="s">
        <v>798</v>
      </c>
      <c r="D4" s="3387"/>
      <c r="E4" s="3410" t="s">
        <v>799</v>
      </c>
      <c r="F4" s="3411"/>
      <c r="G4" s="3386" t="s">
        <v>800</v>
      </c>
      <c r="H4" s="3387"/>
      <c r="I4" s="3386" t="s">
        <v>801</v>
      </c>
      <c r="J4" s="3387"/>
      <c r="K4" s="514" t="s">
        <v>802</v>
      </c>
      <c r="L4" s="2117"/>
      <c r="M4" s="2118"/>
      <c r="N4" s="2118"/>
      <c r="O4" s="2118"/>
      <c r="P4" s="3388" t="s">
        <v>803</v>
      </c>
      <c r="Q4" s="3389"/>
      <c r="R4" s="3374" t="s">
        <v>799</v>
      </c>
      <c r="S4" s="3375"/>
      <c r="T4" s="3374" t="s">
        <v>800</v>
      </c>
      <c r="U4" s="3375"/>
      <c r="V4" s="3394" t="s">
        <v>801</v>
      </c>
      <c r="W4" s="3394"/>
      <c r="X4" s="1554"/>
      <c r="Y4" s="3374" t="s">
        <v>803</v>
      </c>
      <c r="Z4" s="3375"/>
      <c r="AA4" s="3369" t="s">
        <v>799</v>
      </c>
      <c r="AB4" s="3370" t="s">
        <v>800</v>
      </c>
      <c r="AC4" s="3369" t="s">
        <v>801</v>
      </c>
    </row>
    <row r="5" spans="1:29">
      <c r="A5" s="515"/>
      <c r="B5" s="516"/>
      <c r="C5" s="3397" t="s">
        <v>2922</v>
      </c>
      <c r="D5" s="3398"/>
      <c r="E5" s="3412" t="s">
        <v>2923</v>
      </c>
      <c r="F5" s="3413"/>
      <c r="G5" s="3397" t="s">
        <v>2924</v>
      </c>
      <c r="H5" s="3398"/>
      <c r="I5" s="3397" t="s">
        <v>2925</v>
      </c>
      <c r="J5" s="3398"/>
      <c r="K5" s="514"/>
      <c r="L5" s="2117"/>
      <c r="M5" s="2118"/>
      <c r="N5" s="2118"/>
      <c r="O5" s="2118"/>
      <c r="P5" s="3390"/>
      <c r="Q5" s="3391"/>
      <c r="R5" s="3376"/>
      <c r="S5" s="3377"/>
      <c r="T5" s="3376"/>
      <c r="U5" s="3377"/>
      <c r="V5" s="3394"/>
      <c r="W5" s="3394"/>
      <c r="X5" s="1554"/>
      <c r="Y5" s="3376"/>
      <c r="Z5" s="3377"/>
      <c r="AA5" s="3370"/>
      <c r="AB5" s="3370"/>
      <c r="AC5" s="3370"/>
    </row>
    <row r="6" spans="1:29" ht="15" thickBot="1">
      <c r="A6" s="517"/>
      <c r="B6" s="518"/>
      <c r="C6" s="3395" t="s">
        <v>2926</v>
      </c>
      <c r="D6" s="3396"/>
      <c r="E6" s="3414" t="s">
        <v>2926</v>
      </c>
      <c r="F6" s="3415"/>
      <c r="G6" s="3395" t="s">
        <v>2926</v>
      </c>
      <c r="H6" s="3396"/>
      <c r="I6" s="3395" t="s">
        <v>2926</v>
      </c>
      <c r="J6" s="3396"/>
      <c r="K6" s="514" t="s">
        <v>528</v>
      </c>
      <c r="L6" s="2117"/>
      <c r="M6" s="2118"/>
      <c r="N6" s="2118"/>
      <c r="O6" s="2118"/>
      <c r="P6" s="3392"/>
      <c r="Q6" s="3393"/>
      <c r="R6" s="3376"/>
      <c r="S6" s="3377"/>
      <c r="T6" s="3378"/>
      <c r="U6" s="3379"/>
      <c r="V6" s="3394"/>
      <c r="W6" s="3394"/>
      <c r="X6" s="1554"/>
      <c r="Y6" s="3378"/>
      <c r="Z6" s="3379"/>
      <c r="AA6" s="3371"/>
      <c r="AB6" s="3371"/>
      <c r="AC6" s="3371"/>
    </row>
    <row r="7" spans="1:29" s="1216" customFormat="1" ht="15" thickBot="1">
      <c r="A7" s="2866"/>
      <c r="B7" s="2873" t="s">
        <v>529</v>
      </c>
      <c r="C7" s="519">
        <f>'数据-取费表'!B2</f>
        <v>43905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72" t="s">
        <v>530</v>
      </c>
      <c r="Q7" s="3381"/>
      <c r="R7" s="1555" t="s">
        <v>8</v>
      </c>
      <c r="S7" s="1556">
        <f t="shared" ref="S7:S14" si="0">F7</f>
        <v>0</v>
      </c>
      <c r="T7" s="1555" t="s">
        <v>8</v>
      </c>
      <c r="U7" s="1556">
        <f t="shared" ref="U7:U14" si="1">H7</f>
        <v>0</v>
      </c>
      <c r="V7" s="1555" t="s">
        <v>8</v>
      </c>
      <c r="W7" s="1556">
        <f t="shared" ref="W7:W14" si="2">J7</f>
        <v>0</v>
      </c>
      <c r="X7" s="1557"/>
      <c r="Y7" s="3372" t="s">
        <v>530</v>
      </c>
      <c r="Z7" s="3373"/>
      <c r="AA7" s="1558" t="e">
        <f>D7/F7</f>
        <v>#DIV/0!</v>
      </c>
      <c r="AB7" s="1558" t="e">
        <f>D7/H7</f>
        <v>#DIV/0!</v>
      </c>
      <c r="AC7" s="1558" t="e">
        <f>D7/J7</f>
        <v>#DIV/0!</v>
      </c>
    </row>
    <row r="8" spans="1:29" s="1216"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72" t="s">
        <v>533</v>
      </c>
      <c r="Q8" s="3373"/>
      <c r="R8" s="1555" t="s">
        <v>8</v>
      </c>
      <c r="S8" s="1556">
        <f t="shared" si="0"/>
        <v>0</v>
      </c>
      <c r="T8" s="1555" t="s">
        <v>8</v>
      </c>
      <c r="U8" s="1556">
        <f t="shared" si="1"/>
        <v>0</v>
      </c>
      <c r="V8" s="1555" t="s">
        <v>8</v>
      </c>
      <c r="W8" s="1556">
        <f t="shared" si="2"/>
        <v>0</v>
      </c>
      <c r="X8" s="1557"/>
      <c r="Y8" s="3372" t="s">
        <v>533</v>
      </c>
      <c r="Z8" s="3373"/>
      <c r="AA8" s="1558" t="e">
        <f t="shared" ref="AA8:AA34" si="3">D8/F8</f>
        <v>#DIV/0!</v>
      </c>
      <c r="AB8" s="1558" t="e">
        <f t="shared" ref="AB8:AB34" si="4">D8/H8</f>
        <v>#DIV/0!</v>
      </c>
      <c r="AC8" s="1558" t="e">
        <f t="shared" ref="AC8:AC34" si="5">D8/J8</f>
        <v>#DIV/0!</v>
      </c>
    </row>
    <row r="9" spans="1:29" s="1216" customFormat="1" ht="14.4">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0" t="s">
        <v>535</v>
      </c>
      <c r="Q9" s="1147" t="str">
        <f t="shared" ref="Q9:Q14" si="6">B9</f>
        <v>用途</v>
      </c>
      <c r="R9" s="1555" t="s">
        <v>8</v>
      </c>
      <c r="S9" s="1556">
        <f t="shared" si="0"/>
        <v>100</v>
      </c>
      <c r="T9" s="1555" t="s">
        <v>8</v>
      </c>
      <c r="U9" s="1556">
        <f t="shared" si="1"/>
        <v>100</v>
      </c>
      <c r="V9" s="1555" t="s">
        <v>8</v>
      </c>
      <c r="W9" s="1556">
        <f t="shared" si="2"/>
        <v>100</v>
      </c>
      <c r="X9" s="1557"/>
      <c r="Y9" s="3337" t="s">
        <v>536</v>
      </c>
      <c r="Z9" s="1146" t="str">
        <f t="shared" ref="Z9:Z14" si="7">Q9</f>
        <v>用途</v>
      </c>
      <c r="AA9" s="1558">
        <f t="shared" si="3"/>
        <v>1</v>
      </c>
      <c r="AB9" s="1558">
        <f t="shared" si="4"/>
        <v>1</v>
      </c>
      <c r="AC9" s="1558">
        <f t="shared" si="5"/>
        <v>1</v>
      </c>
    </row>
    <row r="10" spans="1:29" s="1334" customFormat="1" ht="28.8">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0"/>
      <c r="Q10" s="1147" t="str">
        <f t="shared" si="6"/>
        <v>土地使用年限（年）</v>
      </c>
      <c r="R10" s="1555" t="s">
        <v>8</v>
      </c>
      <c r="S10" s="1556">
        <f t="shared" si="0"/>
        <v>100</v>
      </c>
      <c r="T10" s="1555" t="s">
        <v>8</v>
      </c>
      <c r="U10" s="1556">
        <f t="shared" si="1"/>
        <v>100</v>
      </c>
      <c r="V10" s="1555" t="s">
        <v>8</v>
      </c>
      <c r="W10" s="1556">
        <f t="shared" si="2"/>
        <v>100</v>
      </c>
      <c r="X10" s="1557"/>
      <c r="Y10" s="3337"/>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0"/>
      <c r="Q11" s="1147">
        <f t="shared" si="6"/>
        <v>111</v>
      </c>
      <c r="R11" s="1555" t="s">
        <v>8</v>
      </c>
      <c r="S11" s="1556">
        <f t="shared" si="0"/>
        <v>100</v>
      </c>
      <c r="T11" s="1555" t="s">
        <v>8</v>
      </c>
      <c r="U11" s="1556">
        <f t="shared" si="1"/>
        <v>100</v>
      </c>
      <c r="V11" s="1555" t="s">
        <v>8</v>
      </c>
      <c r="W11" s="1556">
        <f t="shared" si="2"/>
        <v>100</v>
      </c>
      <c r="X11" s="1557"/>
      <c r="Y11" s="3337"/>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0"/>
      <c r="Q12" s="1147">
        <f t="shared" si="6"/>
        <v>111</v>
      </c>
      <c r="R12" s="1555" t="s">
        <v>8</v>
      </c>
      <c r="S12" s="1556">
        <f t="shared" si="0"/>
        <v>100</v>
      </c>
      <c r="T12" s="1555" t="s">
        <v>8</v>
      </c>
      <c r="U12" s="1556">
        <f t="shared" si="1"/>
        <v>100</v>
      </c>
      <c r="V12" s="1555" t="s">
        <v>8</v>
      </c>
      <c r="W12" s="1556">
        <f t="shared" si="2"/>
        <v>100</v>
      </c>
      <c r="X12" s="1557"/>
      <c r="Y12" s="3337"/>
      <c r="Z12" s="1146">
        <f t="shared" si="7"/>
        <v>111</v>
      </c>
      <c r="AA12" s="1558">
        <f>D12/F12</f>
        <v>1</v>
      </c>
      <c r="AB12" s="1558">
        <f>D12/H12</f>
        <v>1</v>
      </c>
      <c r="AC12" s="1558">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0"/>
      <c r="Q13" s="1147">
        <f t="shared" si="6"/>
        <v>111</v>
      </c>
      <c r="R13" s="1555" t="s">
        <v>8</v>
      </c>
      <c r="S13" s="1556">
        <f t="shared" si="0"/>
        <v>100</v>
      </c>
      <c r="T13" s="1555" t="s">
        <v>8</v>
      </c>
      <c r="U13" s="1556">
        <f t="shared" si="1"/>
        <v>100</v>
      </c>
      <c r="V13" s="1555" t="s">
        <v>8</v>
      </c>
      <c r="W13" s="1556">
        <f t="shared" si="2"/>
        <v>100</v>
      </c>
      <c r="X13" s="1557"/>
      <c r="Y13" s="3337"/>
      <c r="Z13" s="1146">
        <f t="shared" si="7"/>
        <v>111</v>
      </c>
      <c r="AA13" s="1558">
        <f t="shared" si="3"/>
        <v>1</v>
      </c>
      <c r="AB13" s="1558">
        <f t="shared" si="4"/>
        <v>1</v>
      </c>
      <c r="AC13" s="1558">
        <f t="shared" si="5"/>
        <v>1</v>
      </c>
    </row>
    <row r="14" spans="1:29" ht="15">
      <c r="A14" s="2864"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82" t="s">
        <v>540</v>
      </c>
      <c r="Q14" s="1559" t="str">
        <f t="shared" si="6"/>
        <v>交通便捷度</v>
      </c>
      <c r="R14" s="1560" t="s">
        <v>8</v>
      </c>
      <c r="S14" s="1561">
        <f t="shared" si="0"/>
        <v>100</v>
      </c>
      <c r="T14" s="1560" t="s">
        <v>8</v>
      </c>
      <c r="U14" s="1561">
        <f t="shared" si="1"/>
        <v>100</v>
      </c>
      <c r="V14" s="1560" t="s">
        <v>8</v>
      </c>
      <c r="W14" s="1561">
        <f t="shared" si="2"/>
        <v>100</v>
      </c>
      <c r="X14" s="1554"/>
      <c r="Y14" s="338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383"/>
      <c r="Q15" s="1559"/>
      <c r="R15" s="1560"/>
      <c r="S15" s="1561"/>
      <c r="T15" s="1560"/>
      <c r="U15" s="1561"/>
      <c r="V15" s="1560"/>
      <c r="W15" s="1561"/>
      <c r="X15" s="1554"/>
      <c r="Y15" s="3383"/>
      <c r="Z15" s="1562"/>
      <c r="AA15" s="1563">
        <v>1</v>
      </c>
      <c r="AB15" s="1563">
        <v>1</v>
      </c>
      <c r="AC15" s="1563">
        <v>1</v>
      </c>
    </row>
    <row r="16" spans="1:29" ht="15">
      <c r="A16" s="532"/>
      <c r="B16" s="2566"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83"/>
      <c r="Q16" s="1559" t="str">
        <f>B16</f>
        <v>公共配套设施</v>
      </c>
      <c r="R16" s="1560" t="s">
        <v>8</v>
      </c>
      <c r="S16" s="1561">
        <f>F16</f>
        <v>100</v>
      </c>
      <c r="T16" s="1560" t="s">
        <v>8</v>
      </c>
      <c r="U16" s="1561">
        <f>H16</f>
        <v>100</v>
      </c>
      <c r="V16" s="1560" t="s">
        <v>8</v>
      </c>
      <c r="W16" s="1561">
        <f>J16</f>
        <v>100</v>
      </c>
      <c r="X16" s="1554"/>
      <c r="Y16" s="338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383"/>
      <c r="Q17" s="1559"/>
      <c r="R17" s="1560"/>
      <c r="S17" s="1561"/>
      <c r="T17" s="1560"/>
      <c r="U17" s="1561"/>
      <c r="V17" s="1560"/>
      <c r="W17" s="1561"/>
      <c r="X17" s="1554"/>
      <c r="Y17" s="3383"/>
      <c r="Z17" s="1562"/>
      <c r="AA17" s="1563">
        <v>1</v>
      </c>
      <c r="AB17" s="1563">
        <v>1</v>
      </c>
      <c r="AC17" s="1563">
        <v>1</v>
      </c>
    </row>
    <row r="18" spans="1:29" ht="15">
      <c r="A18" s="532"/>
      <c r="B18" s="2554"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83"/>
      <c r="Q18" s="2542" t="str">
        <f>B18</f>
        <v>基础设施水平</v>
      </c>
      <c r="R18" s="1560" t="s">
        <v>8</v>
      </c>
      <c r="S18" s="1561">
        <f>F18</f>
        <v>100</v>
      </c>
      <c r="T18" s="1560" t="s">
        <v>8</v>
      </c>
      <c r="U18" s="1561">
        <f>H18</f>
        <v>100</v>
      </c>
      <c r="V18" s="1560" t="s">
        <v>8</v>
      </c>
      <c r="W18" s="1561">
        <f>J18</f>
        <v>100</v>
      </c>
      <c r="X18" s="2544"/>
      <c r="Y18" s="3383"/>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383"/>
      <c r="Q19" s="2542"/>
      <c r="R19" s="1560"/>
      <c r="S19" s="1561"/>
      <c r="T19" s="1560"/>
      <c r="U19" s="1561"/>
      <c r="V19" s="1560"/>
      <c r="W19" s="1561"/>
      <c r="X19" s="2544"/>
      <c r="Y19" s="3383"/>
      <c r="Z19" s="2543"/>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83"/>
      <c r="Q20" s="1559" t="str">
        <f>B20</f>
        <v>自然及人文环境</v>
      </c>
      <c r="R20" s="1560" t="s">
        <v>8</v>
      </c>
      <c r="S20" s="1561">
        <f>F20</f>
        <v>100</v>
      </c>
      <c r="T20" s="1560" t="s">
        <v>8</v>
      </c>
      <c r="U20" s="1561">
        <f>H20</f>
        <v>100</v>
      </c>
      <c r="V20" s="1560" t="s">
        <v>8</v>
      </c>
      <c r="W20" s="1561">
        <f>J20</f>
        <v>100</v>
      </c>
      <c r="X20" s="1554"/>
      <c r="Y20" s="338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383"/>
      <c r="Q21" s="1559"/>
      <c r="R21" s="1560"/>
      <c r="S21" s="1561"/>
      <c r="T21" s="1560"/>
      <c r="U21" s="1561"/>
      <c r="V21" s="1560"/>
      <c r="W21" s="1561"/>
      <c r="X21" s="1554"/>
      <c r="Y21" s="338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83"/>
      <c r="Q22" s="1559" t="str">
        <f>B22</f>
        <v>楼层</v>
      </c>
      <c r="R22" s="1560" t="s">
        <v>8</v>
      </c>
      <c r="S22" s="1561">
        <f>F22</f>
        <v>100</v>
      </c>
      <c r="T22" s="1560" t="s">
        <v>8</v>
      </c>
      <c r="U22" s="1561">
        <f>H22</f>
        <v>100</v>
      </c>
      <c r="V22" s="1560" t="s">
        <v>8</v>
      </c>
      <c r="W22" s="1561">
        <f>J22</f>
        <v>100</v>
      </c>
      <c r="X22" s="1554"/>
      <c r="Y22" s="338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83"/>
      <c r="Q23" s="1559">
        <f>B23</f>
        <v>111</v>
      </c>
      <c r="R23" s="1560" t="s">
        <v>8</v>
      </c>
      <c r="S23" s="1561">
        <f>F23</f>
        <v>100</v>
      </c>
      <c r="T23" s="1560" t="s">
        <v>8</v>
      </c>
      <c r="U23" s="1561">
        <f>H23</f>
        <v>100</v>
      </c>
      <c r="V23" s="1560" t="s">
        <v>8</v>
      </c>
      <c r="W23" s="1561">
        <f>J23</f>
        <v>100</v>
      </c>
      <c r="X23" s="1554"/>
      <c r="Y23" s="338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83"/>
      <c r="Q24" s="1559">
        <f t="shared" ref="Q24:Q34" si="11">B24</f>
        <v>111</v>
      </c>
      <c r="R24" s="1560" t="s">
        <v>8</v>
      </c>
      <c r="S24" s="1561">
        <f>F24</f>
        <v>100</v>
      </c>
      <c r="T24" s="1560" t="s">
        <v>8</v>
      </c>
      <c r="U24" s="1561">
        <f>H24</f>
        <v>100</v>
      </c>
      <c r="V24" s="1560" t="s">
        <v>8</v>
      </c>
      <c r="W24" s="1561">
        <f>J24</f>
        <v>100</v>
      </c>
      <c r="X24" s="1554"/>
      <c r="Y24" s="3383"/>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83"/>
      <c r="Q25" s="1147">
        <f t="shared" si="11"/>
        <v>111</v>
      </c>
      <c r="R25" s="1555" t="s">
        <v>8</v>
      </c>
      <c r="S25" s="1556">
        <f>F25</f>
        <v>100</v>
      </c>
      <c r="T25" s="1555" t="s">
        <v>8</v>
      </c>
      <c r="U25" s="1556">
        <f>H25</f>
        <v>100</v>
      </c>
      <c r="V25" s="1555" t="s">
        <v>8</v>
      </c>
      <c r="W25" s="1556">
        <f>J25</f>
        <v>100</v>
      </c>
      <c r="X25" s="1557"/>
      <c r="Y25" s="3383"/>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8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85"/>
      <c r="Q27" s="1591" t="str">
        <f t="shared" si="11"/>
        <v>成新率</v>
      </c>
      <c r="R27" s="1564" t="s">
        <v>8</v>
      </c>
      <c r="S27" s="1565" t="e">
        <f t="shared" si="12"/>
        <v>#N/A</v>
      </c>
      <c r="T27" s="1564" t="s">
        <v>8</v>
      </c>
      <c r="U27" s="1565" t="e">
        <f t="shared" si="13"/>
        <v>#N/A</v>
      </c>
      <c r="V27" s="1564" t="s">
        <v>8</v>
      </c>
      <c r="W27" s="1565" t="e">
        <f t="shared" si="14"/>
        <v>#N/A</v>
      </c>
      <c r="X27" s="1566"/>
      <c r="Y27" s="338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85"/>
      <c r="Q28" s="1559" t="str">
        <f t="shared" si="11"/>
        <v>物业等级</v>
      </c>
      <c r="R28" s="1560" t="s">
        <v>8</v>
      </c>
      <c r="S28" s="1561">
        <f t="shared" si="12"/>
        <v>100</v>
      </c>
      <c r="T28" s="1560" t="s">
        <v>8</v>
      </c>
      <c r="U28" s="1561">
        <f t="shared" si="13"/>
        <v>100</v>
      </c>
      <c r="V28" s="1560" t="s">
        <v>8</v>
      </c>
      <c r="W28" s="1561">
        <f t="shared" si="14"/>
        <v>100</v>
      </c>
      <c r="X28" s="1554"/>
      <c r="Y28" s="338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85"/>
      <c r="Q29" s="1559" t="str">
        <f t="shared" si="11"/>
        <v>有无电梯</v>
      </c>
      <c r="R29" s="1560" t="s">
        <v>8</v>
      </c>
      <c r="S29" s="1561">
        <f t="shared" si="12"/>
        <v>100</v>
      </c>
      <c r="T29" s="1560" t="s">
        <v>8</v>
      </c>
      <c r="U29" s="1561">
        <f t="shared" si="13"/>
        <v>100</v>
      </c>
      <c r="V29" s="1560" t="s">
        <v>8</v>
      </c>
      <c r="W29" s="1561">
        <f t="shared" si="14"/>
        <v>100</v>
      </c>
      <c r="X29" s="1554"/>
      <c r="Y29" s="338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85"/>
      <c r="Q30" s="1559" t="str">
        <f t="shared" si="11"/>
        <v>建筑面积</v>
      </c>
      <c r="R30" s="1560" t="s">
        <v>8</v>
      </c>
      <c r="S30" s="1561" t="e">
        <f t="shared" si="12"/>
        <v>#N/A</v>
      </c>
      <c r="T30" s="1560" t="s">
        <v>8</v>
      </c>
      <c r="U30" s="1561" t="e">
        <f t="shared" si="13"/>
        <v>#N/A</v>
      </c>
      <c r="V30" s="1560" t="s">
        <v>8</v>
      </c>
      <c r="W30" s="1561" t="e">
        <f t="shared" si="14"/>
        <v>#N/A</v>
      </c>
      <c r="X30" s="1554"/>
      <c r="Y30" s="338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85"/>
      <c r="Q31" s="1147" t="str">
        <f t="shared" si="11"/>
        <v>是否封闭</v>
      </c>
      <c r="R31" s="1555" t="s">
        <v>8</v>
      </c>
      <c r="S31" s="1556">
        <f t="shared" si="12"/>
        <v>100</v>
      </c>
      <c r="T31" s="1555" t="s">
        <v>8</v>
      </c>
      <c r="U31" s="1556">
        <f t="shared" si="13"/>
        <v>100</v>
      </c>
      <c r="V31" s="1555" t="s">
        <v>8</v>
      </c>
      <c r="W31" s="1556">
        <f t="shared" si="14"/>
        <v>100</v>
      </c>
      <c r="X31" s="1557"/>
      <c r="Y31" s="338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85" t="s">
        <v>550</v>
      </c>
      <c r="Q32" s="1559">
        <f t="shared" si="11"/>
        <v>111</v>
      </c>
      <c r="R32" s="1560" t="s">
        <v>8</v>
      </c>
      <c r="S32" s="1561">
        <f t="shared" si="12"/>
        <v>100</v>
      </c>
      <c r="T32" s="1560" t="s">
        <v>8</v>
      </c>
      <c r="U32" s="1561">
        <f t="shared" si="13"/>
        <v>100</v>
      </c>
      <c r="V32" s="1560" t="s">
        <v>8</v>
      </c>
      <c r="W32" s="1561">
        <f t="shared" si="14"/>
        <v>100</v>
      </c>
      <c r="X32" s="1554"/>
      <c r="Y32" s="338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85"/>
      <c r="Q33" s="1559">
        <f t="shared" si="11"/>
        <v>111</v>
      </c>
      <c r="R33" s="1560" t="s">
        <v>8</v>
      </c>
      <c r="S33" s="1561">
        <f t="shared" si="12"/>
        <v>100</v>
      </c>
      <c r="T33" s="1560" t="s">
        <v>8</v>
      </c>
      <c r="U33" s="1561">
        <f t="shared" si="13"/>
        <v>100</v>
      </c>
      <c r="V33" s="1560" t="s">
        <v>8</v>
      </c>
      <c r="W33" s="1561">
        <f t="shared" si="14"/>
        <v>100</v>
      </c>
      <c r="X33" s="1554"/>
      <c r="Y33" s="3385"/>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85"/>
      <c r="Q34" s="1559">
        <f t="shared" si="11"/>
        <v>111</v>
      </c>
      <c r="R34" s="1560" t="s">
        <v>8</v>
      </c>
      <c r="S34" s="1561">
        <f t="shared" si="12"/>
        <v>100</v>
      </c>
      <c r="T34" s="1560" t="s">
        <v>8</v>
      </c>
      <c r="U34" s="1561">
        <f t="shared" si="13"/>
        <v>100</v>
      </c>
      <c r="V34" s="1560" t="s">
        <v>8</v>
      </c>
      <c r="W34" s="1561">
        <f t="shared" si="14"/>
        <v>100</v>
      </c>
      <c r="X34" s="1554"/>
      <c r="Y34" s="3385"/>
      <c r="Z34" s="1562">
        <f t="shared" si="15"/>
        <v>111</v>
      </c>
      <c r="AA34" s="1563">
        <f t="shared" si="3"/>
        <v>1</v>
      </c>
      <c r="AB34" s="1563">
        <f t="shared" si="4"/>
        <v>1</v>
      </c>
      <c r="AC34" s="1563">
        <f t="shared" si="5"/>
        <v>1</v>
      </c>
    </row>
    <row r="35" spans="1:29" ht="14.4">
      <c r="A35" s="607" t="s">
        <v>736</v>
      </c>
      <c r="B35" s="887"/>
      <c r="C35" s="2590" t="s">
        <v>1</v>
      </c>
      <c r="D35" s="2591"/>
      <c r="E35" s="2592"/>
      <c r="F35" s="2593"/>
      <c r="G35" s="2594"/>
      <c r="H35" s="2595"/>
      <c r="I35" s="2592"/>
      <c r="J35" s="2595"/>
      <c r="K35" s="1597"/>
      <c r="L35" s="2128"/>
      <c r="M35" s="2129"/>
      <c r="N35" s="2118"/>
      <c r="O35" s="2129"/>
      <c r="P35" s="3380" t="str">
        <f>A35</f>
        <v>成交单价（元/平方米）</v>
      </c>
      <c r="Q35" s="3380"/>
      <c r="R35" s="3484">
        <f>E35</f>
        <v>0</v>
      </c>
      <c r="S35" s="3484"/>
      <c r="T35" s="3484">
        <f>G35</f>
        <v>0</v>
      </c>
      <c r="U35" s="3484"/>
      <c r="V35" s="3484">
        <f>I35</f>
        <v>0</v>
      </c>
      <c r="W35" s="3484"/>
      <c r="X35" s="1546"/>
      <c r="Y35" s="1568"/>
      <c r="Z35" s="1546"/>
      <c r="AA35" s="1546"/>
      <c r="AB35" s="1546"/>
      <c r="AC35" s="1546"/>
    </row>
    <row r="36" spans="1:29" ht="1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380" t="str">
        <f>A36</f>
        <v>比较价格（元/平方米）</v>
      </c>
      <c r="Q36" s="3380"/>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6"/>
      <c r="Y36" s="1546"/>
      <c r="Z36" s="1546"/>
      <c r="AA36" s="1546"/>
      <c r="AB36" s="1546"/>
      <c r="AC36" s="1546"/>
    </row>
    <row r="37" spans="1:29" ht="15" thickBot="1">
      <c r="A37" s="621" t="s">
        <v>2928</v>
      </c>
      <c r="B37" s="622"/>
      <c r="C37" s="2599" t="e">
        <f>R37</f>
        <v>#DIV/0!</v>
      </c>
      <c r="D37" s="2599"/>
      <c r="E37" s="2599"/>
      <c r="F37" s="2599"/>
      <c r="G37" s="2599"/>
      <c r="H37" s="2599"/>
      <c r="I37" s="2599"/>
      <c r="J37" s="2599"/>
      <c r="K37" s="1599"/>
      <c r="L37" s="2128"/>
      <c r="M37" s="2129"/>
      <c r="N37" s="2129"/>
      <c r="O37" s="2129"/>
      <c r="P37" s="3401" t="str">
        <f>A37</f>
        <v>估价对象XX用房的比较价格（楼面单价，元/平方米）</v>
      </c>
      <c r="Q37" s="3402"/>
      <c r="R37" s="3483" t="e">
        <f>IF(F1="售价",ROUND(AVERAGE(R36:V36),0),ROUND(AVERAGE(R36:V36),1))</f>
        <v>#DIV/0!</v>
      </c>
      <c r="S37" s="3483"/>
      <c r="T37" s="3483"/>
      <c r="U37" s="3483"/>
      <c r="V37" s="3483"/>
      <c r="W37" s="3483"/>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4.4">
      <c r="A46" s="645" t="s">
        <v>529</v>
      </c>
      <c r="B46" s="646"/>
      <c r="C46" s="2756" t="str">
        <f>YEAR(C7)&amp;"-"&amp;MONTH(C7)</f>
        <v>2020-3</v>
      </c>
      <c r="D46" s="2758">
        <f>EDATE(C46,-1)</f>
        <v>43862</v>
      </c>
      <c r="E46" s="2758">
        <f t="shared" ref="E46:O46" si="16">EDATE(D46,-1)</f>
        <v>43831</v>
      </c>
      <c r="F46" s="2758">
        <f t="shared" si="16"/>
        <v>43800</v>
      </c>
      <c r="G46" s="2758">
        <f t="shared" si="16"/>
        <v>43770</v>
      </c>
      <c r="H46" s="2758">
        <f t="shared" si="16"/>
        <v>43739</v>
      </c>
      <c r="I46" s="2758">
        <f t="shared" si="16"/>
        <v>43709</v>
      </c>
      <c r="J46" s="2758">
        <f t="shared" si="16"/>
        <v>43678</v>
      </c>
      <c r="K46" s="2758">
        <f t="shared" si="16"/>
        <v>43647</v>
      </c>
      <c r="L46" s="2758">
        <f t="shared" si="16"/>
        <v>43617</v>
      </c>
      <c r="M46" s="2758">
        <f t="shared" si="16"/>
        <v>43586</v>
      </c>
      <c r="N46" s="2758">
        <f t="shared" si="16"/>
        <v>43556</v>
      </c>
      <c r="O46" s="2758">
        <f t="shared" si="16"/>
        <v>43525</v>
      </c>
      <c r="P46" s="2144"/>
      <c r="Q46" s="2145"/>
      <c r="R46" s="2145"/>
      <c r="S46" s="2145"/>
      <c r="T46" s="2145"/>
      <c r="U46" s="2145"/>
      <c r="V46" s="2145"/>
      <c r="W46" s="2145"/>
      <c r="X46" s="2145"/>
      <c r="Y46" s="2145"/>
      <c r="Z46" s="2145"/>
      <c r="AA46" s="2145"/>
      <c r="AB46" s="2145"/>
      <c r="AC46" s="2145"/>
    </row>
    <row r="47" spans="1:29" s="1216"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2784</v>
      </c>
      <c r="C1" s="2958">
        <f>项目基本情况!D3</f>
        <v>43905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2" t="s">
        <v>2035</v>
      </c>
      <c r="B1" s="3202"/>
      <c r="C1" s="3202"/>
      <c r="D1" s="3202"/>
      <c r="E1" s="3202"/>
      <c r="F1" s="3202"/>
      <c r="G1" s="3202"/>
      <c r="H1" s="3202"/>
      <c r="I1" s="3202"/>
      <c r="J1" s="3202"/>
      <c r="K1" s="3202"/>
      <c r="L1" s="3202"/>
      <c r="M1" s="3202"/>
      <c r="N1" s="3202"/>
      <c r="O1" s="3202"/>
      <c r="P1" s="3202"/>
      <c r="Q1" s="3202"/>
      <c r="R1" s="3202"/>
    </row>
    <row r="2" spans="1:18">
      <c r="A2" s="1791" t="s">
        <v>2037</v>
      </c>
      <c r="B2" s="1791"/>
      <c r="C2" s="1791"/>
      <c r="D2" s="1791"/>
      <c r="E2" s="1791"/>
      <c r="F2" s="1791"/>
      <c r="G2" s="1791"/>
      <c r="H2" s="1791"/>
      <c r="I2" s="1792"/>
      <c r="J2" s="1792"/>
      <c r="K2" s="1793" t="str">
        <f>"估价期日："&amp;TEXT(项目基本情况!D3,"yyyy年m月d日;;")</f>
        <v>估价期日：2020年3月15日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2026</v>
      </c>
      <c r="B3" s="3203" t="s">
        <v>2727</v>
      </c>
      <c r="C3" s="3204" t="s">
        <v>2027</v>
      </c>
      <c r="D3" s="3203" t="s">
        <v>2731</v>
      </c>
      <c r="E3" s="3198" t="s">
        <v>2028</v>
      </c>
      <c r="F3" s="3198"/>
      <c r="G3" s="3198"/>
      <c r="H3" s="3198" t="s">
        <v>2029</v>
      </c>
      <c r="I3" s="3198"/>
      <c r="J3" s="3198"/>
      <c r="K3" s="3204" t="s">
        <v>2030</v>
      </c>
      <c r="L3" s="3204" t="s">
        <v>2031</v>
      </c>
      <c r="M3" s="3203" t="s">
        <v>2728</v>
      </c>
      <c r="N3" s="3205" t="str">
        <f>"（分摊）"&amp;项目基本情况!B16&amp;"国有建设用地使用权面积/㎡"</f>
        <v>（分摊）出让国有建设用地使用权面积/㎡</v>
      </c>
      <c r="O3" s="3203" t="s">
        <v>2060</v>
      </c>
      <c r="P3" s="3204" t="s">
        <v>2040</v>
      </c>
      <c r="Q3" s="3204" t="s">
        <v>2061</v>
      </c>
      <c r="R3" s="3204" t="s">
        <v>2032</v>
      </c>
    </row>
    <row r="4" spans="1:18" ht="36.75" customHeight="1">
      <c r="A4" s="3203"/>
      <c r="B4" s="3203"/>
      <c r="C4" s="3204"/>
      <c r="D4" s="3203"/>
      <c r="E4" s="2612" t="s">
        <v>2039</v>
      </c>
      <c r="F4" s="2612" t="s">
        <v>2740</v>
      </c>
      <c r="G4" s="2612" t="s">
        <v>2033</v>
      </c>
      <c r="H4" s="2612" t="s">
        <v>2034</v>
      </c>
      <c r="I4" s="2612" t="s">
        <v>2741</v>
      </c>
      <c r="J4" s="2612" t="s">
        <v>2033</v>
      </c>
      <c r="K4" s="3204"/>
      <c r="L4" s="3204"/>
      <c r="M4" s="3203"/>
      <c r="N4" s="3205"/>
      <c r="O4" s="3203"/>
      <c r="P4" s="3204"/>
      <c r="Q4" s="3204"/>
      <c r="R4" s="3204"/>
    </row>
    <row r="5" spans="1:18" ht="135" customHeight="1">
      <c r="A5" s="1927" t="s">
        <v>2651</v>
      </c>
      <c r="B5" s="2821"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40851.83</v>
      </c>
      <c r="O5" s="1794">
        <f>项目基本情况!C21</f>
        <v>61277.75</v>
      </c>
      <c r="P5" s="1794">
        <f ca="1">结果表!E42</f>
        <v>3718</v>
      </c>
      <c r="Q5" s="1794">
        <f ca="1">结果表!D42</f>
        <v>2479</v>
      </c>
      <c r="R5" s="1795">
        <f ca="1">结果表!C42</f>
        <v>15190</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6">
        <f ca="1">结果表!O39</f>
        <v>15190</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6"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6" t="s">
        <v>2062</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2063</v>
      </c>
      <c r="B5" s="3209"/>
      <c r="C5" s="3209"/>
      <c r="D5" s="3209"/>
    </row>
    <row r="6" spans="1:4">
      <c r="A6" s="3206" t="s">
        <v>2041</v>
      </c>
      <c r="B6" s="3206"/>
      <c r="C6" s="3206"/>
      <c r="D6" s="3206"/>
    </row>
    <row r="7" spans="1:4" ht="33" customHeight="1">
      <c r="A7" s="3206" t="s">
        <v>2571</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2065</v>
      </c>
      <c r="B12" s="3209"/>
      <c r="C12" s="3209"/>
      <c r="D12" s="3209"/>
    </row>
    <row r="13" spans="1:4">
      <c r="A13" s="3207" t="s">
        <v>2742</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2698</v>
      </c>
      <c r="B17" s="3206"/>
      <c r="C17" s="3206"/>
      <c r="D17" s="3206"/>
    </row>
    <row r="18" spans="1:4">
      <c r="A18" s="3206" t="s">
        <v>2690</v>
      </c>
      <c r="B18" s="3206"/>
      <c r="C18" s="3206"/>
      <c r="D18" s="3206"/>
    </row>
    <row r="19" spans="1:4">
      <c r="A19" s="2822" t="s">
        <v>2691</v>
      </c>
      <c r="B19" s="2822" t="s">
        <v>2692</v>
      </c>
      <c r="C19" s="2822" t="s">
        <v>2693</v>
      </c>
      <c r="D19" s="2822" t="s">
        <v>2694</v>
      </c>
    </row>
    <row r="20" spans="1:4">
      <c r="A20" s="2822" t="str">
        <f>项目基本情况!B4</f>
        <v>土地估价师</v>
      </c>
      <c r="B20" s="2822">
        <f>项目基本情况!C4</f>
        <v>0</v>
      </c>
      <c r="C20" s="2824"/>
      <c r="D20" s="1784" t="s">
        <v>2699</v>
      </c>
    </row>
    <row r="21" spans="1:4">
      <c r="A21" s="2822" t="str">
        <f>项目基本情况!D4</f>
        <v>土地估价师</v>
      </c>
      <c r="B21" s="2822">
        <f>项目基本情况!E4</f>
        <v>0</v>
      </c>
      <c r="C21" s="2824"/>
      <c r="D21" s="1784" t="s">
        <v>2700</v>
      </c>
    </row>
    <row r="23" spans="1:4">
      <c r="A23" s="3206" t="s">
        <v>2695</v>
      </c>
      <c r="B23" s="3206"/>
      <c r="C23" s="3206"/>
      <c r="D23" s="3206"/>
    </row>
    <row r="24" spans="1:4">
      <c r="A24" s="2822" t="s">
        <v>2691</v>
      </c>
      <c r="B24" s="2822" t="s">
        <v>2696</v>
      </c>
      <c r="C24" s="2822" t="s">
        <v>2693</v>
      </c>
      <c r="D24" s="2822" t="s">
        <v>2694</v>
      </c>
    </row>
    <row r="25" spans="1:4">
      <c r="A25" s="2825" t="s">
        <v>2697</v>
      </c>
      <c r="B25" s="2822" t="s">
        <v>951</v>
      </c>
      <c r="C25" s="2824"/>
      <c r="D25" s="1784" t="s">
        <v>2700</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58" sqref="B58"/>
      <selection pane="bottomLeft" activeCell="B58" sqref="B5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18" t="s">
        <v>53</v>
      </c>
      <c r="B15" s="3219" t="s">
        <v>845</v>
      </c>
      <c r="C15" s="3215"/>
    </row>
    <row r="16" spans="1:7" ht="14.4">
      <c r="A16" s="3218"/>
      <c r="B16" s="3216" t="s">
        <v>54</v>
      </c>
      <c r="C16" s="1168" t="s">
        <v>53</v>
      </c>
    </row>
    <row r="17" spans="1:3" ht="14.4">
      <c r="A17" s="3218"/>
      <c r="B17" s="3216"/>
      <c r="C17" s="1168" t="s">
        <v>55</v>
      </c>
    </row>
    <row r="18" spans="1:3" ht="14.4">
      <c r="A18" s="3218"/>
      <c r="B18" s="3216"/>
      <c r="C18" s="1168" t="s">
        <v>56</v>
      </c>
    </row>
    <row r="19" spans="1:3" ht="14.4">
      <c r="A19" s="3218"/>
      <c r="B19" s="3214" t="s">
        <v>57</v>
      </c>
      <c r="C19" s="3215"/>
    </row>
    <row r="20" spans="1:3" ht="14.4">
      <c r="A20" s="1169" t="s">
        <v>58</v>
      </c>
      <c r="B20" s="1170"/>
      <c r="C20" s="1171"/>
    </row>
    <row r="21" spans="1:3" ht="14.4">
      <c r="A21" s="3217" t="s">
        <v>59</v>
      </c>
      <c r="B21" s="3214" t="s">
        <v>60</v>
      </c>
      <c r="C21" s="3215"/>
    </row>
    <row r="22" spans="1:3" ht="14.4">
      <c r="A22" s="3217"/>
      <c r="B22" s="3214" t="s">
        <v>61</v>
      </c>
      <c r="C22" s="3215"/>
    </row>
    <row r="23" spans="1:3" ht="14.4">
      <c r="A23" s="3217"/>
      <c r="B23" s="3214" t="s">
        <v>62</v>
      </c>
      <c r="C23" s="3215"/>
    </row>
    <row r="24" spans="1:3" ht="14.4">
      <c r="A24" s="3217"/>
      <c r="B24" s="3220" t="s">
        <v>63</v>
      </c>
      <c r="C24" s="1172" t="s">
        <v>836</v>
      </c>
    </row>
    <row r="25" spans="1:3" ht="14.4">
      <c r="A25" s="3217"/>
      <c r="B25" s="3221"/>
      <c r="C25" s="1172" t="s">
        <v>837</v>
      </c>
    </row>
    <row r="26" spans="1:3" ht="14.4">
      <c r="A26" s="3217"/>
      <c r="B26" s="3221"/>
      <c r="C26" s="1172" t="s">
        <v>838</v>
      </c>
    </row>
    <row r="27" spans="1:3" ht="14.4">
      <c r="A27" s="3217"/>
      <c r="B27" s="3221"/>
      <c r="C27" s="1172" t="s">
        <v>839</v>
      </c>
    </row>
    <row r="28" spans="1:3" ht="14.4">
      <c r="A28" s="3217"/>
      <c r="B28" s="3221"/>
      <c r="C28" s="1172" t="s">
        <v>840</v>
      </c>
    </row>
    <row r="29" spans="1:3" ht="14.4">
      <c r="A29" s="3217"/>
      <c r="B29" s="3221"/>
      <c r="C29" s="1172" t="s">
        <v>841</v>
      </c>
    </row>
    <row r="30" spans="1:3" ht="14.4">
      <c r="A30" s="3217"/>
      <c r="B30" s="3221"/>
      <c r="C30" s="1172" t="s">
        <v>842</v>
      </c>
    </row>
    <row r="31" spans="1:3" ht="14.4">
      <c r="A31" s="3217"/>
      <c r="B31" s="3221"/>
      <c r="C31" s="1172" t="s">
        <v>843</v>
      </c>
    </row>
    <row r="32" spans="1:3" ht="14.4">
      <c r="A32" s="3217"/>
      <c r="B32" s="3221"/>
      <c r="C32" s="1172" t="s">
        <v>1645</v>
      </c>
    </row>
    <row r="33" spans="1:3" ht="14.4">
      <c r="A33" s="3217"/>
      <c r="B33" s="3211" t="s">
        <v>1651</v>
      </c>
      <c r="C33" s="1172" t="s">
        <v>1646</v>
      </c>
    </row>
    <row r="34" spans="1:3" ht="14.4">
      <c r="A34" s="3217"/>
      <c r="B34" s="3212"/>
      <c r="C34" s="1177" t="s">
        <v>1647</v>
      </c>
    </row>
    <row r="35" spans="1:3" ht="14.4">
      <c r="A35" s="3217"/>
      <c r="B35" s="3212"/>
      <c r="C35" s="1178" t="s">
        <v>1648</v>
      </c>
    </row>
    <row r="36" spans="1:3" ht="14.4">
      <c r="A36" s="3217"/>
      <c r="B36" s="3212"/>
      <c r="C36" s="1178" t="s">
        <v>1649</v>
      </c>
    </row>
    <row r="37" spans="1:3" ht="14.4">
      <c r="A37" s="3217"/>
      <c r="B37" s="3213"/>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B58" sqref="B58"/>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1906</v>
      </c>
      <c r="B2" s="3125">
        <f ca="1">TODAY()</f>
        <v>43906</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44876</v>
      </c>
      <c r="D4" s="3129" t="s">
        <v>1913</v>
      </c>
      <c r="E4" s="3129">
        <f ca="1">IF(F4&lt;B2,"已过期",96010014)</f>
        <v>96010014</v>
      </c>
      <c r="F4" s="3132">
        <v>47118</v>
      </c>
    </row>
    <row r="5" spans="1:6" ht="20.25" customHeight="1">
      <c r="A5" s="3129"/>
      <c r="B5" s="3129"/>
      <c r="C5" s="3131"/>
      <c r="D5" s="3129"/>
      <c r="E5" s="3129"/>
      <c r="F5" s="3132"/>
    </row>
    <row r="6" spans="1:6" ht="20.25" customHeight="1">
      <c r="A6" s="3129" t="s">
        <v>1914</v>
      </c>
      <c r="B6" s="3129">
        <f ca="1">IF(C6&lt;B2,"已过期",1119970111)</f>
        <v>1119970111</v>
      </c>
      <c r="C6" s="3131">
        <v>44876</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44876</v>
      </c>
      <c r="D8" s="3129" t="s">
        <v>1916</v>
      </c>
      <c r="E8" s="3129">
        <f ca="1">IF(F8&lt;B2,"已过期",2000110082)</f>
        <v>2000110082</v>
      </c>
      <c r="F8" s="3132">
        <v>46387</v>
      </c>
    </row>
    <row r="9" spans="1:6" ht="20.25" customHeight="1">
      <c r="A9" s="3129" t="s">
        <v>1917</v>
      </c>
      <c r="B9" s="3129">
        <f ca="1">IF(C9&lt;B2,"已过期",1419970001)</f>
        <v>1419970001</v>
      </c>
      <c r="C9" s="3131">
        <v>44899</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44849</v>
      </c>
      <c r="D13" s="3129" t="s">
        <v>1920</v>
      </c>
      <c r="E13" s="3129">
        <f ca="1">IF(F13&lt;B2,"已过期",2014110011)</f>
        <v>2014110011</v>
      </c>
      <c r="F13" s="3132">
        <v>49302</v>
      </c>
    </row>
    <row r="14" spans="1:6" ht="20.25" customHeight="1">
      <c r="A14" s="3129" t="s">
        <v>2973</v>
      </c>
      <c r="B14" s="3129">
        <f ca="1">IF(C14&lt;B2,"已过期",1120040230)</f>
        <v>1120040230</v>
      </c>
      <c r="C14" s="3133">
        <v>44864</v>
      </c>
      <c r="D14" s="3134" t="s">
        <v>2974</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2987</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1921</v>
      </c>
      <c r="E21" s="3129">
        <f ca="1">IF(F21&lt;B2,"已过期",2011110090)</f>
        <v>2011110090</v>
      </c>
      <c r="F21" s="3132">
        <v>48302</v>
      </c>
    </row>
    <row r="22" spans="1:7" ht="20.25" customHeight="1">
      <c r="A22" s="3129" t="s">
        <v>1922</v>
      </c>
      <c r="B22" s="3129">
        <f ca="1">IF(C22&lt;B2,"已过期",1120020033)</f>
        <v>1120020033</v>
      </c>
      <c r="C22" s="3131">
        <v>44339</v>
      </c>
      <c r="D22" s="3129" t="s">
        <v>1922</v>
      </c>
      <c r="E22" s="3129">
        <f ca="1">IF(F22&lt;B2,"已过期",2000110137)</f>
        <v>2000110137</v>
      </c>
      <c r="F22" s="3132">
        <v>46387</v>
      </c>
    </row>
    <row r="23" spans="1:7" ht="20.25" customHeight="1">
      <c r="A23" s="3129" t="s">
        <v>2989</v>
      </c>
      <c r="B23" s="3129">
        <v>1119980106</v>
      </c>
      <c r="C23" s="3131">
        <v>43916</v>
      </c>
      <c r="D23" s="3129" t="s">
        <v>2991</v>
      </c>
      <c r="E23" s="3129">
        <v>96010063</v>
      </c>
      <c r="F23" s="3132">
        <v>47118</v>
      </c>
    </row>
    <row r="24" spans="1:7" s="3137" customFormat="1" ht="20.25" customHeight="1">
      <c r="A24" s="3128" t="s">
        <v>2050</v>
      </c>
      <c r="B24" s="3128" t="s">
        <v>2050</v>
      </c>
      <c r="C24" s="3131"/>
      <c r="D24" s="3136" t="s">
        <v>2050</v>
      </c>
      <c r="E24" s="3128" t="s">
        <v>2050</v>
      </c>
      <c r="F24" s="3135"/>
    </row>
    <row r="25" spans="1:7" ht="20.25" customHeight="1">
      <c r="A25" s="3222" t="s">
        <v>1923</v>
      </c>
      <c r="B25" s="3222"/>
      <c r="C25" s="3222"/>
      <c r="D25" s="3222"/>
      <c r="E25" s="3222"/>
      <c r="F25" s="3222"/>
      <c r="G25" s="3222"/>
    </row>
    <row r="26" spans="1:7" ht="20.25" customHeight="1">
      <c r="A26" s="3223" t="s">
        <v>1924</v>
      </c>
      <c r="B26" s="3223"/>
      <c r="C26" s="3223"/>
      <c r="D26" s="3223" t="s">
        <v>1925</v>
      </c>
      <c r="E26" s="3223"/>
      <c r="F26" s="3223"/>
    </row>
    <row r="27" spans="1:7" s="3124" customFormat="1" ht="20.25" customHeight="1">
      <c r="A27" s="3138" t="s">
        <v>1926</v>
      </c>
      <c r="B27" s="3139" t="s">
        <v>1927</v>
      </c>
      <c r="C27" s="3139" t="s">
        <v>1928</v>
      </c>
      <c r="D27" s="3129" t="s">
        <v>1926</v>
      </c>
      <c r="E27" s="3139" t="s">
        <v>1927</v>
      </c>
      <c r="F27" s="3139" t="s">
        <v>1928</v>
      </c>
    </row>
    <row r="28" spans="1:7" s="3124" customFormat="1" ht="20.25" customHeight="1">
      <c r="A28" s="3140" t="s">
        <v>1929</v>
      </c>
      <c r="B28" s="3140" t="s">
        <v>1930</v>
      </c>
      <c r="C28" s="3132">
        <v>44820</v>
      </c>
      <c r="D28" s="3140" t="s">
        <v>1931</v>
      </c>
      <c r="E28" s="3140" t="s">
        <v>1932</v>
      </c>
      <c r="F28" s="3141">
        <v>44377</v>
      </c>
    </row>
    <row r="29" spans="1:7" s="3124" customFormat="1" ht="20.25" customHeight="1">
      <c r="A29" s="3140"/>
      <c r="B29" s="3140"/>
      <c r="C29" s="3142"/>
      <c r="D29" s="3140" t="s">
        <v>1933</v>
      </c>
      <c r="E29" s="3140" t="s">
        <v>2988</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N1" sqref="AN1:AN104857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2" t="s">
        <v>2947</v>
      </c>
      <c r="C18" s="1541"/>
    </row>
    <row r="19" spans="1:3" ht="14.4">
      <c r="A19" s="8" t="s">
        <v>120</v>
      </c>
      <c r="B19" s="3062" t="s">
        <v>2955</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49" t="s">
        <v>1939</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山路以东，赤水河街以南，嘉陵江路以北等6宗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24"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15日，在规划利用条件下、设定土地开发程度为红线外“七通”、宗地内场地，设定用途为，剩余土地使用年限为的出让国有建设用地使用权价格。</v>
      </c>
      <c r="D53" s="1751"/>
      <c r="E53" s="1751"/>
    </row>
    <row r="54" spans="1:5">
      <c r="A54" s="3224"/>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4"/>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4"/>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4"/>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典型户型修正</vt:lpstr>
      <vt:lpstr>Sheet3</vt:lpstr>
      <vt:lpstr>Sheet4</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2020-03-16T02:13:25Z</dcterms:modified>
</cp:coreProperties>
</file>