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2共有产权\2023-1-0047 北京市大兴区瀛海镇区级统筹集建地YZ00-0803-2006、2019、2029、2031、2057块共有产权销售均价评估\F02\"/>
    </mc:Choice>
  </mc:AlternateContent>
  <xr:revisionPtr revIDLastSave="0" documentId="13_ncr:20001_{B9FB0F1A-1BF2-4505-8F49-03A51CACE2CF}" xr6:coauthVersionLast="45" xr6:coauthVersionMax="45" xr10:uidLastSave="{00000000-0000-0000-0000-000000000000}"/>
  <bookViews>
    <workbookView xWindow="3540" yWindow="285" windowWidth="16215" windowHeight="10485"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fileRecoveryPr repairLoad="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11" i="39" l="1"/>
  <c r="C38" i="39"/>
  <c r="C14" i="74" l="1"/>
  <c r="B14" i="74"/>
  <c r="E8" i="80" l="1"/>
  <c r="R4" i="86" l="1"/>
  <c r="R5" i="86"/>
  <c r="R3" i="86"/>
  <c r="Q6" i="85"/>
  <c r="Q7" i="85"/>
  <c r="Q5" i="85"/>
  <c r="I3" i="39" l="1"/>
  <c r="F21" i="39"/>
  <c r="AA21" i="39"/>
  <c r="H21" i="39"/>
  <c r="AB21" i="39"/>
  <c r="J21" i="39"/>
  <c r="AC21" i="39"/>
  <c r="F36" i="69"/>
  <c r="F41" i="21"/>
  <c r="AA41" i="21"/>
  <c r="H41" i="21"/>
  <c r="AB41" i="21"/>
  <c r="J41" i="21"/>
  <c r="AC41" i="21"/>
  <c r="F20" i="69"/>
  <c r="F21" i="69"/>
  <c r="C21" i="69"/>
  <c r="C30" i="69"/>
  <c r="F35" i="69"/>
  <c r="C40" i="69"/>
  <c r="C48" i="69"/>
  <c r="I38" i="39"/>
  <c r="I11" i="21"/>
  <c r="G11" i="21"/>
  <c r="E11" i="21"/>
  <c r="C11" i="21"/>
  <c r="H11" i="21" s="1"/>
  <c r="I7" i="39"/>
  <c r="I7" i="21"/>
  <c r="G7" i="39"/>
  <c r="G7" i="21"/>
  <c r="E7" i="39"/>
  <c r="E7" i="21"/>
  <c r="C5" i="21"/>
  <c r="M6" i="39"/>
  <c r="L2" i="39"/>
  <c r="F7" i="39"/>
  <c r="AA7" i="39"/>
  <c r="E46" i="39"/>
  <c r="R46" i="39"/>
  <c r="F8" i="39"/>
  <c r="AA8" i="39"/>
  <c r="F9" i="39"/>
  <c r="AA9" i="39"/>
  <c r="M2" i="39"/>
  <c r="H7" i="39"/>
  <c r="AB7" i="39"/>
  <c r="G46" i="39"/>
  <c r="T46" i="39"/>
  <c r="H8" i="39"/>
  <c r="AB8" i="39"/>
  <c r="H9" i="39"/>
  <c r="AB9" i="39"/>
  <c r="M25" i="39"/>
  <c r="M24" i="39"/>
  <c r="N2" i="39"/>
  <c r="J7" i="39"/>
  <c r="AC7" i="39"/>
  <c r="I46" i="39"/>
  <c r="V46" i="39"/>
  <c r="J8" i="39"/>
  <c r="AC8" i="39"/>
  <c r="J9" i="39"/>
  <c r="AC9" i="39"/>
  <c r="L3" i="39"/>
  <c r="N3" i="39"/>
  <c r="M3" i="39"/>
  <c r="M28" i="39"/>
  <c r="M26" i="39"/>
  <c r="M27" i="39"/>
  <c r="M12" i="39"/>
  <c r="M13" i="39"/>
  <c r="M14" i="39"/>
  <c r="M17" i="39"/>
  <c r="M18" i="39"/>
  <c r="M19" i="39"/>
  <c r="M20" i="39"/>
  <c r="B126" i="39"/>
  <c r="F43" i="39"/>
  <c r="G38" i="39"/>
  <c r="E38" i="39"/>
  <c r="D8" i="80"/>
  <c r="B2" i="74" s="1"/>
  <c r="I5" i="39"/>
  <c r="G5" i="39"/>
  <c r="E5" i="39"/>
  <c r="H13" i="81"/>
  <c r="H12" i="81"/>
  <c r="H11" i="81"/>
  <c r="H10" i="81"/>
  <c r="H9" i="81"/>
  <c r="H8" i="81"/>
  <c r="H7" i="81"/>
  <c r="H6" i="81"/>
  <c r="H5" i="81"/>
  <c r="H4" i="81"/>
  <c r="H3" i="81"/>
  <c r="H2"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37" i="69"/>
  <c r="F38" i="69"/>
  <c r="D3" i="4"/>
  <c r="C1" i="73"/>
  <c r="J1" i="73"/>
  <c r="G13" i="73"/>
  <c r="B22" i="1"/>
  <c r="E1" i="73"/>
  <c r="F13" i="73"/>
  <c r="C19" i="69"/>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1" i="74"/>
  <c r="K5" i="80"/>
  <c r="K3" i="80"/>
  <c r="K4" i="80"/>
  <c r="K6" i="80"/>
  <c r="K7" i="80"/>
  <c r="K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s="1"/>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s="1"/>
  <c r="S40" i="21"/>
  <c r="U34" i="21"/>
  <c r="S34" i="21"/>
  <c r="C25" i="39"/>
  <c r="C27" i="39"/>
  <c r="C21" i="39"/>
  <c r="H11" i="39"/>
  <c r="U11" i="39" s="1"/>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s="1"/>
  <c r="F11" i="39"/>
  <c r="AA11" i="39" s="1"/>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W21" i="39"/>
  <c r="G94"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E85" i="21"/>
  <c r="F23" i="21"/>
  <c r="S23" i="2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3" i="12"/>
  <c r="AZ13" i="3"/>
  <c r="AZ5" i="3"/>
  <c r="E3" i="6"/>
  <c r="D14" i="12"/>
  <c r="D17" i="12" s="1"/>
  <c r="C17" i="12" s="1"/>
  <c r="F11" i="12"/>
  <c r="C23" i="12" s="1"/>
  <c r="D19" i="12"/>
  <c r="C19" i="12" s="1"/>
  <c r="E6" i="6"/>
  <c r="D20" i="12"/>
  <c r="C20" i="12" s="1"/>
  <c r="C4" i="12"/>
  <c r="Q16" i="1"/>
  <c r="F28" i="12"/>
  <c r="C29" i="12" s="1"/>
  <c r="D28" i="12" s="1"/>
  <c r="C31" i="12"/>
  <c r="C8" i="69"/>
  <c r="M6" i="1"/>
  <c r="K14" i="1"/>
  <c r="M14" i="1"/>
  <c r="M16" i="1"/>
  <c r="N16" i="1"/>
  <c r="F50" i="69"/>
  <c r="B2" i="21"/>
  <c r="D3" i="21"/>
  <c r="AA7" i="21"/>
  <c r="AB37" i="21"/>
  <c r="AB7" i="21"/>
  <c r="AB8" i="21"/>
  <c r="AC37" i="21"/>
  <c r="AC7" i="21"/>
  <c r="AC32"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8"/>
  <c r="C9" i="68" s="1"/>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C29" i="11"/>
  <c r="D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F27" i="68"/>
  <c r="F45" i="68" s="1"/>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s="1"/>
  <c r="H23" i="6"/>
  <c r="H20" i="6"/>
  <c r="R20" i="6"/>
  <c r="R7" i="1"/>
  <c r="E12" i="70"/>
  <c r="F34"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D8" i="71"/>
  <c r="C7" i="71"/>
  <c r="T16" i="1"/>
  <c r="C36" i="11"/>
  <c r="C37" i="11"/>
  <c r="C34" i="11"/>
  <c r="S19" i="6"/>
  <c r="S27" i="6"/>
  <c r="I27" i="6"/>
  <c r="I5" i="6"/>
  <c r="I6" i="6"/>
  <c r="I69" i="39"/>
  <c r="J67" i="39"/>
  <c r="D9" i="71"/>
  <c r="I63" i="40"/>
  <c r="H65" i="40"/>
  <c r="I58" i="21"/>
  <c r="J58" i="21"/>
  <c r="K58" i="21"/>
  <c r="L58" i="21"/>
  <c r="M58" i="21"/>
  <c r="N58" i="21"/>
  <c r="O58" i="21"/>
  <c r="J48" i="35"/>
  <c r="D7" i="71"/>
  <c r="C6" i="71"/>
  <c r="C38" i="11"/>
  <c r="C35" i="11"/>
  <c r="H27" i="6"/>
  <c r="R19" i="6"/>
  <c r="J69" i="39"/>
  <c r="K67" i="39"/>
  <c r="U7" i="21"/>
  <c r="S7" i="21"/>
  <c r="J63" i="40"/>
  <c r="I65" i="40"/>
  <c r="K48" i="35"/>
  <c r="L48" i="35"/>
  <c r="M48" i="35"/>
  <c r="N48" i="35"/>
  <c r="O48" i="35"/>
  <c r="H7" i="35"/>
  <c r="J7" i="35"/>
  <c r="W7" i="21"/>
  <c r="D6" i="71"/>
  <c r="C5" i="71"/>
  <c r="R27" i="6"/>
  <c r="R6" i="1"/>
  <c r="L67" i="39"/>
  <c r="K69" i="39"/>
  <c r="W7" i="35"/>
  <c r="AC7" i="35"/>
  <c r="V38" i="35"/>
  <c r="I38" i="35"/>
  <c r="J65" i="40"/>
  <c r="K63" i="40"/>
  <c r="U7" i="35"/>
  <c r="AB7" i="35"/>
  <c r="T38" i="35"/>
  <c r="G38" i="35"/>
  <c r="F7" i="35"/>
  <c r="D5" i="71"/>
  <c r="M24" i="43"/>
  <c r="L69" i="39"/>
  <c r="M67" i="39"/>
  <c r="S7" i="35"/>
  <c r="AA7" i="35"/>
  <c r="R38" i="35"/>
  <c r="G42" i="35"/>
  <c r="H42" i="35"/>
  <c r="G43" i="35"/>
  <c r="H43" i="35"/>
  <c r="K65" i="40"/>
  <c r="L63" i="40"/>
  <c r="I42" i="35"/>
  <c r="J42" i="35"/>
  <c r="M69" i="39"/>
  <c r="N67" i="39"/>
  <c r="R39" i="35"/>
  <c r="E38" i="35"/>
  <c r="M63" i="40"/>
  <c r="L65" i="40"/>
  <c r="O67" i="39"/>
  <c r="O69" i="39"/>
  <c r="N69" i="39"/>
  <c r="C39" i="35"/>
  <c r="C38" i="35"/>
  <c r="N63" i="40"/>
  <c r="M65" i="40"/>
  <c r="E43" i="35"/>
  <c r="F43" i="35"/>
  <c r="E42" i="35"/>
  <c r="F42" i="35"/>
  <c r="I43" i="35"/>
  <c r="J43" i="35"/>
  <c r="B2" i="33"/>
  <c r="B3" i="33"/>
  <c r="S7" i="39"/>
  <c r="O63" i="40"/>
  <c r="O65" i="40"/>
  <c r="N65" i="40"/>
  <c r="B2" i="36"/>
  <c r="B3" i="36"/>
  <c r="B2" i="35"/>
  <c r="B3" i="35"/>
  <c r="B2" i="37"/>
  <c r="B3" i="37"/>
  <c r="B2" i="34"/>
  <c r="B3" i="34"/>
  <c r="W7" i="39"/>
  <c r="U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S6" i="79"/>
  <c r="T6" i="79"/>
  <c r="U6" i="79"/>
  <c r="V6" i="79"/>
  <c r="W6" i="79"/>
  <c r="S7" i="79"/>
  <c r="T7" i="79"/>
  <c r="U7" i="79"/>
  <c r="V7" i="79"/>
  <c r="W7" i="79"/>
  <c r="S8" i="79"/>
  <c r="T8" i="79"/>
  <c r="U8" i="79"/>
  <c r="V8" i="79"/>
  <c r="W8" i="79"/>
  <c r="C23" i="43"/>
  <c r="C33" i="43" s="1"/>
  <c r="R8" i="79"/>
  <c r="R7" i="79"/>
  <c r="R6" i="79"/>
  <c r="U28" i="79"/>
  <c r="S28" i="79"/>
  <c r="U27" i="79"/>
  <c r="S27" i="79"/>
  <c r="U26" i="79"/>
  <c r="S26" i="79"/>
  <c r="T28" i="79"/>
  <c r="W28" i="79" s="1"/>
  <c r="T27" i="79"/>
  <c r="W27" i="79" s="1"/>
  <c r="T26" i="79"/>
  <c r="W26" i="79" s="1"/>
  <c r="G16" i="1"/>
  <c r="F10" i="39"/>
  <c r="AA10" i="39"/>
  <c r="H10" i="39"/>
  <c r="AB10" i="39"/>
  <c r="J10" i="39"/>
  <c r="AC10" i="39"/>
  <c r="J10" i="40"/>
  <c r="W10" i="40"/>
  <c r="H10" i="40"/>
  <c r="U10" i="40"/>
  <c r="F10" i="40"/>
  <c r="AA10" i="40"/>
  <c r="S10" i="39"/>
  <c r="AB10" i="40"/>
  <c r="W10" i="39"/>
  <c r="S10" i="40"/>
  <c r="U10" i="39"/>
  <c r="AC10" i="40"/>
  <c r="F37" i="67"/>
  <c r="L47" i="15"/>
  <c r="F7" i="67"/>
  <c r="M24" i="67"/>
  <c r="D7" i="73"/>
  <c r="M8" i="67"/>
  <c r="F16" i="15"/>
  <c r="B13" i="76"/>
  <c r="F5" i="73"/>
  <c r="M8" i="15"/>
  <c r="F38" i="67"/>
  <c r="D2" i="33"/>
  <c r="AO12" i="1"/>
  <c r="B10" i="76"/>
  <c r="F40" i="15"/>
  <c r="L48" i="15"/>
  <c r="M22" i="15"/>
  <c r="M6" i="67"/>
  <c r="C14" i="15"/>
  <c r="AO10" i="1"/>
  <c r="D35" i="9"/>
  <c r="D3" i="73"/>
  <c r="AO13" i="1"/>
  <c r="M9" i="67"/>
  <c r="B11" i="76"/>
  <c r="M21" i="67"/>
  <c r="D2" i="34"/>
  <c r="D9" i="69"/>
  <c r="F37" i="15"/>
  <c r="M23" i="15"/>
  <c r="F7" i="73"/>
  <c r="F20" i="31"/>
  <c r="F36" i="67"/>
  <c r="F38" i="15"/>
  <c r="L47" i="67"/>
  <c r="F26" i="15"/>
  <c r="F13" i="15"/>
  <c r="F35" i="67"/>
  <c r="F35" i="15"/>
  <c r="C34" i="69"/>
  <c r="E13" i="76"/>
  <c r="B9" i="76"/>
  <c r="AO11" i="1"/>
  <c r="E8" i="76"/>
  <c r="D10" i="69"/>
  <c r="F13" i="67"/>
  <c r="D2" i="36"/>
  <c r="D6" i="73"/>
  <c r="F43" i="15"/>
  <c r="C76" i="15"/>
  <c r="M28" i="15"/>
  <c r="M26" i="15"/>
  <c r="M24" i="15"/>
  <c r="E11" i="76"/>
  <c r="M9" i="15"/>
  <c r="M26" i="67"/>
  <c r="E2" i="68"/>
  <c r="D34" i="9"/>
  <c r="F41" i="15"/>
  <c r="AO6" i="1"/>
  <c r="AO9" i="1"/>
  <c r="F27" i="69"/>
  <c r="M6" i="15"/>
  <c r="F6" i="15"/>
  <c r="E10" i="76"/>
  <c r="F40" i="67"/>
  <c r="F3" i="73"/>
  <c r="AO8" i="1"/>
  <c r="D5" i="73"/>
  <c r="F8" i="15"/>
  <c r="L48" i="67"/>
  <c r="M29" i="15"/>
  <c r="F42" i="15"/>
  <c r="F4" i="73"/>
  <c r="M21" i="15"/>
  <c r="C36" i="69"/>
  <c r="E7" i="76"/>
  <c r="E9" i="76"/>
  <c r="B7" i="76"/>
  <c r="F16" i="67"/>
  <c r="F43" i="67"/>
  <c r="J15" i="67"/>
  <c r="M29" i="67"/>
  <c r="M27" i="15"/>
  <c r="F9" i="67"/>
  <c r="D4" i="73"/>
  <c r="M22" i="67"/>
  <c r="AO7" i="1"/>
  <c r="F7" i="15"/>
  <c r="D19" i="9"/>
  <c r="F26" i="67"/>
  <c r="E12" i="76"/>
  <c r="F42" i="67"/>
  <c r="E2" i="69"/>
  <c r="D2" i="21"/>
  <c r="B8" i="76"/>
  <c r="F6" i="73"/>
  <c r="F6" i="67"/>
  <c r="C76" i="67"/>
  <c r="D2" i="37"/>
  <c r="B12" i="76"/>
  <c r="F41" i="67"/>
  <c r="M28" i="67"/>
  <c r="F36" i="15"/>
  <c r="M27" i="67"/>
  <c r="J15" i="15"/>
  <c r="F8" i="67"/>
  <c r="F9" i="15"/>
  <c r="M23" i="67"/>
  <c r="D2" i="35"/>
  <c r="AB11" i="39" l="1"/>
  <c r="AC11" i="39"/>
  <c r="C34" i="43"/>
  <c r="E34" i="43" s="1"/>
  <c r="E33" i="43"/>
  <c r="C42" i="43"/>
  <c r="C40" i="43"/>
  <c r="C38" i="4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1" i="43"/>
  <c r="C39" i="43"/>
  <c r="C37" i="43"/>
  <c r="S11" i="39"/>
  <c r="F38" i="39"/>
  <c r="S38" i="39" s="1"/>
  <c r="D8" i="74"/>
  <c r="D7" i="74"/>
  <c r="D6" i="74"/>
  <c r="D19" i="68"/>
  <c r="D37" i="68" s="1"/>
  <c r="C37" i="68" s="1"/>
  <c r="AB11" i="21"/>
  <c r="U11" i="21"/>
  <c r="T48" i="21"/>
  <c r="G48" i="21" s="1"/>
  <c r="G50" i="21" s="1"/>
  <c r="AA11" i="21"/>
  <c r="R48" i="21" s="1"/>
  <c r="J11" i="21"/>
  <c r="C33" i="11"/>
  <c r="C39" i="11" s="1"/>
  <c r="C46" i="11" s="1"/>
  <c r="C45" i="11" s="1"/>
  <c r="G52" i="21"/>
  <c r="H52" i="21" s="1"/>
  <c r="C36" i="68"/>
  <c r="F7" i="49"/>
  <c r="H7" i="49" s="1"/>
  <c r="C34" i="68"/>
  <c r="C14" i="12"/>
  <c r="F13" i="49"/>
  <c r="H13" i="49" s="1"/>
  <c r="B6" i="49"/>
  <c r="D6" i="49" s="1"/>
  <c r="F11" i="49"/>
  <c r="H11" i="49" s="1"/>
  <c r="B14" i="49"/>
  <c r="D14" i="49" s="1"/>
  <c r="B9" i="49"/>
  <c r="D9" i="49" s="1"/>
  <c r="C29" i="68"/>
  <c r="D27" i="68" s="1"/>
  <c r="C47" i="68"/>
  <c r="D45" i="68" s="1"/>
  <c r="C18" i="12"/>
  <c r="F14" i="49"/>
  <c r="H14" i="49" s="1"/>
  <c r="F12" i="49"/>
  <c r="H12" i="49" s="1"/>
  <c r="F9" i="49"/>
  <c r="H9" i="49" s="1"/>
  <c r="F5" i="49"/>
  <c r="H5" i="49" s="1"/>
  <c r="B10" i="49"/>
  <c r="D10" i="49" s="1"/>
  <c r="B13" i="49"/>
  <c r="D13" i="49" s="1"/>
  <c r="B5" i="49"/>
  <c r="D5" i="49" s="1"/>
  <c r="F10" i="49"/>
  <c r="H10" i="49" s="1"/>
  <c r="F8" i="49"/>
  <c r="H8" i="49" s="1"/>
  <c r="F6" i="49"/>
  <c r="H6" i="49" s="1"/>
  <c r="F4" i="49"/>
  <c r="H4" i="49" s="1"/>
  <c r="B12" i="49"/>
  <c r="D12" i="49" s="1"/>
  <c r="B8" i="49"/>
  <c r="D8" i="49" s="1"/>
  <c r="B4" i="49"/>
  <c r="D4" i="49" s="1"/>
  <c r="B11" i="49"/>
  <c r="D11" i="49" s="1"/>
  <c r="B7" i="49"/>
  <c r="D7" i="49" s="1"/>
  <c r="B10" i="70"/>
  <c r="B9" i="70"/>
  <c r="J20" i="15"/>
  <c r="B12" i="70"/>
  <c r="F63" i="15"/>
  <c r="C62" i="15" s="1"/>
  <c r="C34" i="15"/>
  <c r="B8" i="70"/>
  <c r="B6" i="70"/>
  <c r="B11" i="70"/>
  <c r="B7" i="70"/>
  <c r="M3" i="35"/>
  <c r="J20" i="67"/>
  <c r="F63" i="67"/>
  <c r="C62" i="67" s="1"/>
  <c r="C34" i="67"/>
  <c r="C15" i="15"/>
  <c r="C18" i="15"/>
  <c r="F69" i="15"/>
  <c r="F69" i="67"/>
  <c r="I1" i="73"/>
  <c r="B39" i="1" s="1"/>
  <c r="F66" i="67"/>
  <c r="Q71" i="67"/>
  <c r="C27" i="15"/>
  <c r="L59" i="67"/>
  <c r="M59" i="67"/>
  <c r="L58" i="67"/>
  <c r="N59" i="67"/>
  <c r="C6" i="67"/>
  <c r="F68" i="67"/>
  <c r="F66" i="15"/>
  <c r="F64" i="67"/>
  <c r="J53" i="15"/>
  <c r="L56" i="15" s="1"/>
  <c r="J57" i="15"/>
  <c r="J55" i="15" s="1"/>
  <c r="J58" i="15" s="1"/>
  <c r="Q50" i="15" s="1"/>
  <c r="I54" i="15"/>
  <c r="C27" i="67"/>
  <c r="B13" i="70"/>
  <c r="F71" i="67"/>
  <c r="C6" i="15"/>
  <c r="B20" i="31"/>
  <c r="B21" i="31" s="1"/>
  <c r="F64" i="15"/>
  <c r="J57" i="67"/>
  <c r="J55" i="67" s="1"/>
  <c r="J58" i="67" s="1"/>
  <c r="Q50" i="67" s="1"/>
  <c r="L56" i="67"/>
  <c r="J53" i="67"/>
  <c r="I54" i="67"/>
  <c r="F68" i="15"/>
  <c r="F51" i="15"/>
  <c r="M7" i="67"/>
  <c r="J6" i="67" s="1"/>
  <c r="F50" i="67"/>
  <c r="D102" i="9"/>
  <c r="D21" i="9"/>
  <c r="Q71" i="15"/>
  <c r="N59" i="15"/>
  <c r="M59" i="15"/>
  <c r="L58" i="15"/>
  <c r="L59" i="15"/>
  <c r="F65" i="15"/>
  <c r="F71" i="15"/>
  <c r="F51" i="67"/>
  <c r="C49" i="67" s="1"/>
  <c r="M7" i="15"/>
  <c r="J6" i="15" s="1"/>
  <c r="F50" i="15"/>
  <c r="F65" i="67"/>
  <c r="C29" i="69"/>
  <c r="D27" i="69" s="1"/>
  <c r="C47" i="69"/>
  <c r="D45" i="69" s="1"/>
  <c r="F45" i="69"/>
  <c r="D19" i="69"/>
  <c r="D37" i="69" s="1"/>
  <c r="C37" i="69" s="1"/>
  <c r="C9" i="69"/>
  <c r="K1" i="73"/>
  <c r="C10" i="69"/>
  <c r="C35" i="69"/>
  <c r="C38" i="69"/>
  <c r="R16" i="1"/>
  <c r="C12" i="12"/>
  <c r="C15" i="12"/>
  <c r="C17" i="15"/>
  <c r="C14" i="67"/>
  <c r="C16" i="67"/>
  <c r="C17" i="67"/>
  <c r="C16" i="15"/>
  <c r="G1" i="73"/>
  <c r="G39" i="43" l="1"/>
  <c r="I39" i="43" s="1"/>
  <c r="E39" i="43"/>
  <c r="G40" i="43"/>
  <c r="I40" i="43" s="1"/>
  <c r="E40" i="43"/>
  <c r="G37" i="43"/>
  <c r="I37" i="43" s="1"/>
  <c r="E37" i="43"/>
  <c r="C30" i="43" s="1"/>
  <c r="G41" i="43"/>
  <c r="I41" i="43" s="1"/>
  <c r="E41" i="43"/>
  <c r="G38" i="43"/>
  <c r="I38" i="43" s="1"/>
  <c r="E38" i="43"/>
  <c r="G42" i="43"/>
  <c r="I42" i="43" s="1"/>
  <c r="E42" i="43"/>
  <c r="C31" i="43"/>
  <c r="H38" i="39"/>
  <c r="U38" i="39" s="1"/>
  <c r="AA38" i="39"/>
  <c r="R47" i="39" s="1"/>
  <c r="C19" i="68"/>
  <c r="C20" i="68" s="1"/>
  <c r="J38" i="39"/>
  <c r="W38" i="39" s="1"/>
  <c r="E48" i="21"/>
  <c r="AB38" i="39"/>
  <c r="T47" i="39" s="1"/>
  <c r="G47" i="39" s="1"/>
  <c r="W11" i="21"/>
  <c r="AC11" i="21"/>
  <c r="V48" i="21" s="1"/>
  <c r="I48" i="21" s="1"/>
  <c r="I53" i="21" s="1"/>
  <c r="J53" i="21" s="1"/>
  <c r="AC38" i="39"/>
  <c r="V47" i="39" s="1"/>
  <c r="I47" i="39" s="1"/>
  <c r="E47" i="39"/>
  <c r="E50" i="21"/>
  <c r="E52" i="21"/>
  <c r="F52" i="21" s="1"/>
  <c r="E53" i="21"/>
  <c r="F53" i="21" s="1"/>
  <c r="C35" i="68"/>
  <c r="C38" i="68"/>
  <c r="E48" i="69"/>
  <c r="C16" i="12"/>
  <c r="C21" i="12" s="1"/>
  <c r="C22" i="12" s="1"/>
  <c r="C33" i="69"/>
  <c r="C39" i="69" s="1"/>
  <c r="C46" i="69" s="1"/>
  <c r="C45" i="69" s="1"/>
  <c r="C15" i="67"/>
  <c r="C18" i="67"/>
  <c r="B40" i="1"/>
  <c r="J19" i="67"/>
  <c r="J18" i="67"/>
  <c r="C19" i="15"/>
  <c r="C61" i="67"/>
  <c r="Q61" i="15"/>
  <c r="Q74" i="15"/>
  <c r="J18" i="15"/>
  <c r="J19" i="15"/>
  <c r="C49" i="15"/>
  <c r="Q52" i="67"/>
  <c r="F1" i="67"/>
  <c r="Q52" i="15"/>
  <c r="F1" i="15"/>
  <c r="M11" i="67"/>
  <c r="J10" i="67" s="1"/>
  <c r="J5" i="67" s="1"/>
  <c r="M11" i="15"/>
  <c r="J10" i="15" s="1"/>
  <c r="J5" i="15" s="1"/>
  <c r="F11" i="67"/>
  <c r="F11" i="15"/>
  <c r="B2" i="70"/>
  <c r="B3" i="70" s="1"/>
  <c r="Q73" i="15"/>
  <c r="Q60" i="15"/>
  <c r="C32" i="15"/>
  <c r="C33" i="15"/>
  <c r="C32" i="67"/>
  <c r="C33" i="67"/>
  <c r="Q60" i="67"/>
  <c r="Q73" i="67"/>
  <c r="Q74" i="67"/>
  <c r="Q61" i="67"/>
  <c r="E6" i="76"/>
  <c r="E2" i="76" l="1"/>
  <c r="B2" i="43"/>
  <c r="R49" i="21"/>
  <c r="R48" i="39"/>
  <c r="C48" i="39" s="1"/>
  <c r="C28" i="68"/>
  <c r="C27" i="68" s="1"/>
  <c r="E49" i="39"/>
  <c r="E51" i="39"/>
  <c r="F51" i="39" s="1"/>
  <c r="E52" i="39"/>
  <c r="F52" i="39" s="1"/>
  <c r="I49" i="39"/>
  <c r="I52" i="39"/>
  <c r="J52" i="39" s="1"/>
  <c r="I51" i="39"/>
  <c r="J51" i="39" s="1"/>
  <c r="I52" i="21"/>
  <c r="J52" i="21" s="1"/>
  <c r="G53" i="21"/>
  <c r="H53" i="21" s="1"/>
  <c r="I50" i="21"/>
  <c r="G49" i="39"/>
  <c r="G52" i="39"/>
  <c r="H52" i="39" s="1"/>
  <c r="G51" i="39"/>
  <c r="H51" i="39" s="1"/>
  <c r="C33" i="68"/>
  <c r="C39" i="68" s="1"/>
  <c r="C46" i="68" s="1"/>
  <c r="C45" i="68" s="1"/>
  <c r="C19" i="67"/>
  <c r="C20" i="67" s="1"/>
  <c r="C26" i="67" s="1"/>
  <c r="J17" i="67"/>
  <c r="C31" i="15"/>
  <c r="J24" i="67"/>
  <c r="J26" i="67"/>
  <c r="J29" i="67" s="1"/>
  <c r="J24" i="15"/>
  <c r="J26" i="15"/>
  <c r="J29" i="15" s="1"/>
  <c r="C53" i="67"/>
  <c r="C48" i="67" s="1"/>
  <c r="C10" i="67"/>
  <c r="C5" i="67" s="1"/>
  <c r="J17" i="15"/>
  <c r="C30" i="12"/>
  <c r="C28" i="12" s="1"/>
  <c r="C20" i="15"/>
  <c r="C26" i="15" s="1"/>
  <c r="F22" i="69"/>
  <c r="C43" i="69" s="1"/>
  <c r="F25" i="12"/>
  <c r="C26" i="12" s="1"/>
  <c r="D25" i="12" s="1"/>
  <c r="L36" i="43"/>
  <c r="F24" i="67"/>
  <c r="C24" i="67" s="1"/>
  <c r="F22" i="11"/>
  <c r="F24" i="15"/>
  <c r="C24" i="15" s="1"/>
  <c r="F22" i="68"/>
  <c r="C31" i="67"/>
  <c r="C10" i="15"/>
  <c r="C5" i="15" s="1"/>
  <c r="C53" i="15"/>
  <c r="C48" i="15" s="1"/>
  <c r="C61" i="15"/>
  <c r="B6" i="76"/>
  <c r="B2" i="76" l="1"/>
  <c r="B3" i="76" s="1"/>
  <c r="B3" i="43"/>
  <c r="C48" i="21"/>
  <c r="C49" i="21"/>
  <c r="B3" i="21" s="1"/>
  <c r="C47" i="39"/>
  <c r="B56" i="39"/>
  <c r="F56" i="39" s="1"/>
  <c r="B57" i="39"/>
  <c r="F57" i="39" s="1"/>
  <c r="B58" i="39"/>
  <c r="F58" i="39" s="1"/>
  <c r="B59" i="39"/>
  <c r="F59" i="39" s="1"/>
  <c r="B60" i="39"/>
  <c r="F60" i="39" s="1"/>
  <c r="B61" i="39"/>
  <c r="F61" i="39" s="1"/>
  <c r="B62" i="39"/>
  <c r="F62" i="39" s="1"/>
  <c r="B63" i="39"/>
  <c r="F63" i="39" s="1"/>
  <c r="B64" i="39"/>
  <c r="F64" i="39" s="1"/>
  <c r="C6" i="69"/>
  <c r="C23" i="67"/>
  <c r="C29" i="67" s="1"/>
  <c r="C66" i="15"/>
  <c r="C60" i="15"/>
  <c r="C59" i="15" s="1"/>
  <c r="C38" i="15"/>
  <c r="F41" i="68"/>
  <c r="C44" i="68"/>
  <c r="D41" i="68" s="1"/>
  <c r="C23" i="68"/>
  <c r="C26" i="68"/>
  <c r="D22" i="68" s="1"/>
  <c r="C42" i="68"/>
  <c r="C25" i="68"/>
  <c r="C24" i="68"/>
  <c r="C43" i="68"/>
  <c r="C44" i="11"/>
  <c r="D41" i="11" s="1"/>
  <c r="C23" i="11"/>
  <c r="C25" i="11"/>
  <c r="C42" i="11"/>
  <c r="C24" i="11"/>
  <c r="C26" i="11"/>
  <c r="D22" i="11" s="1"/>
  <c r="C43" i="11"/>
  <c r="L37" i="43"/>
  <c r="N36" i="43"/>
  <c r="O36" i="43"/>
  <c r="Q36" i="43"/>
  <c r="P36" i="43"/>
  <c r="M36" i="43"/>
  <c r="C26" i="69"/>
  <c r="D22" i="69" s="1"/>
  <c r="C24" i="69"/>
  <c r="C44" i="69"/>
  <c r="D41" i="69" s="1"/>
  <c r="F41" i="69"/>
  <c r="C42" i="69"/>
  <c r="C41" i="69" s="1"/>
  <c r="C38" i="67"/>
  <c r="C23" i="15"/>
  <c r="C29" i="15" s="1"/>
  <c r="C27" i="12"/>
  <c r="C25" i="12" s="1"/>
  <c r="C32" i="12" s="1"/>
  <c r="B2" i="12" s="1"/>
  <c r="B3" i="12" s="1"/>
  <c r="C60" i="67"/>
  <c r="C59" i="67" s="1"/>
  <c r="C66" i="67"/>
  <c r="D20" i="9"/>
  <c r="D103" i="9" l="1"/>
  <c r="E30" i="69"/>
  <c r="C7" i="69"/>
  <c r="C5" i="69" s="1"/>
  <c r="F65" i="39"/>
  <c r="B2" i="39" s="1"/>
  <c r="B3" i="39" s="1"/>
  <c r="C41" i="68"/>
  <c r="C49" i="68" s="1"/>
  <c r="C51" i="68" s="1"/>
  <c r="J14" i="67"/>
  <c r="J13" i="67" s="1"/>
  <c r="J23" i="67" s="1"/>
  <c r="C57" i="67"/>
  <c r="C64" i="67" s="1"/>
  <c r="J59" i="67"/>
  <c r="J60" i="67" s="1"/>
  <c r="L46" i="67" s="1"/>
  <c r="Q49" i="67"/>
  <c r="C36" i="67"/>
  <c r="C13" i="67"/>
  <c r="C56" i="67" s="1"/>
  <c r="C65" i="67" s="1"/>
  <c r="C49" i="69"/>
  <c r="C51" i="69" s="1"/>
  <c r="C22" i="68"/>
  <c r="C31" i="68" s="1"/>
  <c r="C57" i="15"/>
  <c r="C64" i="15" s="1"/>
  <c r="C13" i="15"/>
  <c r="C36" i="15"/>
  <c r="Q49" i="15"/>
  <c r="J14" i="15"/>
  <c r="J59" i="15"/>
  <c r="J60" i="15" s="1"/>
  <c r="M37" i="43"/>
  <c r="O37" i="43"/>
  <c r="Q37" i="43"/>
  <c r="P37" i="43"/>
  <c r="N37" i="43"/>
  <c r="C41" i="11"/>
  <c r="C49" i="11" s="1"/>
  <c r="C51" i="11" s="1"/>
  <c r="C22" i="11"/>
  <c r="C31" i="11" s="1"/>
  <c r="C20" i="69" l="1"/>
  <c r="C25" i="69" s="1"/>
  <c r="C23" i="69"/>
  <c r="C58" i="67"/>
  <c r="C67" i="67" s="1"/>
  <c r="C68" i="67" s="1"/>
  <c r="C71" i="67" s="1"/>
  <c r="C52" i="68"/>
  <c r="B2" i="68" s="1"/>
  <c r="B3" i="68" s="1"/>
  <c r="C37" i="67"/>
  <c r="C30" i="67" s="1"/>
  <c r="C39" i="67" s="1"/>
  <c r="C75" i="67"/>
  <c r="Q70" i="67"/>
  <c r="Q48" i="67"/>
  <c r="J22" i="67"/>
  <c r="J16" i="67" s="1"/>
  <c r="J25" i="67" s="1"/>
  <c r="C52" i="11"/>
  <c r="B2" i="11" s="1"/>
  <c r="B3" i="11" s="1"/>
  <c r="J13" i="15"/>
  <c r="J23" i="15" s="1"/>
  <c r="J22" i="15"/>
  <c r="Q48" i="15"/>
  <c r="L46" i="15"/>
  <c r="C56" i="15"/>
  <c r="C65" i="15" s="1"/>
  <c r="C58" i="15" s="1"/>
  <c r="C67" i="15" s="1"/>
  <c r="C68" i="15" s="1"/>
  <c r="C75" i="15"/>
  <c r="Q70" i="15"/>
  <c r="C37" i="15"/>
  <c r="C30" i="15" s="1"/>
  <c r="C39" i="15" s="1"/>
  <c r="L51" i="67"/>
  <c r="C22" i="69" l="1"/>
  <c r="C28" i="69"/>
  <c r="C27" i="69" s="1"/>
  <c r="C57" i="68"/>
  <c r="C56" i="68" s="1"/>
  <c r="C80" i="67"/>
  <c r="C79" i="67" s="1"/>
  <c r="Q69" i="67"/>
  <c r="Q68" i="67" s="1"/>
  <c r="C56" i="11"/>
  <c r="C57" i="11" s="1"/>
  <c r="C40" i="67"/>
  <c r="C43" i="67" s="1"/>
  <c r="J16" i="15"/>
  <c r="J25" i="15" s="1"/>
  <c r="Q67" i="67"/>
  <c r="L57" i="67"/>
  <c r="L60" i="67" s="1"/>
  <c r="C40" i="15"/>
  <c r="C46" i="15" s="1"/>
  <c r="Q69" i="15"/>
  <c r="Q68" i="15" s="1"/>
  <c r="C80" i="15"/>
  <c r="C79" i="15" s="1"/>
  <c r="C71" i="15"/>
  <c r="L51" i="15"/>
  <c r="C31" i="69" l="1"/>
  <c r="C52" i="69" s="1"/>
  <c r="B2" i="69" s="1"/>
  <c r="Q47" i="67"/>
  <c r="Q53" i="67" s="1"/>
  <c r="D2" i="67"/>
  <c r="B2" i="67" s="1"/>
  <c r="C45" i="67"/>
  <c r="C46" i="67" s="1"/>
  <c r="Q65" i="67"/>
  <c r="C83" i="67"/>
  <c r="C82" i="67" s="1"/>
  <c r="Q56" i="67"/>
  <c r="Q67" i="15"/>
  <c r="L57" i="15"/>
  <c r="L60" i="15" s="1"/>
  <c r="Q47" i="15"/>
  <c r="Q53" i="15" s="1"/>
  <c r="C43" i="15"/>
  <c r="Q56" i="15"/>
  <c r="B2" i="15"/>
  <c r="B3" i="15" s="1"/>
  <c r="Q65" i="15"/>
  <c r="C83" i="15"/>
  <c r="C82" i="15" s="1"/>
  <c r="Q66" i="67"/>
  <c r="Q57" i="67"/>
  <c r="C19" i="9"/>
  <c r="B3" i="69"/>
  <c r="C57" i="69" l="1"/>
  <c r="C56" i="69" s="1"/>
  <c r="C102" i="9"/>
  <c r="G19" i="9"/>
  <c r="G21" i="9" s="1"/>
  <c r="C21" i="9"/>
  <c r="D22" i="9"/>
  <c r="Q62" i="67"/>
  <c r="B3" i="67"/>
  <c r="Q75" i="67"/>
  <c r="Q57" i="15"/>
  <c r="Q62" i="15" s="1"/>
  <c r="Q66" i="15"/>
  <c r="Q75" i="15" s="1"/>
  <c r="C20" i="9"/>
  <c r="C103" i="9" l="1"/>
  <c r="J22" i="9"/>
  <c r="G20" i="9"/>
  <c r="C32" i="9" s="1"/>
  <c r="C35" i="9" l="1"/>
  <c r="G118" i="9" s="1"/>
  <c r="I118" i="9"/>
  <c r="G4" i="52" l="1"/>
  <c r="B52" i="72" s="1"/>
  <c r="F118" i="9"/>
  <c r="C34" i="9"/>
  <c r="H102" i="9"/>
  <c r="D7" i="53" s="1"/>
  <c r="B21" i="72" s="1"/>
  <c r="I4" i="52"/>
  <c r="C105" i="9"/>
  <c r="H118" i="9"/>
  <c r="E118" i="9"/>
  <c r="H101" i="9" l="1"/>
  <c r="C104" i="9"/>
  <c r="H4" i="52"/>
  <c r="H119" i="9"/>
  <c r="H5" i="52" s="1"/>
  <c r="D118" i="9"/>
  <c r="E4" i="52"/>
  <c r="B48" i="72" s="1"/>
  <c r="F119" i="9"/>
  <c r="F5" i="52" s="1"/>
  <c r="B53" i="72" s="1"/>
  <c r="F4" i="52"/>
  <c r="B51" i="72" s="1"/>
  <c r="D119" i="9" l="1"/>
  <c r="D5" i="52" s="1"/>
  <c r="B49" i="72" s="1"/>
  <c r="D4" i="52"/>
  <c r="B47" i="72" s="1"/>
  <c r="D45" i="9"/>
  <c r="M48" i="9"/>
  <c r="H107" i="9"/>
  <c r="D5" i="53"/>
  <c r="C72" i="9" l="1"/>
  <c r="D55" i="9"/>
  <c r="M53" i="9" s="1"/>
  <c r="C78" i="9"/>
  <c r="C73" i="9" s="1"/>
  <c r="D53" i="9"/>
  <c r="C93" i="9"/>
  <c r="C86" i="9" s="1"/>
  <c r="C64" i="9"/>
  <c r="C63" i="9" s="1"/>
  <c r="C67" i="9" s="1"/>
  <c r="C85" i="9"/>
  <c r="D52" i="9"/>
  <c r="B20" i="72"/>
  <c r="D6" i="53"/>
  <c r="B22" i="72" s="1"/>
  <c r="D122" i="9"/>
  <c r="H108" i="9"/>
  <c r="D13" i="53"/>
  <c r="C95" i="9" l="1"/>
  <c r="C96" i="9" s="1"/>
  <c r="E96" i="9" s="1"/>
  <c r="E97" i="9" s="1"/>
  <c r="B30" i="72"/>
  <c r="D14" i="53"/>
  <c r="B32" i="72" s="1"/>
  <c r="D15" i="53"/>
  <c r="B31" i="72" s="1"/>
  <c r="C6" i="74"/>
  <c r="E14" i="74" s="1"/>
  <c r="D14" i="74" s="1"/>
  <c r="C68" i="9"/>
  <c r="D54" i="9" s="1"/>
  <c r="D59" i="9"/>
  <c r="M55" i="9" s="1"/>
  <c r="D8" i="52"/>
  <c r="D123" i="9"/>
  <c r="D9" i="52" s="1"/>
  <c r="C79" i="9"/>
  <c r="C80" i="9" l="1"/>
  <c r="E80" i="9" s="1"/>
  <c r="E81" i="9" s="1"/>
  <c r="F14" i="74"/>
  <c r="B5" i="74"/>
  <c r="C97" i="9"/>
  <c r="D58" i="9" s="1"/>
  <c r="D56" i="9" s="1"/>
  <c r="M54" i="9" s="1"/>
  <c r="N57" i="9" s="1"/>
  <c r="P57" i="9" l="1"/>
  <c r="N58" i="9"/>
  <c r="N59" i="9"/>
  <c r="C5" i="74"/>
  <c r="D5" i="74"/>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<sst xmlns="http://schemas.openxmlformats.org/spreadsheetml/2006/main" count="10578" uniqueCount="4284">
  <si>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</si>
  <si>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</si>
  <si>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</si>
  <si>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</si>
  <si>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</si>
  <si>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</si>
  <si>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</si>
  <si>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</si>
  <si>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</si>
  <si>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</si>
  <si>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</si>
  <si>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</si>
  <si>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</si>
  <si>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</si>
  <si>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</si>
  <si>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</si>
  <si>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</si>
  <si>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</si>
  <si>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</si>
  <si>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</si>
  <si>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</si>
  <si>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</si>
  <si>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</si>
  <si>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</si>
  <si>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</si>
  <si>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</si>
  <si>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</si>
  <si>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</si>
  <si>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</si>
  <si>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</si>
  <si>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</si>
  <si>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</si>
  <si>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</si>
  <si>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</si>
  <si>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</si>
  <si>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</si>
  <si>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</si>
  <si>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</si>
  <si>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</si>
  <si>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</si>
  <si>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</si>
  <si>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</si>
  <si>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</si>
  <si>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</si>
  <si>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</si>
  <si>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</si>
  <si>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</si>
  <si>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</si>
  <si>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</si>
  <si>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</si>
  <si>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</si>
  <si>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</si>
  <si>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</si>
  <si>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</si>
  <si>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</si>
  <si>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</si>
  <si>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</si>
  <si>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</si>
  <si>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</si>
  <si>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</si>
  <si>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</si>
  <si>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</si>
  <si>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</si>
  <si>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</si>
  <si>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</si>
  <si>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</si>
  <si>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</si>
  <si>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</si>
  <si>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</si>
  <si>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</si>
  <si>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</si>
  <si>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</si>
  <si>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</si>
  <si>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</si>
  <si>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</si>
  <si>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</si>
  <si>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</si>
  <si>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</si>
  <si>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</si>
  <si>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</si>
  <si>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</si>
  <si>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</si>
  <si>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</si>
  <si>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</si>
  <si>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</si>
  <si>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</si>
  <si>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</si>
  <si>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</si>
  <si>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</si>
  <si>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</si>
  <si>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</si>
  <si>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</si>
  <si>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</si>
  <si>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</si>
  <si>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</si>
  <si>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</si>
  <si>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</si>
  <si>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</si>
  <si>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</si>
  <si>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</si>
  <si>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</si>
  <si>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</si>
  <si>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</si>
  <si>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</si>
  <si>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</si>
  <si>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</si>
  <si>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</si>
  <si>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</si>
  <si>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</si>
  <si>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</si>
  <si>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</si>
  <si>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</si>
  <si>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</si>
  <si>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</si>
  <si>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</si>
  <si>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</si>
  <si>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</si>
  <si>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</si>
  <si>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</si>
  <si>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</si>
  <si>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</si>
  <si>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</si>
  <si>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</si>
  <si>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</si>
  <si>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</si>
  <si>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</si>
  <si>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</si>
  <si>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</si>
  <si>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</si>
  <si>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</si>
  <si>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</si>
  <si>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</si>
  <si>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</si>
  <si>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</si>
  <si>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</si>
  <si>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</si>
  <si>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</si>
  <si>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</si>
  <si>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</si>
  <si>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</si>
  <si>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</si>
  <si>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</si>
  <si>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</si>
  <si>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</si>
  <si>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</si>
  <si>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</si>
  <si>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</si>
  <si>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</si>
  <si>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</si>
  <si>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</si>
  <si>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</si>
  <si>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</si>
  <si>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</si>
  <si>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</si>
  <si>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</si>
  <si>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</si>
  <si>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</si>
  <si>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</si>
  <si>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</si>
  <si>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</si>
  <si>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</si>
  <si>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</si>
  <si>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</si>
  <si>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</si>
  <si>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</si>
  <si>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</si>
  <si>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</si>
  <si>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</si>
  <si>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</si>
  <si>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</si>
  <si>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</si>
  <si>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</si>
  <si>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</si>
  <si>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</si>
  <si>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</si>
  <si>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</si>
  <si>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</si>
  <si>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</si>
  <si>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</si>
  <si>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</si>
  <si>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</si>
  <si>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</si>
  <si>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</si>
  <si>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</si>
  <si>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</si>
  <si>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</si>
  <si>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</si>
  <si>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</si>
  <si>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</si>
  <si>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</si>
  <si>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</si>
  <si>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</si>
  <si>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</si>
  <si>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</si>
  <si>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</si>
  <si>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</si>
  <si>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</si>
  <si>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</si>
  <si>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</si>
  <si>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</si>
  <si>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</si>
  <si>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</si>
  <si>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</si>
  <si>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</si>
  <si>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</si>
  <si>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</si>
  <si>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</si>
  <si>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</si>
  <si>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</si>
  <si>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</si>
  <si>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</si>
  <si>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</si>
  <si>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</si>
  <si>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</si>
  <si>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</si>
  <si>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</si>
  <si>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</si>
  <si>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</si>
  <si>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</si>
  <si>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</si>
  <si>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</si>
  <si>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</si>
  <si>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</si>
  <si>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</si>
  <si>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</si>
  <si>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</si>
  <si>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</si>
  <si>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</si>
  <si>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</si>
  <si>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</si>
  <si>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</si>
  <si>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</si>
  <si>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</si>
  <si>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</si>
  <si>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</si>
  <si>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</si>
  <si>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</si>
  <si>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</si>
  <si>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</si>
  <si>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</si>
  <si>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</si>
  <si>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</si>
  <si>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</si>
  <si>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</si>
  <si>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</si>
  <si>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</si>
  <si>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</si>
  <si>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</si>
  <si>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</si>
  <si>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</si>
  <si>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</si>
  <si>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</si>
  <si>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</si>
  <si>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</si>
  <si>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</si>
  <si>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</si>
  <si>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</si>
  <si>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</si>
  <si>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</si>
  <si>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</si>
  <si>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</si>
  <si>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</si>
  <si>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</si>
  <si>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</si>
  <si>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</si>
  <si>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</si>
  <si>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</si>
  <si>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</si>
  <si>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</si>
  <si>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</si>
  <si>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</si>
  <si>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</si>
  <si>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</si>
  <si>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</si>
  <si>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</si>
  <si>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</si>
  <si>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</si>
  <si>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</si>
  <si>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</si>
  <si>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</si>
  <si>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</si>
  <si>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</si>
  <si>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</si>
  <si>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</si>
  <si>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</si>
  <si>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</si>
  <si>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</si>
  <si>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</si>
  <si>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</si>
  <si>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</si>
  <si>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</si>
  <si>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</si>
  <si>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</si>
  <si>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</si>
  <si>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</si>
  <si>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</si>
  <si>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</si>
  <si>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</si>
  <si>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</si>
  <si>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</si>
  <si>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</si>
  <si>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</si>
  <si>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</si>
  <si>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</si>
  <si>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</si>
  <si>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</si>
  <si>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</si>
  <si>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</si>
  <si>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</si>
  <si>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</si>
  <si>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</si>
  <si>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</si>
  <si>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</si>
  <si>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</si>
  <si>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</si>
  <si>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</si>
  <si>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</si>
  <si>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</si>
  <si>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</si>
  <si>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</si>
  <si>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</si>
  <si>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</si>
  <si>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</si>
  <si>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</si>
  <si>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</si>
  <si>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</si>
  <si>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</si>
  <si>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</si>
  <si>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</si>
  <si>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</si>
  <si>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</si>
  <si>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</si>
  <si>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</si>
  <si>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</si>
  <si>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</si>
  <si>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</si>
  <si>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</si>
  <si>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</si>
  <si>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</si>
  <si>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</si>
  <si>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</si>
  <si>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</si>
  <si>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</si>
  <si>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</si>
  <si>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</si>
  <si>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</si>
  <si>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</si>
  <si>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</si>
  <si>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</si>
  <si>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</si>
  <si>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</si>
  <si>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</si>
  <si>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</si>
  <si>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</si>
  <si>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</si>
  <si>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</si>
  <si>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</si>
  <si>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</si>
  <si>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</si>
  <si>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</si>
  <si>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</si>
  <si>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</si>
  <si>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</si>
  <si>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</si>
  <si>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</si>
  <si>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</si>
  <si>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</si>
  <si>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</si>
  <si>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</si>
  <si>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</si>
  <si>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</si>
  <si>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</si>
  <si>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</si>
  <si>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</si>
  <si>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</si>
  <si>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</si>
  <si>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</si>
  <si>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</si>
  <si>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</si>
  <si>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</si>
  <si>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</si>
  <si>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</si>
  <si>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</si>
  <si>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</si>
  <si>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</si>
  <si>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</si>
  <si>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</si>
  <si>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</si>
  <si>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</si>
  <si>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</si>
  <si>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</si>
  <si>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</si>
  <si>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</si>
  <si>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</si>
  <si>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</si>
  <si>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</si>
  <si>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</si>
  <si>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</si>
  <si>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</si>
  <si>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</si>
  <si>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</si>
  <si>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</si>
  <si>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</si>
  <si>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</si>
  <si>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</si>
  <si>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</si>
  <si>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</si>
  <si>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</si>
  <si>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</si>
  <si>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</si>
  <si>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</si>
  <si>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</si>
  <si>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</si>
  <si>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</si>
  <si>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</si>
  <si>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</si>
  <si>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</si>
  <si>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</si>
  <si>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</si>
  <si>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</si>
  <si>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</si>
  <si>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</si>
  <si>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</si>
  <si>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</si>
  <si>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</si>
  <si>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</si>
  <si>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</si>
  <si>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</si>
  <si>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</si>
  <si>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</si>
  <si>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</si>
  <si>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</si>
  <si>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</si>
  <si>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</si>
  <si>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</si>
  <si>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</si>
  <si>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</si>
  <si>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</si>
  <si>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</si>
  <si>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</si>
  <si>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</si>
  <si>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</si>
  <si>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</si>
  <si>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</si>
  <si>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</si>
  <si>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</si>
  <si>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</si>
  <si>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</si>
  <si>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</si>
  <si>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</si>
  <si>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</si>
  <si>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</si>
  <si>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</si>
  <si>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</si>
  <si>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</si>
  <si>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</si>
  <si>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</si>
  <si>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</si>
  <si>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</si>
  <si>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</si>
  <si>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</si>
  <si>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</si>
  <si>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</si>
  <si>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</si>
  <si>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</si>
  <si>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</si>
  <si>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</si>
  <si>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</si>
  <si>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</si>
  <si>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</si>
  <si>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</si>
  <si>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</si>
  <si>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</si>
  <si>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</si>
  <si>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</si>
  <si>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</si>
  <si>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</si>
  <si>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</si>
  <si>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</si>
  <si>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</si>
  <si>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</si>
  <si>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</si>
  <si>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</si>
  <si>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</si>
  <si>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</si>
  <si>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</si>
  <si>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</si>
  <si>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</si>
  <si>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</si>
  <si>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</si>
  <si>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</si>
  <si>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</si>
  <si>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</si>
  <si>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</si>
  <si>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</si>
  <si>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</si>
  <si>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</si>
  <si>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</si>
  <si>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</si>
  <si>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</si>
  <si>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</si>
  <si>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</si>
  <si>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</si>
  <si>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</si>
  <si>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</si>
  <si>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</si>
  <si>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</si>
  <si>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</si>
  <si>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</si>
  <si>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</si>
  <si>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</si>
  <si>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</si>
  <si>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</si>
  <si>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</si>
  <si>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</si>
  <si>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</si>
  <si>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</si>
  <si>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</si>
  <si>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</si>
  <si>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</si>
  <si>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</si>
  <si>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</si>
  <si>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</si>
  <si>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</si>
  <si>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</si>
  <si>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</si>
  <si>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</si>
  <si>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</si>
  <si>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</si>
  <si>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</si>
  <si>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</si>
  <si>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</si>
  <si>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</si>
  <si>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</si>
  <si>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</si>
  <si>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</si>
  <si>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</si>
  <si>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</si>
  <si>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</si>
  <si>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</si>
  <si>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</si>
  <si>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</si>
  <si>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</si>
  <si>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</si>
  <si>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</si>
  <si>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</si>
  <si>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</si>
  <si>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</si>
  <si>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</si>
  <si>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</si>
  <si>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</si>
  <si>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</si>
  <si>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</si>
  <si>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</si>
  <si>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</si>
  <si>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</si>
  <si>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</si>
  <si>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</si>
  <si>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</si>
  <si>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</si>
  <si>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</si>
  <si>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</si>
  <si>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</si>
  <si>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</si>
  <si>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</si>
  <si>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</si>
  <si>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</si>
  <si>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</si>
  <si>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</si>
  <si>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</si>
  <si>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</si>
  <si>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</si>
  <si>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</si>
  <si>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</si>
  <si>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</si>
  <si>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</si>
  <si>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</si>
  <si>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</si>
  <si>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</si>
  <si>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</si>
  <si>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</si>
  <si>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</si>
  <si>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</si>
  <si>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</si>
  <si>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</si>
  <si>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</si>
  <si>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</si>
  <si>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</si>
  <si>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</si>
  <si>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</si>
  <si>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</si>
  <si>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</si>
  <si>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</si>
  <si>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</si>
  <si>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</si>
  <si>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</si>
  <si>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</si>
  <si>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</si>
  <si>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</si>
  <si>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</si>
  <si>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</si>
  <si>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</si>
  <si>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</si>
  <si>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</si>
  <si>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</si>
  <si>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</si>
  <si>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</si>
  <si>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</si>
  <si>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</si>
  <si>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</si>
  <si>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</si>
  <si>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</si>
  <si>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</si>
  <si>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</si>
  <si>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</si>
  <si>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</si>
  <si>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</si>
  <si>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</si>
  <si>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</si>
  <si>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</si>
  <si>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</si>
  <si>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</si>
  <si>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</si>
  <si>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</si>
  <si>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</si>
  <si>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</si>
  <si>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</si>
  <si>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</si>
  <si>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</si>
  <si>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</si>
  <si>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</si>
  <si>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</si>
  <si>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</si>
  <si>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</si>
  <si>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</si>
  <si>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</si>
  <si>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</si>
  <si>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</si>
  <si>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</si>
  <si>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</si>
  <si>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</si>
  <si>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</si>
  <si>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</si>
  <si>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</si>
  <si>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</si>
  <si>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</si>
  <si>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</si>
  <si>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</si>
  <si>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</si>
  <si>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</si>
  <si>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</si>
  <si>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</si>
  <si>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</si>
  <si>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</si>
  <si>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</si>
  <si>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</si>
  <si>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</si>
  <si>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</si>
  <si>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</si>
  <si>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</si>
  <si>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</si>
  <si>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</si>
  <si>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</si>
  <si>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</si>
  <si>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</si>
  <si>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</si>
  <si>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</si>
  <si>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</si>
  <si>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</si>
  <si>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</si>
  <si>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</si>
  <si>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</si>
  <si>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</si>
  <si>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</si>
  <si>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</si>
  <si>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</si>
  <si>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</si>
  <si>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</si>
  <si>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</si>
  <si>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</si>
  <si>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</si>
  <si>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</si>
  <si>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</si>
  <si>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</si>
  <si>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</si>
  <si>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</si>
  <si>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</si>
  <si>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</si>
  <si>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</si>
  <si>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</si>
  <si>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</si>
  <si>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</si>
  <si>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</si>
  <si>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</si>
  <si>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</si>
  <si>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</si>
  <si>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</si>
  <si>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</si>
  <si>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</si>
  <si>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</si>
  <si>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</si>
  <si>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</si>
  <si>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</si>
  <si>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</si>
  <si>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</si>
  <si>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</si>
  <si>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</si>
  <si>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</si>
  <si>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</si>
  <si>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</si>
  <si>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</si>
  <si>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</si>
  <si>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</si>
  <si>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</si>
  <si>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</si>
  <si>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</si>
  <si>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</si>
  <si>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</si>
  <si>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</si>
  <si>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</si>
  <si>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</si>
  <si>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</si>
  <si>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</si>
  <si>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</si>
  <si>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</si>
  <si>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</si>
  <si>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</si>
  <si>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</si>
  <si>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</si>
  <si>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</si>
  <si>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</si>
  <si>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</si>
  <si>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</si>
  <si>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</si>
  <si>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</si>
  <si>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</si>
  <si>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</si>
  <si>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</si>
  <si>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</si>
  <si>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</si>
  <si>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</si>
  <si>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</si>
  <si>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</si>
  <si>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</si>
  <si>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</si>
  <si>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</si>
  <si>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</si>
  <si>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</si>
  <si>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</si>
  <si>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</si>
  <si>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</si>
  <si>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</si>
  <si>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</si>
  <si>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</si>
  <si>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</si>
  <si>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</si>
  <si>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</si>
  <si>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</si>
  <si>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</si>
  <si>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</si>
  <si>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</si>
  <si>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</si>
  <si>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</si>
  <si>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</si>
  <si>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</si>
  <si>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</si>
  <si>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</si>
  <si>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</si>
  <si>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</si>
  <si>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</si>
  <si>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</si>
  <si>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</si>
  <si>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</si>
  <si>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</si>
  <si>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</si>
  <si>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</si>
  <si>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</si>
  <si>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</si>
  <si>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</si>
  <si>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</si>
  <si>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</si>
  <si>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</si>
  <si>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</si>
  <si>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</si>
  <si>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</si>
  <si>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</si>
  <si>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</si>
  <si>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</si>
  <si>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</si>
  <si>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</si>
  <si>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</si>
  <si>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</si>
  <si>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</si>
  <si>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</si>
  <si>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</si>
  <si>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</si>
  <si>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</si>
  <si>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</si>
  <si>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</si>
  <si>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</si>
  <si>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</si>
  <si>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</si>
  <si>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</si>
  <si>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</si>
  <si>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</si>
  <si>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</si>
  <si>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</si>
  <si>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</si>
  <si>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</si>
  <si>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</si>
  <si>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</si>
  <si>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</si>
  <si>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</si>
  <si>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</si>
  <si>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</si>
  <si>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</si>
  <si>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</si>
  <si>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</si>
  <si>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</si>
  <si>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</si>
  <si>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</si>
  <si>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</si>
  <si>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</si>
  <si>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</si>
  <si>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</si>
  <si>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</si>
  <si>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</si>
  <si>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</si>
  <si>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</si>
  <si>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</si>
  <si>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</si>
  <si>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</si>
  <si>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</si>
  <si>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</si>
  <si>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</si>
  <si>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</si>
  <si>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</si>
  <si>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</si>
  <si>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</si>
  <si>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</si>
  <si>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</si>
  <si>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</si>
  <si>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</si>
  <si>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</si>
  <si>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</si>
  <si>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</si>
  <si>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</si>
  <si>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</si>
  <si>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</si>
  <si>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</si>
  <si>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</si>
  <si>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</si>
  <si>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</si>
  <si>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</si>
  <si>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</si>
  <si>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</si>
  <si>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</si>
  <si>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</si>
  <si>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</si>
  <si>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</si>
  <si>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</si>
  <si>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</si>
  <si>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</si>
  <si>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</si>
  <si>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</si>
  <si>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</si>
  <si>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</si>
  <si>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</si>
  <si>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</si>
  <si>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</si>
  <si>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</si>
  <si>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</si>
  <si>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</si>
  <si>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</si>
  <si>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</si>
  <si>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</si>
  <si>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</si>
  <si>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</si>
  <si>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</si>
  <si>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</si>
  <si>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</si>
  <si>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</si>
  <si>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</si>
  <si>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</si>
  <si>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</si>
  <si>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</si>
  <si>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</si>
  <si>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</si>
  <si>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</si>
  <si>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</si>
  <si>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</si>
  <si>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</si>
  <si>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</si>
  <si>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</si>
  <si>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</si>
  <si>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</si>
  <si>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</si>
  <si>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</si>
  <si>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</si>
  <si>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</si>
  <si>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</si>
  <si>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</si>
  <si>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</si>
  <si>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</si>
  <si>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</si>
  <si>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</si>
  <si>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</si>
  <si>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</si>
  <si>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</si>
  <si>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</si>
  <si>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</si>
  <si>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</si>
  <si>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</si>
  <si>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</si>
  <si>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</si>
  <si>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</si>
  <si>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</si>
  <si>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</si>
  <si>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</si>
  <si>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</si>
  <si>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</si>
  <si>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</si>
  <si>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</si>
  <si>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</si>
  <si>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</si>
  <si>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</si>
  <si>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</si>
  <si>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</si>
  <si>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</si>
  <si>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</si>
  <si>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</si>
  <si>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</si>
  <si>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</si>
  <si>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</si>
  <si>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</si>
  <si>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</si>
  <si>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</si>
  <si>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</si>
  <si>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</si>
  <si>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</si>
  <si>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</si>
  <si>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</si>
  <si>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</si>
  <si>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</si>
  <si>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</si>
  <si>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</si>
  <si>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</si>
  <si>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</si>
  <si>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</si>
  <si>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</si>
  <si>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</si>
  <si>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</si>
  <si>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</si>
  <si>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</si>
  <si>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</si>
  <si>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</si>
  <si>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</si>
  <si>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</si>
  <si>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</si>
  <si>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</si>
  <si>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</si>
  <si>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</si>
  <si>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</si>
  <si>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</si>
  <si>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</si>
  <si>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</si>
  <si>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</si>
  <si>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</si>
  <si>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</si>
  <si>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</si>
  <si>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</si>
  <si>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</si>
  <si>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</si>
  <si>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</si>
  <si>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</si>
  <si>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</si>
  <si>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</si>
  <si>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</si>
  <si>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</si>
  <si>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</si>
  <si>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</si>
  <si>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</si>
  <si>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</si>
  <si>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</si>
  <si>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</si>
  <si>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</si>
  <si>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</si>
  <si>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</si>
  <si>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</si>
  <si>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</si>
  <si>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</si>
  <si>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</si>
  <si>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</si>
  <si>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</si>
  <si>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</si>
  <si>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</si>
  <si>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</si>
  <si>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</si>
  <si>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</si>
  <si>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</si>
  <si>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</si>
  <si>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</si>
  <si>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</si>
  <si>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</si>
  <si>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</si>
  <si>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</si>
  <si>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</si>
  <si>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</si>
  <si>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</si>
  <si>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</si>
  <si>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</si>
  <si>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</si>
  <si>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</si>
  <si>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</si>
  <si>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</si>
  <si>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</si>
  <si>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</si>
  <si>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</si>
  <si>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</si>
  <si>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</si>
  <si>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</si>
  <si>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</si>
  <si>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</si>
  <si>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</si>
  <si>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</si>
  <si>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</si>
  <si>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</si>
  <si>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</si>
  <si>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</si>
  <si>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</si>
  <si>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</si>
  <si>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</si>
  <si>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</si>
  <si>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</si>
  <si>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</si>
  <si>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</si>
  <si>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</si>
  <si>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</si>
  <si>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</si>
  <si>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</si>
  <si>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</si>
  <si>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</si>
  <si>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</si>
  <si>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</si>
  <si>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</si>
  <si>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</si>
  <si>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</si>
  <si>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</si>
  <si>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</si>
  <si>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</si>
  <si>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</si>
  <si>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</si>
  <si>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</si>
  <si>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</si>
  <si>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</si>
  <si>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</si>
  <si>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</si>
  <si>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</si>
  <si>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</si>
  <si>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</si>
  <si>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</si>
  <si>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</si>
  <si>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</si>
  <si>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</si>
  <si>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</si>
  <si>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</si>
  <si>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</si>
  <si>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</si>
  <si>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</si>
  <si>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</si>
  <si>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</si>
  <si>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</si>
  <si>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</si>
  <si>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</si>
  <si>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</si>
  <si>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</si>
  <si>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</si>
  <si>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</si>
  <si>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</si>
  <si>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</si>
  <si>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</si>
  <si>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</si>
  <si>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</si>
  <si>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</si>
  <si>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</si>
  <si>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</si>
  <si>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</si>
  <si>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</si>
  <si>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</si>
  <si>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</si>
  <si>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</si>
  <si>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</si>
  <si>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</si>
  <si>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</si>
  <si>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</si>
  <si>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</si>
  <si>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</si>
  <si>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</si>
  <si>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</si>
  <si>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</si>
  <si>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</si>
  <si>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</si>
  <si>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</si>
  <si>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</si>
  <si>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</si>
  <si>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</si>
  <si>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</si>
  <si>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</si>
  <si>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</si>
  <si>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</si>
  <si>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</si>
  <si>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</si>
  <si>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</si>
  <si>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</si>
  <si>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</si>
  <si>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</si>
  <si>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</si>
  <si>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</si>
  <si>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</si>
  <si>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</si>
  <si>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</si>
  <si>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</si>
  <si>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</si>
  <si>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</si>
  <si>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</si>
  <si>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</si>
  <si>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</si>
  <si>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</si>
  <si>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</si>
  <si>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</si>
  <si>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</si>
  <si>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</si>
  <si>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</si>
  <si>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</si>
  <si>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</si>
  <si>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</si>
  <si>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</si>
  <si>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</si>
  <si>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</si>
  <si>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</si>
  <si>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</si>
  <si>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</si>
  <si>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</si>
  <si>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</si>
  <si>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</si>
  <si>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</si>
  <si>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</si>
  <si>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</si>
  <si>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</si>
  <si>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</si>
  <si>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</si>
  <si>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</si>
  <si>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</si>
  <si>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</si>
  <si>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</si>
  <si>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</si>
  <si>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</si>
  <si>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</si>
  <si>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</si>
  <si>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</si>
  <si>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</si>
  <si>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</si>
  <si>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</si>
  <si>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</si>
  <si>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</si>
  <si>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</si>
  <si>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</si>
  <si>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</si>
  <si>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</si>
  <si>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</si>
  <si>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</si>
  <si>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</si>
  <si>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</si>
  <si>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</si>
  <si>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</si>
  <si>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</si>
  <si>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</si>
  <si>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</si>
  <si>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</si>
  <si>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</si>
  <si>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</si>
  <si>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</si>
  <si>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</si>
  <si>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</si>
  <si>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</si>
  <si>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</si>
  <si>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</si>
  <si>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</si>
  <si>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</si>
  <si>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</si>
  <si>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</si>
  <si>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</si>
  <si>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</si>
  <si>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</si>
  <si>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</si>
  <si>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</si>
  <si>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</si>
  <si>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</si>
  <si>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</si>
  <si>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</si>
  <si>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</si>
  <si>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</si>
  <si>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</si>
  <si>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</si>
  <si>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</si>
  <si>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</si>
  <si>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</si>
  <si>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</si>
  <si>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</si>
  <si>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</si>
  <si>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</si>
  <si>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</si>
  <si>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</si>
  <si>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</si>
  <si>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</si>
  <si>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</si>
  <si>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</si>
  <si>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</si>
  <si>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</si>
  <si>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</si>
  <si>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</si>
  <si>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</si>
  <si>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</si>
  <si>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</si>
  <si>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</si>
  <si>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</si>
  <si>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</si>
  <si>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</si>
  <si>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</si>
  <si>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</si>
  <si>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</si>
  <si>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</si>
  <si>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</si>
  <si>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</si>
  <si>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</si>
  <si>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</si>
  <si>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</si>
  <si>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</si>
  <si>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</si>
  <si>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</si>
  <si>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</si>
  <si>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</si>
  <si>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</si>
  <si>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</si>
  <si>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</si>
  <si>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</si>
  <si>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</si>
  <si>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</si>
  <si>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</si>
  <si>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</si>
  <si>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</si>
  <si>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</si>
  <si>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</si>
  <si>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</si>
  <si>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</si>
  <si>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</si>
  <si>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</si>
  <si>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</si>
  <si>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</si>
  <si>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</si>
  <si>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</si>
  <si>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</si>
  <si>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</si>
  <si>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</si>
  <si>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</si>
  <si>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</si>
  <si>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</si>
  <si>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</si>
  <si>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</si>
  <si>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</si>
  <si>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</si>
  <si>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</si>
  <si>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</si>
  <si>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</si>
  <si>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</si>
  <si>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</si>
  <si>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</si>
  <si>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</si>
  <si>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</si>
  <si>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</si>
  <si>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</si>
  <si>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</si>
  <si>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</si>
  <si>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</si>
  <si>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</si>
  <si>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</si>
  <si>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</si>
  <si>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</si>
  <si>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</si>
  <si>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</si>
  <si>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</si>
  <si>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</si>
  <si>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</si>
  <si>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</si>
  <si>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</si>
  <si>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</si>
  <si>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</si>
  <si>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</si>
  <si>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</si>
  <si>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</si>
  <si>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</si>
  <si>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</si>
  <si>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</si>
  <si>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</si>
  <si>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</si>
  <si>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</si>
  <si>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</si>
  <si>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</si>
  <si>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</si>
  <si>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</si>
  <si>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</si>
  <si>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</si>
  <si>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</si>
  <si>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</si>
  <si>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</si>
  <si>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</si>
  <si>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</si>
  <si>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</si>
  <si>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</si>
  <si>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</si>
  <si>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</si>
  <si>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</si>
  <si>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</si>
  <si>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</si>
  <si>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</si>
  <si>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</si>
  <si>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</si>
  <si>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</si>
  <si>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</si>
  <si>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</si>
  <si>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</si>
  <si>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</si>
  <si>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</si>
  <si>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</si>
  <si>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</si>
  <si>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</si>
  <si>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</si>
  <si>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</si>
  <si>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</si>
  <si>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</si>
  <si>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</si>
  <si>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</si>
  <si>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</si>
  <si>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</si>
  <si>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</si>
  <si>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</si>
  <si>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</si>
  <si>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</si>
  <si>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</si>
  <si>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</si>
  <si>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</si>
  <si>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</si>
  <si>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</si>
  <si>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</si>
  <si>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</si>
  <si>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</si>
  <si>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</si>
  <si>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</si>
  <si>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</si>
  <si>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</si>
  <si>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</si>
  <si>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</si>
  <si>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</si>
  <si>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</si>
  <si>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</si>
  <si>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</si>
  <si>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</si>
  <si>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</si>
  <si>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</si>
  <si>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</si>
  <si>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</si>
  <si>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</si>
  <si>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</si>
  <si>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</si>
  <si>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</si>
  <si>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</si>
  <si>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</si>
  <si>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</si>
  <si>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</si>
  <si>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</si>
  <si>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</si>
  <si>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</si>
  <si>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</si>
  <si>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</si>
  <si>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</si>
  <si>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</si>
  <si>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</si>
  <si>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</si>
  <si>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</si>
  <si>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</si>
  <si>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</si>
  <si>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</si>
  <si>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</si>
  <si>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</si>
  <si>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</si>
  <si>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</si>
  <si>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</si>
  <si>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</si>
  <si>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</si>
  <si>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</si>
  <si>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</si>
  <si>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</si>
  <si>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</si>
  <si>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</si>
  <si>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</si>
  <si>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</si>
  <si>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</si>
  <si>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</si>
  <si>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</si>
  <si>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</si>
  <si>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</si>
  <si>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</si>
  <si>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</si>
  <si>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</si>
  <si>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</si>
  <si>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</si>
  <si>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</si>
  <si>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</si>
  <si>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</si>
  <si>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</si>
  <si>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</si>
  <si>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</si>
  <si>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</si>
  <si>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</si>
  <si>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</si>
  <si>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</si>
  <si>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</si>
  <si>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</si>
  <si>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</si>
  <si>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</si>
  <si>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</si>
  <si>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</si>
  <si>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</si>
  <si>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</si>
  <si>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</si>
  <si>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</si>
  <si>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</si>
  <si>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</si>
  <si>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</si>
  <si>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</si>
  <si>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</si>
  <si>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</si>
  <si>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</si>
  <si>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</si>
  <si>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</si>
  <si>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</si>
  <si>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</si>
  <si>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</si>
  <si>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</si>
  <si>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</si>
  <si>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</si>
  <si>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</si>
  <si>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</si>
  <si>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</si>
  <si>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</si>
  <si>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</si>
  <si>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</si>
  <si>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</si>
  <si>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</si>
  <si>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</si>
  <si>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</si>
  <si>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</si>
  <si>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</si>
  <si>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</si>
  <si>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</si>
  <si>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</si>
  <si>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</si>
  <si>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</si>
  <si>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</si>
  <si>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</si>
  <si>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</si>
  <si>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</si>
  <si>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</si>
  <si>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</si>
  <si>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</si>
  <si>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</si>
  <si>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</si>
  <si>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</si>
  <si>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</si>
  <si>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</si>
  <si>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</si>
  <si>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</si>
  <si>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</si>
  <si>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</si>
  <si>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</si>
  <si>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</si>
  <si>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</si>
  <si>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</si>
  <si>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</si>
  <si>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</si>
  <si>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</si>
  <si>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</si>
  <si>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</si>
  <si>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</si>
  <si>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</si>
  <si>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</si>
  <si>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</si>
  <si>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</si>
  <si>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</si>
  <si>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</si>
  <si>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</si>
  <si>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</si>
  <si>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</si>
  <si>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</si>
  <si>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</si>
  <si>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</si>
  <si>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</si>
  <si>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</si>
  <si>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</si>
  <si>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</si>
  <si>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</si>
  <si>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</si>
  <si>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</si>
  <si>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</si>
  <si>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</si>
  <si>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</si>
  <si>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</si>
  <si>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</si>
  <si>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</si>
  <si>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</si>
  <si>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</si>
  <si>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</si>
  <si>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</si>
  <si>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</si>
  <si>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</si>
  <si>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</si>
  <si>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</si>
  <si>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</si>
  <si>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</si>
  <si>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</si>
  <si>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</si>
  <si>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</si>
  <si>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</si>
  <si>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</si>
  <si>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</si>
  <si>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</si>
  <si>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</si>
  <si>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</si>
  <si>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</si>
  <si>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</si>
  <si>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</si>
  <si>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</si>
  <si>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</si>
  <si>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</si>
  <si>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</si>
  <si>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</si>
  <si>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</si>
  <si>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</si>
  <si>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</si>
  <si>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</si>
  <si>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</si>
  <si>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</si>
  <si>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</si>
  <si>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</si>
  <si>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</si>
  <si>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</si>
  <si>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</si>
  <si>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</si>
  <si>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</si>
  <si>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</si>
  <si>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</si>
  <si>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</si>
  <si>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</si>
  <si>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</si>
  <si>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</si>
  <si>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</si>
  <si>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</si>
  <si>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</si>
  <si>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</si>
  <si>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</si>
  <si>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</si>
  <si>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</si>
  <si>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</si>
  <si>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</si>
  <si>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</si>
  <si>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</si>
  <si>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</si>
  <si>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</si>
  <si>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</si>
  <si>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</si>
  <si>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</si>
  <si>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</si>
  <si>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</si>
  <si>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</si>
  <si>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</si>
  <si>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</si>
  <si>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</si>
  <si>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</si>
  <si>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</si>
  <si>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</si>
  <si>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</si>
  <si>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</si>
  <si>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</si>
  <si>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</si>
  <si>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</si>
  <si>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</si>
  <si>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</si>
  <si>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</si>
  <si>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</si>
  <si>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</si>
  <si>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</si>
  <si>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</si>
  <si>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</si>
  <si>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</si>
  <si>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</si>
  <si>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</si>
  <si>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</si>
  <si>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</si>
  <si>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</si>
  <si>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</si>
  <si>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</si>
  <si>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</si>
  <si>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</si>
  <si>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</si>
  <si>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</si>
  <si>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</si>
  <si>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</si>
  <si>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</si>
  <si>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</si>
  <si>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</si>
  <si>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</si>
  <si>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</si>
  <si>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</si>
  <si>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</si>
  <si>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</si>
  <si>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</si>
  <si>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</si>
  <si>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</si>
  <si>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</si>
  <si>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</si>
  <si>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</si>
  <si>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</si>
  <si>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</si>
  <si>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</si>
  <si>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</si>
  <si>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</si>
  <si>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</si>
  <si>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</si>
  <si>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</si>
  <si>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</si>
  <si>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</si>
  <si>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</si>
  <si>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</si>
  <si>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</si>
  <si>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</si>
  <si>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</si>
  <si>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</si>
  <si>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</si>
  <si>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</si>
  <si>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</si>
  <si>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</si>
  <si>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</si>
  <si>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</si>
  <si>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</si>
  <si>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</si>
  <si>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</si>
  <si>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</si>
  <si>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</si>
  <si>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</si>
  <si>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</si>
  <si>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</si>
  <si>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</si>
  <si>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</si>
  <si>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</si>
  <si>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</si>
  <si>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</si>
  <si>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</si>
  <si>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</si>
  <si>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</si>
  <si>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</si>
  <si>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</si>
  <si>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</si>
  <si>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</si>
  <si>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</si>
  <si>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</si>
  <si>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</si>
  <si>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</si>
  <si>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</si>
  <si>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</si>
  <si>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</si>
  <si>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</si>
  <si>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</si>
  <si>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</si>
  <si>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</si>
  <si>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</si>
  <si>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</si>
  <si>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</si>
  <si>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</si>
  <si>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</si>
  <si>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</si>
  <si>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</si>
  <si>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</si>
  <si>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</si>
  <si>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</si>
  <si>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</si>
  <si>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</si>
  <si>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</si>
  <si>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</si>
  <si>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</si>
  <si>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</si>
  <si>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</si>
  <si>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</si>
  <si>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</si>
  <si>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</si>
  <si>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</si>
  <si>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</si>
  <si>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</si>
  <si>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</si>
  <si>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</si>
  <si>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</si>
  <si>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</si>
  <si>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</si>
  <si>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</si>
  <si>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</si>
  <si>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</si>
  <si>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</si>
  <si>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</si>
  <si>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</si>
  <si>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</si>
  <si>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</si>
  <si>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</si>
  <si>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</si>
  <si>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</si>
  <si>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</si>
  <si>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</si>
  <si>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</si>
  <si>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</si>
  <si>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</si>
  <si>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</si>
  <si>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</si>
  <si>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</si>
  <si>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</si>
  <si>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</si>
  <si>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</si>
  <si>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</si>
  <si>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</si>
  <si>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</si>
  <si>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</si>
  <si>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</si>
  <si>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</si>
  <si>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</si>
  <si>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</si>
  <si>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</si>
  <si>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</si>
  <si>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</si>
  <si>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</si>
  <si>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</si>
  <si>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</si>
  <si>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</si>
  <si>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</si>
  <si>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</si>
  <si>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</si>
  <si>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</si>
  <si>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</si>
  <si>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</si>
  <si>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</si>
  <si>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</si>
  <si>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</si>
  <si>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</si>
  <si>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</si>
  <si>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</si>
  <si>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</si>
  <si>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</si>
  <si>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</si>
  <si>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</si>
  <si>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</si>
  <si>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</si>
  <si>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</si>
  <si>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</si>
  <si>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</si>
  <si>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</si>
  <si>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</si>
  <si>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</si>
  <si>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</si>
  <si>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</si>
  <si>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</si>
  <si>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</si>
  <si>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</si>
  <si>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</si>
  <si>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</si>
  <si>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</si>
  <si>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</si>
  <si>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</si>
  <si>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</si>
  <si>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</si>
  <si>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</si>
  <si>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</si>
  <si>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</si>
  <si>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</si>
  <si>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</si>
  <si>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</si>
  <si>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</si>
  <si>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</si>
  <si>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</si>
  <si>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</si>
  <si>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</si>
  <si>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</si>
  <si>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</si>
  <si>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</si>
  <si>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</si>
  <si>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</si>
  <si>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</si>
  <si>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</si>
  <si>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</si>
  <si>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</si>
  <si>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</si>
  <si>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</si>
  <si>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</si>
  <si>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</si>
  <si>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</si>
  <si>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</si>
  <si>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</si>
  <si>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</si>
  <si>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</si>
  <si>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</si>
  <si>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</si>
  <si>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</si>
  <si>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</si>
  <si>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</si>
  <si>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</si>
  <si>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</si>
  <si>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</si>
  <si>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</si>
  <si>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</si>
  <si>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</si>
  <si>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</si>
  <si>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</si>
  <si>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</si>
  <si>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</si>
  <si>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</si>
  <si>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</si>
  <si>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</si>
  <si>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</si>
  <si>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</si>
  <si>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</si>
  <si>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</si>
  <si>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</si>
  <si>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</si>
  <si>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</si>
  <si>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</si>
  <si>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</si>
  <si>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</si>
  <si>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</si>
  <si>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</si>
  <si>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</si>
  <si>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</si>
  <si>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</si>
  <si>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</si>
  <si>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</si>
  <si>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</si>
  <si>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</si>
  <si>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</si>
  <si>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</si>
  <si>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</si>
  <si>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</si>
  <si>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</si>
  <si>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</si>
  <si>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</si>
  <si>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</si>
  <si>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</si>
  <si>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</si>
  <si>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</si>
  <si>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</si>
  <si>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</si>
  <si>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</si>
  <si>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</si>
  <si>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</si>
  <si>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</si>
  <si>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</si>
  <si>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</si>
  <si>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</si>
  <si>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</si>
  <si>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</si>
  <si>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</si>
  <si>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</si>
  <si>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</si>
  <si>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</si>
  <si>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</si>
  <si>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</si>
  <si>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</si>
  <si>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</si>
  <si>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</si>
  <si>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</si>
  <si>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</si>
  <si>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</si>
  <si>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</si>
  <si>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</si>
  <si>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</si>
  <si>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</si>
  <si>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</si>
  <si>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</si>
  <si>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</si>
  <si>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</si>
  <si>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</si>
  <si>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</si>
  <si>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</si>
  <si>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</si>
  <si>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</si>
  <si>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</si>
  <si>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</si>
  <si>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</si>
  <si>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</si>
  <si>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</si>
  <si>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</si>
  <si>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</si>
  <si>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</si>
  <si>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</si>
  <si>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</si>
  <si>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</si>
  <si>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</si>
  <si>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</si>
  <si>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</si>
  <si>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</si>
  <si>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</si>
  <si>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</si>
  <si>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</si>
  <si>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</si>
  <si>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</si>
  <si>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</si>
  <si>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</si>
  <si>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</si>
  <si>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</si>
  <si>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</si>
  <si>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</si>
  <si>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</si>
  <si>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</si>
  <si>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</si>
  <si>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</si>
  <si>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</si>
  <si>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</si>
  <si>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</si>
  <si>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</si>
  <si>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</si>
  <si>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</si>
  <si>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</si>
  <si>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</si>
  <si>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</si>
  <si>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</si>
  <si>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</si>
  <si>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</si>
  <si>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</si>
  <si>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</si>
  <si>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</si>
  <si>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</si>
  <si>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</si>
  <si>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</si>
  <si>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</si>
  <si>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</si>
  <si>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</si>
  <si>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</si>
  <si>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</si>
  <si>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</si>
  <si>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</si>
  <si>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</si>
  <si>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</si>
  <si>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</si>
  <si>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</si>
  <si>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</si>
  <si>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</si>
  <si>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</si>
  <si>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</si>
  <si>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</si>
  <si>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</si>
  <si>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</si>
  <si>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</si>
  <si>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</si>
  <si>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</si>
  <si>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</si>
  <si>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</si>
  <si>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</si>
  <si>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</si>
  <si>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</si>
  <si>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</si>
  <si>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</si>
  <si>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</si>
  <si>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</si>
  <si>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</si>
  <si>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</si>
  <si>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</si>
  <si>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</si>
  <si>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</si>
  <si>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</si>
  <si>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</si>
  <si>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</si>
  <si>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</si>
  <si>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</si>
  <si>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</si>
  <si>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</si>
  <si>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</si>
  <si>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</si>
  <si>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</si>
  <si>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</si>
  <si>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</si>
  <si>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</si>
  <si>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</si>
  <si>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</si>
  <si>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</si>
  <si>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</si>
  <si>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</si>
  <si>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</si>
  <si>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</si>
  <si>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</si>
  <si>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</si>
  <si>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</si>
  <si>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</si>
  <si>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</si>
  <si>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</si>
  <si>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</si>
  <si>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</si>
  <si>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</si>
  <si>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</si>
  <si>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</si>
  <si>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</si>
  <si>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</si>
  <si>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</si>
  <si>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</si>
  <si>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</si>
  <si>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</si>
  <si>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</si>
  <si>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</si>
  <si>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</si>
  <si>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</si>
  <si>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</si>
  <si>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</si>
  <si>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</si>
  <si>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</si>
  <si>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</si>
  <si>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</si>
  <si>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</si>
  <si>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</si>
  <si>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</si>
  <si>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</si>
  <si>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</si>
  <si>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</si>
  <si>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</si>
  <si>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</si>
  <si>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</si>
  <si>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</si>
  <si>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</si>
  <si>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</si>
  <si>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</si>
  <si>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</si>
  <si>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</si>
  <si>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</si>
  <si>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</si>
  <si>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</si>
  <si>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</si>
  <si>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</si>
  <si>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</si>
  <si>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</si>
  <si>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</si>
  <si>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</si>
  <si>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</si>
  <si>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</si>
  <si>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</si>
  <si>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</si>
  <si>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</si>
  <si>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</si>
  <si>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</si>
  <si>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</si>
  <si>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</si>
  <si>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</si>
  <si>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</si>
  <si>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</si>
  <si>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</si>
  <si>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</si>
  <si>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</si>
  <si>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</si>
  <si>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</si>
  <si>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</si>
  <si>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</si>
  <si>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</si>
  <si>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</si>
  <si>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</si>
  <si>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</si>
  <si>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</si>
  <si>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</si>
  <si>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</si>
  <si>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</si>
  <si>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</si>
  <si>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</si>
  <si>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</si>
  <si>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</si>
  <si>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</si>
  <si>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</si>
  <si>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</si>
  <si>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</si>
  <si>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</si>
  <si>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</si>
  <si>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</si>
  <si>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</si>
  <si>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</si>
  <si>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</si>
  <si>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</si>
  <si>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</si>
  <si>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</si>
  <si>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</si>
  <si>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</si>
  <si>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</si>
  <si>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</si>
  <si>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</si>
  <si>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</si>
  <si>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</si>
  <si>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</si>
  <si>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</si>
  <si>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</si>
  <si>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</si>
  <si>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</si>
  <si>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</si>
  <si>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</si>
  <si>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</si>
  <si>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</si>
  <si>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</si>
  <si>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</si>
  <si>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</si>
  <si>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</si>
  <si>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</si>
  <si>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</si>
  <si>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</si>
  <si>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</si>
  <si>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</si>
  <si>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</si>
  <si>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</si>
  <si>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</si>
  <si>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</si>
  <si>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</si>
  <si>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</si>
  <si>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</si>
  <si>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</si>
  <si>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</si>
  <si>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</si>
  <si>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</si>
  <si>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</si>
  <si>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</si>
  <si>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</si>
  <si>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</si>
  <si>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</si>
  <si>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</si>
  <si>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</si>
  <si>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</si>
  <si>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</si>
  <si>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</si>
  <si>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</si>
  <si>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</si>
  <si>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</si>
  <si>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</si>
  <si>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</si>
  <si>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</si>
  <si>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</si>
  <si>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</si>
  <si>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</si>
  <si>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</si>
  <si>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</si>
  <si>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</si>
  <si>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</si>
  <si>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</si>
  <si>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</si>
  <si>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</si>
  <si>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</si>
  <si>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</si>
  <si>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</si>
  <si>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</si>
  <si>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</si>
  <si>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</si>
  <si>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</si>
  <si>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</si>
  <si>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</si>
  <si>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</si>
  <si>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</si>
  <si>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</si>
  <si>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</si>
  <si>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</si>
  <si>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</si>
  <si>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</si>
  <si>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</si>
  <si>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</si>
  <si>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</si>
  <si>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</si>
  <si>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</si>
  <si>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</si>
  <si>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</si>
  <si>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</si>
  <si>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</si>
  <si>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</si>
  <si>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</si>
  <si>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</si>
  <si>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</si>
  <si>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</si>
  <si>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</si>
  <si>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</si>
  <si>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</si>
  <si>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</si>
  <si>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</si>
  <si>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</si>
  <si>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</si>
  <si>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</si>
  <si>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</si>
  <si>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</si>
  <si>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</si>
  <si>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</si>
  <si>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</si>
  <si>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</si>
  <si>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</si>
  <si>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</si>
  <si>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</si>
  <si>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</si>
  <si>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</si>
  <si>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</si>
  <si>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</si>
  <si>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</si>
  <si>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</si>
  <si>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</si>
  <si>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</si>
  <si>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</si>
  <si>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</si>
  <si>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</si>
  <si>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</si>
  <si>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</si>
  <si>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</si>
  <si>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</si>
  <si>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</si>
  <si>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</si>
  <si>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</si>
  <si>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</si>
  <si>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</si>
  <si>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</si>
  <si>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</si>
  <si>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</si>
  <si>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</si>
  <si>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</si>
  <si>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</si>
  <si>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</si>
  <si>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</si>
  <si>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</si>
  <si>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</si>
  <si>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</si>
  <si>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</si>
  <si>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</si>
  <si>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</si>
  <si>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</si>
  <si>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</si>
  <si>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</si>
  <si>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</si>
  <si>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</si>
  <si>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</si>
  <si>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</si>
  <si>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</si>
  <si>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</si>
  <si>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</si>
  <si>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</si>
  <si>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</si>
  <si>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</si>
  <si>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</si>
  <si>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</si>
  <si>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</si>
  <si>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</si>
  <si>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</si>
  <si>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</si>
  <si>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</si>
  <si>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</si>
  <si>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</si>
  <si>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</si>
  <si>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</si>
  <si>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</si>
  <si>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</si>
  <si>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</si>
  <si>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</si>
  <si>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</si>
  <si>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</si>
  <si>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</si>
  <si>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</si>
  <si>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</si>
  <si>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</si>
  <si>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</si>
  <si>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</si>
  <si>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</si>
  <si>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</si>
  <si>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</si>
  <si>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</si>
  <si>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</si>
  <si>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</si>
  <si>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</si>
  <si>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</si>
  <si>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</si>
  <si>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</si>
  <si>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</si>
  <si>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</si>
  <si>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</si>
  <si>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</si>
  <si>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</si>
  <si>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</si>
  <si>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</si>
  <si>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</si>
  <si>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</si>
  <si>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</si>
  <si>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</si>
  <si>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</si>
  <si>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</si>
  <si>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</si>
  <si>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</si>
  <si>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</si>
  <si>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</si>
  <si>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</si>
  <si>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</si>
  <si>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</si>
  <si>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</si>
  <si>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</si>
  <si>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</si>
  <si>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</si>
  <si>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</si>
  <si>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</si>
  <si>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</si>
  <si>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</si>
  <si>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</si>
  <si>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</si>
  <si>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</si>
  <si>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</si>
  <si>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</si>
  <si>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</si>
  <si>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</si>
  <si>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</si>
  <si>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</si>
  <si>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</si>
  <si>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</si>
  <si>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</si>
  <si>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</si>
  <si>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</si>
  <si>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</si>
  <si>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</si>
  <si>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</si>
  <si>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</si>
  <si>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</si>
  <si>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</si>
  <si>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</si>
  <si>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</si>
  <si>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</si>
  <si>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</si>
  <si>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</si>
  <si>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</si>
  <si>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</si>
  <si>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</si>
  <si>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</si>
  <si>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</si>
  <si>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</si>
  <si>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</si>
  <si>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</si>
  <si>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</si>
  <si>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</si>
  <si>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</si>
  <si>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</si>
  <si>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</si>
  <si>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</si>
  <si>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</si>
  <si>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</si>
  <si>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</si>
  <si>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</si>
  <si>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</si>
  <si>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</si>
  <si>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</si>
  <si>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</si>
  <si>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</si>
  <si>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</si>
  <si>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</si>
  <si>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</si>
  <si>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</si>
  <si>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</si>
  <si>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</si>
  <si>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</si>
  <si>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</si>
  <si>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</si>
  <si>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</si>
  <si>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</si>
  <si>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</si>
  <si>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</si>
  <si>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</si>
  <si>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</si>
  <si>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</si>
  <si>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</si>
  <si>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</si>
  <si>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</si>
  <si>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</si>
  <si>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</si>
  <si>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</si>
  <si>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</si>
  <si>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</si>
  <si>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</si>
  <si>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</si>
  <si>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</si>
  <si>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</si>
  <si>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</si>
  <si>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</si>
  <si>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</si>
  <si>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</si>
  <si>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</si>
  <si>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</si>
  <si>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</si>
  <si>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</si>
  <si>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</si>
  <si>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</si>
  <si>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</si>
  <si>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</si>
  <si>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</si>
  <si>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</si>
  <si>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</si>
  <si>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</si>
  <si>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</si>
  <si>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</si>
  <si>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</si>
  <si>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</si>
  <si>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</si>
  <si>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</si>
  <si>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</si>
  <si>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</si>
  <si>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</si>
  <si>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</si>
  <si>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</si>
  <si>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</si>
  <si>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</si>
  <si>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</si>
  <si>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</si>
  <si>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</si>
  <si>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</si>
  <si>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</si>
  <si>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</si>
  <si>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</si>
  <si>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</si>
  <si>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</si>
  <si>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</si>
  <si>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</si>
  <si>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</si>
  <si>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</si>
  <si>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</si>
  <si>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</si>
  <si>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</si>
  <si>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</si>
  <si>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</si>
  <si>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</si>
  <si>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</si>
  <si>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</si>
  <si>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</si>
  <si>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</si>
  <si>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</si>
  <si>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</si>
  <si>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</si>
  <si>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</si>
  <si>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</si>
  <si>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</si>
  <si>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</si>
  <si>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</si>
  <si>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</si>
  <si>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</si>
  <si>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</si>
  <si>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</si>
  <si>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</si>
  <si>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</si>
  <si>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</si>
  <si>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</si>
  <si>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</si>
  <si>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</si>
  <si>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</si>
  <si>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</si>
  <si>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</si>
  <si>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</si>
  <si>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</si>
  <si>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</si>
  <si>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</si>
  <si>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</si>
  <si>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</si>
  <si>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</si>
  <si>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</si>
  <si>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</si>
  <si>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</si>
  <si>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</si>
  <si>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</si>
  <si>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</si>
  <si>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</si>
  <si>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</si>
  <si>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</si>
  <si>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</si>
  <si>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</si>
  <si>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</si>
  <si>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</si>
  <si>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</si>
  <si>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</si>
  <si>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</si>
  <si>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</si>
  <si>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</si>
  <si>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</si>
  <si>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</si>
  <si>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</si>
  <si>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</si>
  <si>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</si>
  <si>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</si>
  <si>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</si>
  <si>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</si>
  <si>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</si>
  <si>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</si>
  <si>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</si>
  <si>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</si>
  <si>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</si>
  <si>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</si>
  <si>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</si>
  <si>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</si>
  <si>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</si>
  <si>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</si>
  <si>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</si>
  <si>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</si>
  <si>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</si>
  <si>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</si>
  <si>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</si>
  <si>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</si>
  <si>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</si>
  <si>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</si>
  <si>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</si>
  <si>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</si>
  <si>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</si>
  <si>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</si>
  <si>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</si>
  <si>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</si>
  <si>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</si>
  <si>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</si>
  <si>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</si>
  <si>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</si>
  <si>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</si>
  <si>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</si>
  <si>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</si>
  <si>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</si>
  <si>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</si>
  <si>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</si>
  <si>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</si>
  <si>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</si>
  <si>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</si>
  <si>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</si>
  <si>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</si>
  <si>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</si>
  <si>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</si>
  <si>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</si>
  <si>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</si>
  <si>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</si>
  <si>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</si>
  <si>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</si>
  <si>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</si>
  <si>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</si>
  <si>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</si>
  <si>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</si>
  <si>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</si>
  <si>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</si>
  <si>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</si>
  <si>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</si>
  <si>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</si>
  <si>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</si>
  <si>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</si>
  <si>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</si>
  <si>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</si>
  <si>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</si>
  <si>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</si>
  <si>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</si>
  <si>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</si>
  <si>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</si>
  <si>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</si>
  <si>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</si>
  <si>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</si>
  <si>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</si>
  <si>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</si>
  <si>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</si>
  <si>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</si>
  <si>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</si>
  <si>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</si>
  <si>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</si>
  <si>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</si>
  <si>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</si>
  <si>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</si>
  <si>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</si>
  <si>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</si>
  <si>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</si>
  <si>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</si>
  <si>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</si>
  <si>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</si>
  <si>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</si>
  <si>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</si>
  <si>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</si>
  <si>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</si>
  <si>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</si>
  <si>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</si>
  <si>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</si>
  <si>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</si>
  <si>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</si>
  <si>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</si>
  <si>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</si>
  <si>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</si>
  <si>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</si>
  <si>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</si>
  <si>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</si>
  <si>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</si>
  <si>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</si>
  <si>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</si>
  <si>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</si>
  <si>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</si>
  <si>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</si>
  <si>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</si>
  <si>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</si>
  <si>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</si>
  <si>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</si>
  <si>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</si>
  <si>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</si>
  <si>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</si>
  <si>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</si>
  <si>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</si>
  <si>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</si>
  <si>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</si>
  <si>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</si>
  <si>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</si>
  <si>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</si>
  <si>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</si>
  <si>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</si>
  <si>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</si>
  <si>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</si>
  <si>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</si>
  <si>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</si>
  <si>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</si>
  <si>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</si>
  <si>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</si>
  <si>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</si>
  <si>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</si>
  <si>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</si>
  <si>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</si>
  <si>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</si>
  <si>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</si>
  <si>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</si>
  <si>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</si>
  <si>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</si>
  <si>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</si>
  <si>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</si>
  <si>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</si>
  <si>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</si>
  <si>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</si>
  <si>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</si>
  <si>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</si>
  <si>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</si>
  <si>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</si>
  <si>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</si>
  <si>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</si>
  <si>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</si>
  <si>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</si>
  <si>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</si>
  <si>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</si>
  <si>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</si>
  <si>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</si>
  <si>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</si>
  <si>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</si>
  <si>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</si>
  <si>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</si>
  <si>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</si>
  <si>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</si>
  <si>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</si>
  <si>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</si>
  <si>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</si>
  <si>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</si>
  <si>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</si>
  <si>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</si>
  <si>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</si>
  <si>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</si>
  <si>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</si>
  <si>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</si>
  <si>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</si>
  <si>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</si>
  <si>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</si>
  <si>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</si>
  <si>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</si>
  <si>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</si>
  <si>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</si>
  <si>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</si>
  <si>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</si>
  <si>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</si>
  <si>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</si>
  <si>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</si>
  <si>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</si>
  <si>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</si>
  <si>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</si>
  <si>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</si>
  <si>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</si>
  <si>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</si>
  <si>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</si>
  <si>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</si>
  <si>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</si>
  <si>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</si>
  <si>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</si>
  <si>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</si>
  <si>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</si>
  <si>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</si>
  <si>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</si>
  <si>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</si>
  <si>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</si>
  <si>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</si>
  <si>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</si>
  <si>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</si>
  <si>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</si>
  <si>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</si>
  <si>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</si>
  <si>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</si>
  <si>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</si>
  <si>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</si>
  <si>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</si>
  <si>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</si>
  <si>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</si>
  <si>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</si>
  <si>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</si>
  <si>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</si>
  <si>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</si>
  <si>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</si>
  <si>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</si>
  <si>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</si>
  <si>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</si>
  <si>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</si>
  <si>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</si>
  <si>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</si>
  <si>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</si>
  <si>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</si>
  <si>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</si>
  <si>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</si>
  <si>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</si>
  <si>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</si>
  <si>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</si>
  <si>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</si>
  <si>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</si>
  <si>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</si>
  <si>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</si>
  <si>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</si>
  <si>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</si>
  <si>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</si>
  <si>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</si>
  <si>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</si>
  <si>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</si>
  <si>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</si>
  <si>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</si>
  <si>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</si>
  <si>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</si>
  <si>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</si>
  <si>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</si>
  <si>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</si>
  <si>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</si>
  <si>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</si>
  <si>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</si>
  <si>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</si>
  <si>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</si>
  <si>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</si>
  <si>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</si>
  <si>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</si>
  <si>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</si>
  <si>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</si>
  <si>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</si>
  <si>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</si>
  <si>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</si>
  <si>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</si>
  <si>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</si>
  <si>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</si>
  <si>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</si>
  <si>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</si>
  <si>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</si>
  <si>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</si>
  <si>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</si>
  <si>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</si>
  <si>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</si>
  <si>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</si>
  <si>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</si>
  <si>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</si>
  <si>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</si>
  <si>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</si>
  <si>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</si>
  <si>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</si>
  <si>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</si>
  <si>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</si>
  <si>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</si>
  <si>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</si>
  <si>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</si>
  <si>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</si>
  <si>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</si>
  <si>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</si>
  <si>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</si>
  <si>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</si>
  <si>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</si>
  <si>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</si>
  <si>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</si>
  <si>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</si>
  <si>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</si>
  <si>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</si>
  <si>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</si>
  <si>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</si>
  <si>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</si>
  <si>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</si>
  <si>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</si>
  <si>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</si>
  <si>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</si>
  <si>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</si>
  <si>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</si>
  <si>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</si>
  <si>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</si>
  <si>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</si>
  <si>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</si>
  <si>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</si>
  <si>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</si>
  <si>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</si>
  <si>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</si>
  <si>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</si>
  <si>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</si>
  <si>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</si>
  <si>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</si>
  <si>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</si>
  <si>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</si>
  <si>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</si>
  <si>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</si>
  <si>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</si>
  <si>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</si>
  <si>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</si>
  <si>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</si>
  <si>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</si>
  <si>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</si>
  <si>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</si>
  <si>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</si>
  <si>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</si>
  <si>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</si>
  <si>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</si>
  <si>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</si>
  <si>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</si>
  <si>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</si>
  <si>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</si>
  <si>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</si>
  <si>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</si>
  <si>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</si>
  <si>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</si>
  <si>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</si>
  <si>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</si>
  <si>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</si>
  <si>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</si>
  <si>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</si>
  <si>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</si>
  <si>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</si>
  <si>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</si>
  <si>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</si>
  <si>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</si>
  <si>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</si>
  <si>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</si>
  <si>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</si>
  <si>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</si>
  <si>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</si>
  <si>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</si>
  <si>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</si>
  <si>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</si>
  <si>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</si>
  <si>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</si>
  <si>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</si>
  <si>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</si>
  <si>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</si>
  <si>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</si>
  <si>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</si>
  <si>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</si>
  <si>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</si>
  <si>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</si>
  <si>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</si>
  <si>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</si>
  <si>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</si>
  <si>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</si>
  <si>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</si>
  <si>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</si>
  <si>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</si>
  <si>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</si>
  <si>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</si>
  <si>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</si>
  <si>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</si>
  <si>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</si>
  <si>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</si>
  <si>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</si>
  <si>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</si>
  <si>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</si>
  <si>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</si>
  <si>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</si>
  <si>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</si>
  <si>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</si>
  <si>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</si>
  <si>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</si>
  <si>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</si>
  <si>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</si>
  <si>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</si>
  <si>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</si>
  <si>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</si>
  <si>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</si>
  <si>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</si>
  <si>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</si>
  <si>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</si>
  <si>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</si>
  <si>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</si>
  <si>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</si>
  <si>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</si>
  <si>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</si>
  <si>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</si>
  <si>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</si>
  <si>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</si>
  <si>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</si>
  <si>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</si>
  <si>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</si>
  <si>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</si>
  <si>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</si>
  <si>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</si>
  <si>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</si>
  <si>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</si>
  <si>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</si>
  <si>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</si>
  <si>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</si>
  <si>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</si>
  <si>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</si>
  <si>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</si>
  <si>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</si>
  <si>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</si>
  <si>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</si>
  <si>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</si>
  <si>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</si>
  <si>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</si>
  <si>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</si>
  <si>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</si>
  <si>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</si>
  <si>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</si>
  <si>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</si>
  <si>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</si>
  <si>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</si>
  <si>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</si>
  <si>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</si>
  <si>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</si>
  <si>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</si>
  <si>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</si>
  <si>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</si>
  <si>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</si>
  <si>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</si>
  <si>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</si>
  <si>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</si>
  <si>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</si>
  <si>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</si>
  <si>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</si>
  <si>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</si>
  <si>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</si>
  <si>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</si>
  <si>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</si>
  <si>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</si>
  <si>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</si>
  <si>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</si>
  <si>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</si>
  <si>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</si>
  <si>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</si>
  <si>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</si>
  <si>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</si>
  <si>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</si>
  <si>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</si>
  <si>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</si>
  <si>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</si>
  <si>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</si>
  <si>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</si>
  <si>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</si>
  <si>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</si>
  <si>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</si>
  <si>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</si>
  <si>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</si>
  <si>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</si>
  <si>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</si>
  <si>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</si>
  <si>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</si>
  <si>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</si>
  <si>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</si>
  <si>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</si>
  <si>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</si>
  <si>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</si>
  <si>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</si>
  <si>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</si>
  <si>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</si>
  <si>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</si>
  <si>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</si>
  <si>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</si>
  <si>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</si>
  <si>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</si>
  <si>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</si>
  <si>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</si>
  <si>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</si>
  <si>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</si>
  <si>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</si>
  <si>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</si>
  <si>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</si>
  <si>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</si>
  <si>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</si>
  <si>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</si>
  <si>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</si>
  <si>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</si>
  <si>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</si>
  <si>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</si>
  <si>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</si>
  <si>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</si>
  <si>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</si>
  <si>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</si>
  <si>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</si>
  <si>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</si>
  <si>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</si>
  <si>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</si>
  <si>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</si>
  <si>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</si>
  <si>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</si>
  <si>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</si>
  <si>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</si>
  <si>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</si>
  <si>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</si>
  <si>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</si>
  <si>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</si>
  <si>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</si>
  <si>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</si>
  <si>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</si>
  <si>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</si>
  <si>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</si>
  <si>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</si>
  <si>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</si>
  <si>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</si>
  <si>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</si>
  <si>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</si>
  <si>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</si>
  <si>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</si>
  <si>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</si>
  <si>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</si>
  <si>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</si>
  <si>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</si>
  <si>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</si>
  <si>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</si>
  <si>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</si>
  <si>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</si>
  <si>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</si>
  <si>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</si>
  <si>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</si>
  <si>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</si>
  <si>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</si>
  <si>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</si>
  <si>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</si>
  <si>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</si>
  <si>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</si>
  <si>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</si>
  <si>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</si>
  <si>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</si>
  <si>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</si>
  <si>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</si>
  <si>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</si>
  <si>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</si>
  <si>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</si>
  <si>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</si>
  <si>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</si>
  <si>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</si>
  <si>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</si>
  <si>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</si>
  <si>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</si>
  <si>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</si>
  <si>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</si>
  <si>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</si>
  <si>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</si>
  <si>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</si>
  <si>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</si>
  <si>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</si>
  <si>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</si>
  <si>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</si>
  <si>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</si>
  <si>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</si>
  <si>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</si>
  <si>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</si>
  <si>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</si>
  <si>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</si>
  <si>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</si>
  <si>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</si>
  <si>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</si>
  <si>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</si>
  <si>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</si>
  <si>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</si>
  <si>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</si>
  <si>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</si>
  <si>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</si>
  <si>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</si>
  <si>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</si>
  <si>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</si>
  <si>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</si>
  <si>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</si>
  <si>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</si>
  <si>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</si>
  <si>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</si>
  <si>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</si>
  <si>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</si>
  <si>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</si>
  <si>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</si>
  <si>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</si>
  <si>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</si>
  <si>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</si>
  <si>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</si>
  <si>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</si>
  <si>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</si>
  <si>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</si>
  <si>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</si>
  <si>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</si>
  <si>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</si>
  <si>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</si>
  <si>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</si>
  <si>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</si>
  <si>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</si>
  <si>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</si>
  <si>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</si>
  <si>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</si>
  <si>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</si>
  <si>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</si>
  <si>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</si>
  <si>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</si>
  <si>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</si>
  <si>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</si>
  <si>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</si>
  <si>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</si>
  <si>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</si>
  <si>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</si>
  <si>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</si>
  <si>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</si>
  <si>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</si>
  <si>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</si>
  <si>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</si>
  <si>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</si>
  <si>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</si>
  <si>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</si>
  <si>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</si>
  <si>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</si>
  <si>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</si>
  <si>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</si>
  <si>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</si>
  <si>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</si>
  <si>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</si>
  <si>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</si>
  <si>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</si>
  <si>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</si>
  <si>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</si>
  <si>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</si>
  <si>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</si>
  <si>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</si>
  <si>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</si>
  <si>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</si>
  <si>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</si>
  <si>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</si>
  <si>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</si>
  <si>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</si>
  <si>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</si>
  <si>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</si>
  <si>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</si>
  <si>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</si>
  <si>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</si>
  <si>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</si>
  <si>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</si>
  <si>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</si>
  <si>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</si>
  <si>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</si>
  <si>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</si>
  <si>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</si>
  <si>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</si>
  <si>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</si>
  <si>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</si>
  <si>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</si>
  <si>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</si>
  <si>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</si>
  <si>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</si>
  <si>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</si>
  <si>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</si>
  <si>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</si>
  <si>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</si>
  <si>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</si>
  <si>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</si>
  <si>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</si>
  <si>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</si>
  <si>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</si>
  <si>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</si>
  <si>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</si>
  <si>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</si>
  <si>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</si>
  <si>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</si>
  <si>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</si>
  <si>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</si>
  <si>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</si>
  <si>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</si>
  <si>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</si>
  <si>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</si>
  <si>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</si>
  <si>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</si>
  <si>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</si>
  <si>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</si>
  <si>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</si>
  <si>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</si>
  <si>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</si>
  <si>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</si>
  <si>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</si>
  <si>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</si>
  <si>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</si>
  <si>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</si>
  <si>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</si>
  <si>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</si>
  <si>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</si>
  <si>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</si>
  <si>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</si>
  <si>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</si>
  <si>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</si>
  <si>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</si>
  <si>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</si>
  <si>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</si>
  <si>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</si>
  <si>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</si>
  <si>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</si>
  <si>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</si>
  <si>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</si>
  <si>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</si>
  <si>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</si>
  <si>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</si>
  <si>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</si>
  <si>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</si>
  <si>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</si>
  <si>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</si>
  <si>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</si>
  <si>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</si>
  <si>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</si>
  <si>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</si>
  <si>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</si>
  <si>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</si>
  <si>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</si>
  <si>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</si>
  <si>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</si>
  <si>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</si>
  <si>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</si>
  <si>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</si>
  <si>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</si>
  <si>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</si>
  <si>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</si>
  <si>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</si>
  <si>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</si>
  <si>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</si>
  <si>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</si>
  <si>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</si>
  <si>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</si>
  <si>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</si>
  <si>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</si>
  <si>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</si>
  <si>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</si>
  <si>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</si>
  <si>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</si>
  <si>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</si>
  <si>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</si>
  <si>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</si>
  <si>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</si>
  <si>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</si>
  <si>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</si>
  <si>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</si>
  <si>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</si>
  <si>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</si>
  <si>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</si>
  <si>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</si>
  <si>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</si>
  <si>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</si>
  <si>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</si>
  <si>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</si>
  <si>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</si>
  <si>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</si>
  <si>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</si>
  <si>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</si>
  <si>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</si>
  <si>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</si>
  <si>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</si>
  <si>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</si>
  <si>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</si>
  <si>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</si>
  <si>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</si>
  <si>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</si>
  <si>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</si>
  <si>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</si>
  <si>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</si>
  <si>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</si>
  <si>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</si>
  <si>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</si>
  <si>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</si>
  <si>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</si>
  <si>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</si>
  <si>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</si>
  <si>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</si>
  <si>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</si>
  <si>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</si>
  <si>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</si>
  <si>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</si>
  <si>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</si>
  <si>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</si>
  <si>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</si>
  <si>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</si>
  <si>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</si>
  <si>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</si>
  <si>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</si>
  <si>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</si>
  <si>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</si>
  <si>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</si>
  <si>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</si>
  <si>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</si>
  <si>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</si>
  <si>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</si>
  <si>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</si>
  <si>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</si>
  <si>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</si>
  <si>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</si>
  <si>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</si>
  <si>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</si>
  <si>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</si>
  <si>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</si>
  <si>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</si>
  <si>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</si>
  <si>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</si>
  <si>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</si>
  <si>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</si>
  <si>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</si>
  <si>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</si>
  <si>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</si>
  <si>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</si>
  <si>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</si>
  <si>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</si>
  <si>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</si>
  <si>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</si>
  <si>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</si>
  <si>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</si>
  <si>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</si>
  <si>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</si>
  <si>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</si>
  <si>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</si>
  <si>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</si>
  <si>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</si>
  <si>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</si>
  <si>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</si>
  <si>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</si>
  <si>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</si>
  <si>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</si>
  <si>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</si>
  <si>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</si>
  <si>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</si>
  <si>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</si>
  <si>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</si>
  <si>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</si>
  <si>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</si>
  <si>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</si>
  <si>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</si>
  <si>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</si>
  <si>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</si>
  <si>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</si>
  <si>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</si>
  <si>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</si>
  <si>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</si>
  <si>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</si>
  <si>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</si>
  <si>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</si>
  <si>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</si>
  <si>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</si>
  <si>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</si>
  <si>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</si>
  <si>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</si>
  <si>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</si>
  <si>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</si>
  <si>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</si>
  <si>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</si>
  <si>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</si>
  <si>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</si>
  <si>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</si>
  <si>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</si>
  <si>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</si>
  <si>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</si>
  <si>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</si>
  <si>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</si>
  <si>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</si>
  <si>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</si>
  <si>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</si>
  <si>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</si>
  <si>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</si>
  <si>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</si>
  <si>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</si>
  <si>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</si>
  <si>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</si>
  <si>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</si>
  <si>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</si>
  <si>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</si>
  <si>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</si>
  <si>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</si>
  <si>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</si>
  <si>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</si>
  <si>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</si>
  <si>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</si>
  <si>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</si>
  <si>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</si>
  <si>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</si>
  <si>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</si>
  <si>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</si>
  <si>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</si>
  <si>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</si>
  <si>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</si>
  <si>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</si>
  <si>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</si>
  <si>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</si>
  <si>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</si>
  <si>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</si>
  <si>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</si>
  <si>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</si>
  <si>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</si>
  <si>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</si>
  <si>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</si>
  <si>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</si>
  <si>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</si>
  <si>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</si>
  <si>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</si>
  <si>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</si>
  <si>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</si>
  <si>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</si>
  <si>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</si>
  <si>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</si>
  <si>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</si>
  <si>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</si>
  <si>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</si>
  <si>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</si>
  <si>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</si>
  <si>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</si>
  <si>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</si>
  <si>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</si>
  <si>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</si>
  <si>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</si>
  <si>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</si>
  <si>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</si>
  <si>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</si>
  <si>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</si>
  <si>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</si>
  <si>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</si>
  <si>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</si>
  <si>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</si>
  <si>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</si>
  <si>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</si>
  <si>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</si>
  <si>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</si>
  <si>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</si>
  <si>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</si>
  <si>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</si>
  <si>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</si>
  <si>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</si>
  <si>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</si>
  <si>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</si>
  <si>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</si>
  <si>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</si>
  <si>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</si>
  <si>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</si>
  <si>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</si>
  <si>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</si>
  <si>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</si>
  <si>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</si>
  <si>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</si>
  <si>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</si>
  <si>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</si>
  <si>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</si>
  <si>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</si>
  <si>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</si>
  <si>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</si>
  <si>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</si>
  <si>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</si>
  <si>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</si>
  <si>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</si>
  <si>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</si>
  <si>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</si>
  <si>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</si>
  <si>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</si>
  <si>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</si>
  <si>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</si>
  <si>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</si>
  <si>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</si>
  <si>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</si>
  <si>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</si>
  <si>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</si>
  <si>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</si>
  <si>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</si>
  <si>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</si>
  <si>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</si>
  <si>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</si>
  <si>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</si>
  <si>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</si>
  <si>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</si>
  <si>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</si>
  <si>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</si>
  <si>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</si>
  <si>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</si>
  <si>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</si>
  <si>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</si>
  <si>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</si>
  <si>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</si>
  <si>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</si>
  <si>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</si>
  <si>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</si>
  <si>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</si>
  <si>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北投如郡嘉园</t>
    <phoneticPr fontId="134" type="noConversion"/>
  </si>
  <si>
    <t>正商杏海苑</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</si>
  <si>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</si>
  <si>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</si>
  <si>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</si>
  <si>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</si>
  <si>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</si>
  <si>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</si>
  <si>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</si>
  <si>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</si>
  <si>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</si>
  <si>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</si>
  <si>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</si>
  <si>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</si>
  <si>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</si>
  <si>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</si>
  <si>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</si>
  <si>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</si>
  <si>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</si>
  <si>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</si>
  <si>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</si>
  <si>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</si>
  <si>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</si>
  <si>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</si>
  <si>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</si>
  <si>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</si>
  <si>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</si>
  <si>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</si>
  <si>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</si>
  <si>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</si>
  <si>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</si>
  <si>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</si>
  <si>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</si>
  <si>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</si>
  <si>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</si>
  <si>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</si>
  <si>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</si>
  <si>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</si>
  <si>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</si>
  <si>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</si>
  <si>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</si>
  <si>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</si>
  <si>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</si>
  <si>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</si>
  <si>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</si>
  <si>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</si>
  <si>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</si>
  <si>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</si>
  <si>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</si>
  <si>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</si>
  <si>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</si>
  <si>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</si>
  <si>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</si>
  <si>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</si>
  <si>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</si>
  <si>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</si>
  <si>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</si>
  <si>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</si>
  <si>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t>关于瀛海镇区级统筹集建地YZ00-0803-2006等地块共有产权房项目</t>
    <phoneticPr fontId="3" type="noConversion"/>
  </si>
  <si>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</si>
  <si>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</si>
  <si>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</si>
  <si>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</si>
  <si>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</si>
  <si>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</si>
  <si>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</si>
  <si>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</si>
  <si>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</si>
  <si>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</si>
  <si>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</si>
  <si>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</si>
  <si>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</si>
  <si>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</si>
  <si>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</si>
  <si>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</si>
  <si>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</si>
  <si>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</si>
  <si>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</si>
  <si>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</si>
  <si>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</si>
  <si>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</si>
  <si>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</si>
  <si>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</si>
  <si>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</si>
  <si>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</si>
  <si>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</si>
  <si>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</si>
  <si>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</si>
  <si>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</si>
  <si>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</si>
  <si>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</si>
  <si>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套型总建筑面积原则上不超过120平方米，严格限制套型总建筑面积在60平方米以下的套型比例</t>
    <phoneticPr fontId="24" type="noConversion"/>
  </si>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</sst>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0">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A036AC89-D367-420E-8712-23E8F121330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762000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506763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0</xdr:col>
      <xdr:colOff>0</xdr:colOff>
      <xdr:row>25</xdr:row>
      <xdr:rowOff>85724</xdr:rowOff>
    </xdr:from>
    <xdr:to>
      <xdr:col>15</xdr:col>
      <xdr:colOff>94079</xdr:colOff>
      <xdr:row>54</xdr:row>
      <xdr:rowOff>149224</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4324349"/>
          <a:ext cx="9695279" cy="5311775"/>
        </a:xfrm>
        <a:prstGeom prst="rect">
          <a:avLst/>
        </a:prstGeom>
      </xdr:spPr>
    </xdr:pic>
    <xdr:clientData/>
  </xdr:twoCellAnchor>
  <xdr:twoCellAnchor editAs="oneCell">
    <xdr:from>
      <xdr:col>10</xdr:col>
      <xdr:colOff>600075</xdr:colOff>
      <xdr:row>25</xdr:row>
      <xdr:rowOff>114300</xdr:rowOff>
    </xdr:from>
    <xdr:to>
      <xdr:col>19</xdr:col>
      <xdr:colOff>818389</xdr:colOff>
      <xdr:row>37</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twoCellAnchor editAs="oneCell">
    <xdr:from>
      <xdr:col>1</xdr:col>
      <xdr:colOff>0</xdr:colOff>
      <xdr:row>57</xdr:row>
      <xdr:rowOff>0</xdr:rowOff>
    </xdr:from>
    <xdr:to>
      <xdr:col>9</xdr:col>
      <xdr:colOff>284929</xdr:colOff>
      <xdr:row>81</xdr:row>
      <xdr:rowOff>180409</xdr:rowOff>
    </xdr:to>
    <xdr:pic>
      <xdr:nvPicPr>
        <xdr:cNvPr id="5" name="图片 4">
          <a:extLst>
            <a:ext uri="{FF2B5EF4-FFF2-40B4-BE49-F238E27FC236}">
              <a16:creationId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2023年2月13日（评估专业人员实地查勘之日）</v>
      </c>
    </row>
    <row r="13" spans="1:2" s="1199" customFormat="1">
      <c r="A13" s="1197" t="s">
        <v>529</v>
      </c>
      <c r="B13" s="1198" t="str">
        <f>'预评函-1'!A18</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29096</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29096</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0" t="s">
        <v>385</v>
      </c>
      <c r="C54" s="1547" t="s">
        <v>583</v>
      </c>
    </row>
    <row r="55" spans="1:4">
      <c r="A55" s="3543"/>
      <c r="B55" s="1550" t="s">
        <v>386</v>
      </c>
      <c r="C55" s="1547" t="s">
        <v>584</v>
      </c>
    </row>
    <row r="56" spans="1:4">
      <c r="A56" s="3543"/>
      <c r="B56" s="1550" t="s">
        <v>387</v>
      </c>
      <c r="C56" s="1547" t="s">
        <v>588</v>
      </c>
    </row>
    <row r="57" spans="1:4">
      <c r="A57" s="354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44" t="s">
        <v>2580</v>
      </c>
      <c r="J2" s="3544"/>
      <c r="K2" s="3544"/>
      <c r="L2" s="3544"/>
      <c r="M2" s="3544"/>
      <c r="N2" s="3544"/>
      <c r="O2" s="3544"/>
      <c r="P2" s="3544"/>
      <c r="Q2" s="3544"/>
      <c r="R2" s="3544"/>
    </row>
    <row r="3" spans="1:18">
      <c r="A3" s="3012" t="s">
        <v>2501</v>
      </c>
      <c r="B3" s="3013">
        <f>项目基本情况!D3</f>
        <v>44970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3.84</v>
      </c>
      <c r="D5" s="3017">
        <f>IF(ISERROR(ROUND(POWER(1+E5,A5-C5)*(POWER(1+E5,C5)-1)/(POWER(1+E5,A5)-1),3)),0,ROUND(POWER(1+E5,A5-C5)*(POWER(1+E5,C5)-1)/(POWER(1+E5,A5)-1),4))</f>
        <v>0.17660000000000001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13.85</v>
      </c>
      <c r="D6" s="3017">
        <f>IF(ISERROR(ROUND(POWER(1+E6,A6-C6)*(POWER(1+E6,C6)-1)/(POWER(1+E6,A6)-1),3)),0,ROUND(POWER(1+E6,A6-C6)*(POWER(1+E6,C6)-1)/(POWER(1+E6,A6)-1),4))</f>
        <v>0.48780000000000001</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33.869999999999997</v>
      </c>
      <c r="D7" s="3017">
        <f>IF(ISERROR(ROUND(POWER(1+E7,A7-C7)*(POWER(1+E7,C7)-1)/(POWER(1+E7,A7)-1),3)),0,ROUND(POWER(1+E7,A7-C7)*(POWER(1+E7,C7)-1)/(POWER(1+E7,A7)-1),4))</f>
        <v>0.78549999999999998</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7" sqref="C1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45" t="str">
        <f>IF(B10="北京市","北京市",C10)&amp;F10&amp;IF(结果表!G1="在建","出让国有建设用地使用权及在建建筑物",IF(结果表!G1="土地","出让国有建设用地使用权",))&amp;B9&amp;"预评估"</f>
        <v>北京市房地产市场价值预评估</v>
      </c>
      <c r="C1" s="3546"/>
      <c r="D1" s="3546"/>
      <c r="E1" s="3546"/>
      <c r="F1" s="3546"/>
      <c r="G1" s="3546"/>
      <c r="H1" s="3546"/>
      <c r="I1" s="3547"/>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44970</v>
      </c>
      <c r="C3" s="2367" t="s">
        <v>2171</v>
      </c>
      <c r="D3" s="2366">
        <f>B3</f>
        <v>44970</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48"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49"/>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70537</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55"/>
      <c r="C16" s="3556"/>
      <c r="D16" s="3557"/>
      <c r="E16" s="2406" t="s">
        <v>2194</v>
      </c>
      <c r="F16" s="3558"/>
      <c r="G16" s="3559"/>
      <c r="H16" s="3559"/>
      <c r="I16" s="3560"/>
      <c r="J16" s="2432"/>
      <c r="K16" s="2609"/>
      <c r="L16" s="2444"/>
      <c r="M16" s="2444"/>
      <c r="N16" s="2501"/>
      <c r="O16" s="2444"/>
      <c r="P16" s="2501"/>
      <c r="Q16" s="2432"/>
      <c r="R16" s="2432"/>
    </row>
    <row r="17" spans="1:28">
      <c r="A17" s="310" t="s">
        <v>2195</v>
      </c>
      <c r="B17" s="299" t="s">
        <v>2196</v>
      </c>
      <c r="C17" s="8">
        <f>'数据-汇总表'!E3</f>
        <v>1</v>
      </c>
      <c r="D17" s="2315" t="s">
        <v>2197</v>
      </c>
      <c r="E17" s="3561" t="s">
        <v>2198</v>
      </c>
      <c r="F17" s="3562"/>
      <c r="G17" s="3562"/>
      <c r="H17" s="3562"/>
      <c r="I17" s="3563"/>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64" t="s">
        <v>2202</v>
      </c>
      <c r="F18" s="3565"/>
      <c r="G18" s="3565"/>
      <c r="H18" s="3565"/>
      <c r="I18" s="3566"/>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51" t="s">
        <v>2206</v>
      </c>
      <c r="C20" s="3552"/>
      <c r="D20" s="3553" t="s">
        <v>2207</v>
      </c>
      <c r="E20" s="3554"/>
      <c r="F20" s="2639" t="s">
        <v>1056</v>
      </c>
      <c r="G20" s="2656"/>
      <c r="H20" s="2656"/>
      <c r="I20" s="2656"/>
      <c r="J20" s="2432"/>
      <c r="K20" s="3550"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5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5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68"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68"/>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68"/>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69"/>
      <c r="B30" s="299" t="s">
        <v>2218</v>
      </c>
      <c r="C30" s="3570"/>
      <c r="D30" s="3571"/>
      <c r="E30" s="2656"/>
      <c r="F30" s="2656"/>
      <c r="G30" s="2656"/>
      <c r="H30" s="2656"/>
      <c r="I30" s="2656"/>
      <c r="J30" s="2432"/>
      <c r="K30" s="2608"/>
      <c r="L30" s="2605"/>
      <c r="M30" s="2605"/>
      <c r="N30" s="2432"/>
      <c r="O30" s="2443"/>
      <c r="P30" s="2432"/>
      <c r="Q30" s="2432"/>
      <c r="R30" s="2432"/>
      <c r="S30" s="2432"/>
      <c r="T30" s="2432"/>
      <c r="U30" s="2432"/>
      <c r="V30" s="2432"/>
    </row>
    <row r="31" spans="1:28">
      <c r="A31" s="3572"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73"/>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73"/>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67" t="s">
        <v>2228</v>
      </c>
      <c r="T34" s="2421" t="str">
        <f>NUMBERSTRING(7-K34,1)&amp;"通"</f>
        <v>七通</v>
      </c>
      <c r="U34" s="2432"/>
      <c r="V34" s="2432"/>
    </row>
    <row r="35" spans="1:30">
      <c r="A35" s="2422"/>
      <c r="B35" s="3574" t="s">
        <v>2229</v>
      </c>
      <c r="C35" s="3574"/>
      <c r="D35" s="3574"/>
      <c r="E35" s="3574"/>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7"/>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8"/>
  <sheetViews>
    <sheetView workbookViewId="0">
      <selection activeCell="H44" sqref="H44"/>
    </sheetView>
  </sheetViews>
  <sheetFormatPr defaultColWidth="10.875" defaultRowHeight="14.25"/>
  <cols>
    <col min="1" max="1" width="6.125" style="3444" customWidth="1"/>
    <col min="2" max="2" width="16.375" style="3444" customWidth="1"/>
    <col min="3" max="3" width="15.5" style="3444" customWidth="1"/>
    <col min="4" max="4" width="12.75" style="3444" customWidth="1"/>
    <col min="5" max="9" width="10.875" style="3444"/>
    <col min="10" max="10" width="38.375" style="3444" customWidth="1"/>
    <col min="11" max="11" width="14.875" style="3444" customWidth="1"/>
    <col min="12" max="16384" width="10.875" style="3444"/>
  </cols>
  <sheetData>
    <row r="1" spans="1:11">
      <c r="A1" s="3575" t="s">
        <v>3387</v>
      </c>
      <c r="B1" s="3575"/>
      <c r="C1" s="3575"/>
      <c r="D1" s="3575"/>
      <c r="E1" s="3575"/>
      <c r="F1" s="3575"/>
      <c r="G1" s="3575"/>
      <c r="H1" s="3575"/>
      <c r="I1" s="3575"/>
      <c r="J1" s="3575"/>
    </row>
    <row r="2" spans="1:11" s="3443" customFormat="1" ht="23.25" customHeight="1">
      <c r="A2" s="3442" t="s">
        <v>3380</v>
      </c>
      <c r="B2" s="3442" t="s">
        <v>4277</v>
      </c>
      <c r="C2" s="3442" t="s">
        <v>3381</v>
      </c>
      <c r="D2" s="3442" t="s">
        <v>4278</v>
      </c>
      <c r="E2" s="3442" t="s">
        <v>4279</v>
      </c>
      <c r="F2" s="3442" t="s">
        <v>4280</v>
      </c>
      <c r="G2" s="3442" t="s">
        <v>4282</v>
      </c>
      <c r="H2" s="3442" t="s">
        <v>3382</v>
      </c>
      <c r="I2" s="3442" t="s">
        <v>3384</v>
      </c>
      <c r="J2" s="3442" t="s">
        <v>3385</v>
      </c>
      <c r="K2" s="3443" t="s">
        <v>3393</v>
      </c>
    </row>
    <row r="3" spans="1:11" ht="51" customHeight="1">
      <c r="A3" s="3445">
        <v>1</v>
      </c>
      <c r="B3" s="3445" t="s">
        <v>3386</v>
      </c>
      <c r="C3" s="3445" t="s">
        <v>4283</v>
      </c>
      <c r="D3" s="3445">
        <v>24480.164000000001</v>
      </c>
      <c r="E3" s="3445">
        <v>53856.360999999997</v>
      </c>
      <c r="F3" s="3445">
        <v>2.2000000000000002</v>
      </c>
      <c r="G3" s="3445">
        <v>45</v>
      </c>
      <c r="H3" s="3445">
        <v>30</v>
      </c>
      <c r="I3" s="3445">
        <v>30</v>
      </c>
      <c r="J3" s="3446" t="s">
        <v>3392</v>
      </c>
      <c r="K3" s="3444">
        <f>ROUND(F3-0.05-0.1-0.007,2)</f>
        <v>2.04</v>
      </c>
    </row>
    <row r="4" spans="1:11">
      <c r="A4" s="3445">
        <v>2</v>
      </c>
      <c r="B4" s="3445" t="s">
        <v>3388</v>
      </c>
      <c r="C4" s="3502" t="s">
        <v>4283</v>
      </c>
      <c r="D4" s="3445">
        <v>27825.235000000001</v>
      </c>
      <c r="E4" s="3445">
        <v>61215.517</v>
      </c>
      <c r="F4" s="3502">
        <v>2.2000000000000002</v>
      </c>
      <c r="G4" s="3445">
        <v>45</v>
      </c>
      <c r="H4" s="3445">
        <v>30</v>
      </c>
      <c r="I4" s="3445">
        <v>30</v>
      </c>
      <c r="J4" s="3445" t="s">
        <v>3393</v>
      </c>
      <c r="K4" s="3444">
        <f>F4</f>
        <v>2.2000000000000002</v>
      </c>
    </row>
    <row r="5" spans="1:11" ht="57">
      <c r="A5" s="3445">
        <v>3</v>
      </c>
      <c r="B5" s="3445" t="s">
        <v>3389</v>
      </c>
      <c r="C5" s="3502" t="s">
        <v>4283</v>
      </c>
      <c r="D5" s="3445">
        <v>34968.589999999997</v>
      </c>
      <c r="E5" s="3445">
        <v>76930.898000000001</v>
      </c>
      <c r="F5" s="3502">
        <v>2.2000000000000002</v>
      </c>
      <c r="G5" s="3445">
        <v>45</v>
      </c>
      <c r="H5" s="3445">
        <v>30</v>
      </c>
      <c r="I5" s="3445">
        <v>30</v>
      </c>
      <c r="J5" s="3446" t="s">
        <v>3394</v>
      </c>
      <c r="K5" s="3444">
        <f>ROUND(F5-0.007-0.007-0.005-0.007-0.028,2)</f>
        <v>2.15</v>
      </c>
    </row>
    <row r="6" spans="1:11">
      <c r="A6" s="3445">
        <v>4</v>
      </c>
      <c r="B6" s="3445" t="s">
        <v>3390</v>
      </c>
      <c r="C6" s="3502" t="s">
        <v>4283</v>
      </c>
      <c r="D6" s="3445">
        <v>27839.05</v>
      </c>
      <c r="E6" s="3445">
        <v>61245.91</v>
      </c>
      <c r="F6" s="3502">
        <v>2.2000000000000002</v>
      </c>
      <c r="G6" s="3445">
        <v>45</v>
      </c>
      <c r="H6" s="3445">
        <v>30</v>
      </c>
      <c r="I6" s="3445">
        <v>30</v>
      </c>
      <c r="J6" s="3445" t="s">
        <v>3393</v>
      </c>
      <c r="K6" s="3444">
        <f>F6</f>
        <v>2.2000000000000002</v>
      </c>
    </row>
    <row r="7" spans="1:11">
      <c r="A7" s="3445">
        <v>5</v>
      </c>
      <c r="B7" s="3445" t="s">
        <v>3391</v>
      </c>
      <c r="C7" s="3502" t="s">
        <v>4283</v>
      </c>
      <c r="D7" s="3445">
        <v>31698.120999999999</v>
      </c>
      <c r="E7" s="3445">
        <v>69735.865999999995</v>
      </c>
      <c r="F7" s="3502">
        <v>2.2000000000000002</v>
      </c>
      <c r="G7" s="3445">
        <v>45</v>
      </c>
      <c r="H7" s="3445">
        <v>30</v>
      </c>
      <c r="I7" s="3445">
        <v>30</v>
      </c>
      <c r="J7" s="3445" t="s">
        <v>3393</v>
      </c>
      <c r="K7" s="3444">
        <f>F7</f>
        <v>2.2000000000000002</v>
      </c>
    </row>
    <row r="8" spans="1:11">
      <c r="A8" s="3445" t="s">
        <v>3395</v>
      </c>
      <c r="B8" s="3445" t="s">
        <v>3396</v>
      </c>
      <c r="C8" s="3445" t="s">
        <v>3396</v>
      </c>
      <c r="D8" s="3445">
        <f>SUM(D3:D7)</f>
        <v>146811.16</v>
      </c>
      <c r="E8" s="3445">
        <f>SUM(E3:E7)</f>
        <v>322984.55200000003</v>
      </c>
      <c r="F8" s="3445" t="s">
        <v>4281</v>
      </c>
      <c r="G8" s="3445" t="s">
        <v>3396</v>
      </c>
      <c r="H8" s="3445" t="s">
        <v>3396</v>
      </c>
      <c r="I8" s="3445" t="s">
        <v>3396</v>
      </c>
      <c r="J8" s="3445" t="s">
        <v>3396</v>
      </c>
      <c r="K8" s="3444">
        <f>SUM(K3:K7)</f>
        <v>10.79</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3398</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3399</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5" t="s">
        <v>1131</v>
      </c>
      <c r="B2" s="3585"/>
      <c r="C2" s="3585"/>
      <c r="D2" s="792" t="s">
        <v>1107</v>
      </c>
      <c r="E2" s="1635" t="s">
        <v>1108</v>
      </c>
      <c r="F2" s="2651"/>
      <c r="G2" s="2642"/>
      <c r="H2" s="2643"/>
      <c r="I2" s="2318" t="s">
        <v>1132</v>
      </c>
      <c r="J2" s="2651"/>
      <c r="K2" s="2651"/>
      <c r="L2" s="2651"/>
      <c r="M2" s="2651"/>
      <c r="N2" s="2653"/>
      <c r="O2" s="2651"/>
      <c r="P2" s="2651"/>
    </row>
    <row r="3" spans="1:16" ht="15.75" thickBot="1">
      <c r="A3" s="3586" t="s">
        <v>1105</v>
      </c>
      <c r="B3" s="3586"/>
      <c r="C3" s="3586"/>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587"/>
      <c r="B4" s="3588"/>
      <c r="C4" s="3589"/>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590" t="s">
        <v>1110</v>
      </c>
      <c r="C5" s="3590"/>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590" t="s">
        <v>1111</v>
      </c>
      <c r="C6" s="3590"/>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582"/>
      <c r="B7" s="3583"/>
      <c r="C7" s="3584"/>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79" t="s">
        <v>1135</v>
      </c>
      <c r="L16" s="3580"/>
      <c r="M16" s="3580"/>
      <c r="N16" s="3580"/>
      <c r="O16" s="3580"/>
      <c r="P16" s="3581"/>
    </row>
    <row r="17" spans="1:19" ht="15">
      <c r="A17" s="1646" t="s">
        <v>1136</v>
      </c>
      <c r="B17" s="1647" t="s">
        <v>1137</v>
      </c>
      <c r="C17" s="1648" t="s">
        <v>1138</v>
      </c>
      <c r="D17" s="1649" t="s">
        <v>1126</v>
      </c>
      <c r="E17" s="1650" t="s">
        <v>1127</v>
      </c>
      <c r="F17" s="1651"/>
      <c r="G17" s="1652"/>
      <c r="H17" s="1653" t="s">
        <v>1139</v>
      </c>
      <c r="I17" s="1654" t="s">
        <v>1124</v>
      </c>
      <c r="J17" s="1135"/>
      <c r="K17" s="3576" t="s">
        <v>1140</v>
      </c>
      <c r="L17" s="3577"/>
      <c r="M17" s="3578"/>
      <c r="N17" s="3576" t="s">
        <v>1141</v>
      </c>
      <c r="O17" s="3577"/>
      <c r="P17" s="3578"/>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3400</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2" sqref="G12"/>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44970</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3402</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3398</v>
      </c>
      <c r="D6" s="854">
        <f>SUMIF(项目基本情况!C$12:I$12,C6,项目基本情况!C$14:I$14)</f>
        <v>70</v>
      </c>
      <c r="E6" s="853">
        <f>IF(B6="","",SUMIF(项目基本情况!C$12:I$12,C6,项目基本情况!C$13:I$13))</f>
        <v>70537</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0.12</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3401</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591" t="s">
        <v>2283</v>
      </c>
      <c r="B1" s="3592"/>
      <c r="C1" s="3592"/>
      <c r="D1" s="3592"/>
      <c r="E1" s="3592"/>
      <c r="F1" s="3592"/>
      <c r="G1" s="359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3503</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3504</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3505</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3506</v>
      </c>
      <c r="D7" s="2463"/>
      <c r="E7" s="2464"/>
      <c r="F7" s="2465" t="s">
        <v>2264</v>
      </c>
      <c r="G7" s="2466" t="s">
        <v>2265</v>
      </c>
      <c r="H7" s="795"/>
      <c r="I7" s="795"/>
      <c r="J7" s="795"/>
      <c r="K7" s="795"/>
      <c r="L7" s="795"/>
      <c r="M7" s="795"/>
      <c r="N7" s="795"/>
      <c r="O7" s="795"/>
      <c r="P7" s="795"/>
      <c r="Q7" s="795"/>
      <c r="R7" s="795"/>
    </row>
    <row r="8" spans="1:29" ht="24">
      <c r="A8" s="2435"/>
      <c r="B8" s="320" t="s">
        <v>2262</v>
      </c>
      <c r="C8" s="3459" t="s">
        <v>3507</v>
      </c>
      <c r="D8" s="2463"/>
      <c r="E8" s="2463"/>
      <c r="F8" s="2467"/>
      <c r="G8" s="2467"/>
      <c r="H8" s="795"/>
      <c r="I8" s="795"/>
      <c r="J8" s="795"/>
      <c r="K8" s="795"/>
      <c r="L8" s="795"/>
      <c r="M8" s="795"/>
      <c r="N8" s="795"/>
      <c r="O8" s="795"/>
      <c r="P8" s="795"/>
      <c r="Q8" s="795"/>
      <c r="R8" s="795"/>
    </row>
    <row r="9" spans="1:29" ht="36">
      <c r="A9" s="2435"/>
      <c r="B9" s="320" t="s">
        <v>2266</v>
      </c>
      <c r="C9" s="3460" t="s">
        <v>3508</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周边3公里范围内有南海子公园、志远庄公园等自然景观，人文景观较少，综合评价环境状况一般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D18" sqref="D18"/>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3400</v>
      </c>
      <c r="D1" s="1743"/>
      <c r="E1" s="1743"/>
      <c r="F1" s="1745" t="s">
        <v>1263</v>
      </c>
      <c r="G1" s="1557" t="s">
        <v>3403</v>
      </c>
      <c r="H1" s="1746" t="str">
        <f>IF(G1="现房","——","估价对象范围")</f>
        <v>——</v>
      </c>
      <c r="I1" s="1747" t="s">
        <v>3404</v>
      </c>
    </row>
    <row r="2" spans="1:12" ht="21.75" customHeight="1" thickBot="1">
      <c r="A2" s="3660" t="str">
        <f>项目基本情况!S2</f>
        <v>北京市房地产</v>
      </c>
      <c r="B2" s="3661"/>
      <c r="C2" s="3661"/>
      <c r="D2" s="3661"/>
      <c r="E2" s="3661"/>
      <c r="F2" s="3661"/>
      <c r="G2" s="3661"/>
      <c r="H2" s="3661"/>
      <c r="I2" s="3662"/>
    </row>
    <row r="3" spans="1:12" ht="12.75">
      <c r="A3" s="3664" t="s">
        <v>1264</v>
      </c>
      <c r="B3" s="3665"/>
      <c r="C3" s="3665"/>
      <c r="D3" s="3665"/>
      <c r="E3" s="3665"/>
      <c r="F3" s="3665"/>
      <c r="G3" s="3665"/>
      <c r="H3" s="3665"/>
      <c r="I3" s="3665"/>
    </row>
    <row r="4" spans="1:12" ht="14.25">
      <c r="A4" s="1750" t="s">
        <v>1265</v>
      </c>
      <c r="B4" s="1751" t="s">
        <v>1266</v>
      </c>
      <c r="C4" s="1752" t="s">
        <v>3405</v>
      </c>
      <c r="D4" s="1752" t="s">
        <v>3406</v>
      </c>
      <c r="E4" s="3669" t="s">
        <v>1267</v>
      </c>
      <c r="F4" s="3670"/>
      <c r="G4" s="3670"/>
      <c r="H4" s="3670"/>
      <c r="I4" s="3671"/>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08" t="s">
        <v>1268</v>
      </c>
      <c r="B5" s="3663">
        <v>25</v>
      </c>
      <c r="C5" s="3666">
        <v>0.5</v>
      </c>
      <c r="D5" s="3654">
        <f>1-C5</f>
        <v>0.5</v>
      </c>
      <c r="E5" s="129" t="s">
        <v>1269</v>
      </c>
      <c r="F5" s="1753"/>
      <c r="G5" s="1753"/>
      <c r="H5" s="1753"/>
      <c r="I5" s="1369"/>
    </row>
    <row r="6" spans="1:12" ht="12.75">
      <c r="A6" s="3608"/>
      <c r="B6" s="3663"/>
      <c r="C6" s="3668"/>
      <c r="D6" s="3654"/>
      <c r="E6" s="129" t="s">
        <v>1270</v>
      </c>
      <c r="F6" s="1753"/>
      <c r="G6" s="1753"/>
      <c r="H6" s="1753"/>
      <c r="I6" s="1369"/>
    </row>
    <row r="7" spans="1:12" ht="12.75">
      <c r="A7" s="3608"/>
      <c r="B7" s="3663"/>
      <c r="C7" s="3667"/>
      <c r="D7" s="3654"/>
      <c r="E7" s="129" t="s">
        <v>1271</v>
      </c>
      <c r="F7" s="1753"/>
      <c r="G7" s="1753"/>
      <c r="H7" s="1753"/>
      <c r="I7" s="1369"/>
    </row>
    <row r="8" spans="1:12" ht="12.75" hidden="1">
      <c r="A8" s="3608" t="s">
        <v>1272</v>
      </c>
      <c r="B8" s="3663">
        <v>15</v>
      </c>
      <c r="C8" s="3666"/>
      <c r="D8" s="3654"/>
      <c r="E8" s="129" t="s">
        <v>1273</v>
      </c>
      <c r="F8" s="1753"/>
      <c r="G8" s="1753"/>
      <c r="H8" s="1753"/>
      <c r="I8" s="1369"/>
    </row>
    <row r="9" spans="1:12" ht="12.75" hidden="1">
      <c r="A9" s="3608"/>
      <c r="B9" s="3663"/>
      <c r="C9" s="3667"/>
      <c r="D9" s="3654"/>
      <c r="E9" s="129" t="s">
        <v>1274</v>
      </c>
      <c r="F9" s="1753"/>
      <c r="G9" s="1753"/>
      <c r="H9" s="1753"/>
      <c r="I9" s="1369"/>
    </row>
    <row r="10" spans="1:12" ht="12.75" hidden="1">
      <c r="A10" s="3608" t="s">
        <v>1275</v>
      </c>
      <c r="B10" s="3663">
        <v>15</v>
      </c>
      <c r="C10" s="3666"/>
      <c r="D10" s="3654"/>
      <c r="E10" s="129" t="s">
        <v>1276</v>
      </c>
      <c r="F10" s="1753"/>
      <c r="G10" s="1753"/>
      <c r="H10" s="1753"/>
      <c r="I10" s="1369"/>
    </row>
    <row r="11" spans="1:12" ht="12.75" hidden="1">
      <c r="A11" s="3608"/>
      <c r="B11" s="3663"/>
      <c r="C11" s="3667"/>
      <c r="D11" s="3654"/>
      <c r="E11" s="129" t="s">
        <v>1277</v>
      </c>
      <c r="F11" s="1753"/>
      <c r="G11" s="1753"/>
      <c r="H11" s="1753"/>
      <c r="I11" s="1369"/>
    </row>
    <row r="12" spans="1:12" ht="12.75" hidden="1">
      <c r="A12" s="3608" t="s">
        <v>1278</v>
      </c>
      <c r="B12" s="3663">
        <v>15</v>
      </c>
      <c r="C12" s="3666"/>
      <c r="D12" s="3654"/>
      <c r="E12" s="129" t="s">
        <v>1279</v>
      </c>
      <c r="F12" s="1753"/>
      <c r="G12" s="1753"/>
      <c r="H12" s="1753"/>
      <c r="I12" s="1369"/>
    </row>
    <row r="13" spans="1:12" ht="12.75" hidden="1">
      <c r="A13" s="3608"/>
      <c r="B13" s="3663"/>
      <c r="C13" s="3667"/>
      <c r="D13" s="3654"/>
      <c r="E13" s="129" t="s">
        <v>1280</v>
      </c>
      <c r="F13" s="1753"/>
      <c r="G13" s="1753"/>
      <c r="H13" s="1753"/>
      <c r="I13" s="1369"/>
    </row>
    <row r="14" spans="1:12" ht="12.75" hidden="1">
      <c r="A14" s="3608" t="s">
        <v>1281</v>
      </c>
      <c r="B14" s="3663">
        <v>30</v>
      </c>
      <c r="C14" s="3666"/>
      <c r="D14" s="3654"/>
      <c r="E14" s="129" t="s">
        <v>1282</v>
      </c>
      <c r="F14" s="1753"/>
      <c r="G14" s="1753"/>
      <c r="H14" s="1753"/>
      <c r="I14" s="1369"/>
    </row>
    <row r="15" spans="1:12" ht="12.75" hidden="1">
      <c r="A15" s="3608"/>
      <c r="B15" s="3663"/>
      <c r="C15" s="3668"/>
      <c r="D15" s="3654"/>
      <c r="E15" s="129" t="s">
        <v>1283</v>
      </c>
      <c r="F15" s="1753"/>
      <c r="G15" s="1753"/>
      <c r="H15" s="1753"/>
      <c r="I15" s="1369"/>
    </row>
    <row r="16" spans="1:12" ht="12.75" hidden="1">
      <c r="A16" s="3608"/>
      <c r="B16" s="3663"/>
      <c r="C16" s="3667"/>
      <c r="D16" s="3654"/>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85" t="s">
        <v>2131</v>
      </c>
      <c r="F18" s="3686"/>
      <c r="G18" s="3686"/>
      <c r="H18" s="3686"/>
      <c r="I18" s="3686"/>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2.8502000000000001</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28502</v>
      </c>
      <c r="D20" s="3496">
        <f ca="1">SUMIF(INDIRECT("'"&amp;D4&amp;"'"&amp;"!A:A"),结果表!B20,INDIRECT("'"&amp;D4&amp;"'"&amp;"!B:B"))</f>
        <v>29690</v>
      </c>
      <c r="E20" s="1760"/>
      <c r="F20" s="1022" t="s">
        <v>1295</v>
      </c>
      <c r="G20" s="3497">
        <f ca="1">ROUND(C20*$C$18+D20*$D$18,0)</f>
        <v>29096</v>
      </c>
      <c r="H20" s="804" t="s">
        <v>1296</v>
      </c>
      <c r="I20" s="127"/>
    </row>
    <row r="21" spans="1:36" ht="15" customHeight="1" thickBot="1">
      <c r="A21" s="824"/>
      <c r="B21" s="1761" t="s">
        <v>1297</v>
      </c>
      <c r="C21" s="715">
        <f ca="1">ROUND(C19*10000/L19,0)</f>
        <v>63338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4.1681285523822886E-2</v>
      </c>
    </row>
    <row r="23" spans="1:36" ht="13.5" thickBot="1">
      <c r="A23" s="1743"/>
      <c r="B23" s="1743"/>
      <c r="C23" s="1743"/>
      <c r="D23" s="1743"/>
      <c r="E23" s="127"/>
      <c r="F23" s="127"/>
      <c r="G23" s="127"/>
      <c r="H23" s="127"/>
      <c r="I23" s="127"/>
    </row>
    <row r="24" spans="1:36" ht="14.25">
      <c r="A24" s="3678" t="s">
        <v>1299</v>
      </c>
      <c r="B24" s="1758" t="s">
        <v>1291</v>
      </c>
      <c r="C24" s="134">
        <f>IF(B30=0,0,D30)</f>
        <v>0</v>
      </c>
      <c r="D24" s="1765"/>
      <c r="E24" s="127"/>
      <c r="F24" s="127"/>
      <c r="G24" s="127"/>
      <c r="H24" s="127"/>
      <c r="I24" s="127"/>
    </row>
    <row r="25" spans="1:36" ht="14.25">
      <c r="A25" s="3679"/>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29096</v>
      </c>
      <c r="D32" s="1771" t="s">
        <v>3407</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55" t="s">
        <v>1312</v>
      </c>
      <c r="B36" s="1783" t="s">
        <v>1313</v>
      </c>
      <c r="C36" s="142"/>
      <c r="D36" s="1784"/>
      <c r="E36" s="1785"/>
      <c r="F36" s="1786"/>
      <c r="G36" s="127"/>
      <c r="H36" s="127"/>
      <c r="I36" s="127"/>
    </row>
    <row r="37" spans="1:15" ht="15.75" thickBot="1">
      <c r="A37" s="3656"/>
      <c r="B37" s="1670" t="s">
        <v>1314</v>
      </c>
      <c r="C37" s="144"/>
      <c r="D37" s="1135"/>
      <c r="E37" s="1135"/>
      <c r="F37" s="1786"/>
      <c r="G37" s="127"/>
      <c r="H37" s="127"/>
      <c r="I37" s="127"/>
    </row>
    <row r="38" spans="1:15" ht="15.75" thickBot="1">
      <c r="A38" s="3657"/>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5" t="s">
        <v>1326</v>
      </c>
      <c r="B45" s="3676"/>
      <c r="C45" s="3677"/>
      <c r="D45" s="152">
        <f ca="1">ROUND(H101*F45,0)</f>
        <v>3</v>
      </c>
      <c r="E45" s="153" t="s">
        <v>1327</v>
      </c>
      <c r="F45" s="154">
        <v>1</v>
      </c>
      <c r="G45" s="155" t="s">
        <v>1328</v>
      </c>
      <c r="H45" s="127"/>
      <c r="I45" s="127"/>
      <c r="J45" s="3595" t="s">
        <v>1329</v>
      </c>
      <c r="K45" s="3595"/>
      <c r="L45" s="3595"/>
      <c r="M45" s="3595"/>
      <c r="N45" s="3595"/>
      <c r="O45" s="3595"/>
    </row>
    <row r="46" spans="1:15" ht="14.25" customHeight="1">
      <c r="A46" s="3672" t="s">
        <v>1330</v>
      </c>
      <c r="B46" s="3673"/>
      <c r="C46" s="3673"/>
      <c r="D46" s="3673"/>
      <c r="E46" s="3673"/>
      <c r="F46" s="3673"/>
      <c r="G46" s="3674"/>
      <c r="H46" s="1802"/>
      <c r="I46" s="156"/>
      <c r="J46" s="2515">
        <v>1</v>
      </c>
      <c r="K46" s="3596" t="s">
        <v>1331</v>
      </c>
      <c r="L46" s="3596"/>
      <c r="M46" s="3597"/>
      <c r="N46" s="3597"/>
      <c r="O46" s="3597"/>
    </row>
    <row r="47" spans="1:15" ht="12" customHeight="1">
      <c r="A47" s="157" t="s">
        <v>1332</v>
      </c>
      <c r="B47" s="158"/>
      <c r="C47" s="159"/>
      <c r="D47" s="1083" t="s">
        <v>1333</v>
      </c>
      <c r="E47" s="299" t="s">
        <v>1334</v>
      </c>
      <c r="F47" s="160" t="s">
        <v>1335</v>
      </c>
      <c r="G47" s="2538" t="s">
        <v>1336</v>
      </c>
      <c r="H47" s="2539"/>
      <c r="I47" s="156"/>
      <c r="J47" s="2515">
        <v>2</v>
      </c>
      <c r="K47" s="3596" t="s">
        <v>1337</v>
      </c>
      <c r="L47" s="3596"/>
      <c r="M47" s="3598">
        <f>'数据-取费表'!B2</f>
        <v>44970</v>
      </c>
      <c r="N47" s="3598"/>
      <c r="O47" s="3598"/>
    </row>
    <row r="48" spans="1:15" ht="25.5">
      <c r="A48" s="3658" t="s">
        <v>1338</v>
      </c>
      <c r="B48" s="3659"/>
      <c r="C48" s="3659"/>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596" t="s">
        <v>1340</v>
      </c>
      <c r="L48" s="3596"/>
      <c r="M48" s="3599">
        <f ca="1">H101</f>
        <v>3</v>
      </c>
      <c r="N48" s="3599"/>
      <c r="O48" s="3599"/>
    </row>
    <row r="49" spans="1:35" ht="25.5" customHeight="1">
      <c r="A49" s="2326" t="s">
        <v>1341</v>
      </c>
      <c r="B49" s="3644" t="s">
        <v>1342</v>
      </c>
      <c r="C49" s="3644"/>
      <c r="D49" s="1586">
        <v>0</v>
      </c>
      <c r="E49" s="321" t="s">
        <v>1343</v>
      </c>
      <c r="F49" s="2417" t="s">
        <v>28</v>
      </c>
      <c r="G49" s="3627"/>
      <c r="H49" s="2303" t="s">
        <v>2134</v>
      </c>
      <c r="I49" s="2304"/>
      <c r="J49" s="2515">
        <v>4</v>
      </c>
      <c r="K49" s="3596" t="str">
        <f>IF(项目基本情况!E8="房地产抵押价值","房地产抵押价值","抵押担保权已注销时的房地产抵押价值")</f>
        <v>抵押担保权已注销时的房地产抵押价值</v>
      </c>
      <c r="L49" s="3596"/>
      <c r="M49" s="3599" t="str">
        <f>IF(项目基本情况!E8="房地产抵押价值",H107,H109)</f>
        <v>——</v>
      </c>
      <c r="N49" s="3599"/>
      <c r="O49" s="3599"/>
    </row>
    <row r="50" spans="1:35" ht="25.5" customHeight="1">
      <c r="A50" s="2543"/>
      <c r="B50" s="3644" t="s">
        <v>1344</v>
      </c>
      <c r="C50" s="3644"/>
      <c r="D50" s="2544"/>
      <c r="E50" s="329"/>
      <c r="F50" s="2417"/>
      <c r="G50" s="3628"/>
      <c r="H50" s="2305" t="s">
        <v>2135</v>
      </c>
      <c r="I50" s="2304"/>
      <c r="J50" s="3595" t="s">
        <v>1345</v>
      </c>
      <c r="K50" s="3595"/>
      <c r="L50" s="3595"/>
      <c r="M50" s="3595"/>
      <c r="N50" s="3595"/>
      <c r="O50" s="3595"/>
    </row>
    <row r="51" spans="1:35" ht="20.45" customHeight="1">
      <c r="A51" s="2545"/>
      <c r="B51" s="3644" t="s">
        <v>1346</v>
      </c>
      <c r="C51" s="3644"/>
      <c r="D51" s="1083"/>
      <c r="E51" s="324"/>
      <c r="F51" s="2417"/>
      <c r="G51" s="3629"/>
      <c r="H51" s="2305" t="s">
        <v>2136</v>
      </c>
      <c r="I51" s="2304"/>
      <c r="J51" s="2516" t="s">
        <v>1347</v>
      </c>
      <c r="K51" s="3596" t="s">
        <v>1348</v>
      </c>
      <c r="L51" s="3596"/>
      <c r="M51" s="2516" t="s">
        <v>1349</v>
      </c>
      <c r="N51" s="2516" t="s">
        <v>1350</v>
      </c>
      <c r="O51" s="2516" t="s">
        <v>1351</v>
      </c>
    </row>
    <row r="52" spans="1:35" ht="24" customHeight="1">
      <c r="A52" s="2328" t="s">
        <v>1352</v>
      </c>
      <c r="B52" s="3644" t="s">
        <v>1353</v>
      </c>
      <c r="C52" s="3644"/>
      <c r="D52" s="1083">
        <f ca="1">ROUND(D45*'数据-取费表'!B41/(1+'数据-取费表'!C42),0)</f>
        <v>0</v>
      </c>
      <c r="E52" s="2327" t="s">
        <v>1354</v>
      </c>
      <c r="F52" s="2546">
        <f>'数据-取费表'!B41</f>
        <v>5.5000000000000007E-2</v>
      </c>
      <c r="G52" s="2547"/>
      <c r="H52" s="2536"/>
      <c r="I52" s="1803"/>
      <c r="J52" s="2515">
        <v>1</v>
      </c>
      <c r="K52" s="3621" t="s">
        <v>1355</v>
      </c>
      <c r="L52" s="3621"/>
      <c r="M52" s="2517" t="b">
        <f>D48</f>
        <v>0</v>
      </c>
      <c r="N52" s="2515" t="str">
        <f>E48</f>
        <v>销售额×税（费）率</v>
      </c>
      <c r="O52" s="2518">
        <f>F48</f>
        <v>5.5000000000000007E-2</v>
      </c>
    </row>
    <row r="53" spans="1:35" ht="12" customHeight="1">
      <c r="A53" s="2328" t="s">
        <v>1356</v>
      </c>
      <c r="B53" s="3645" t="s">
        <v>2288</v>
      </c>
      <c r="C53" s="3646"/>
      <c r="D53" s="1083">
        <f ca="1">ROUND(D45*'数据-取费表'!B41/(1+'数据-取费表'!C42),0)</f>
        <v>0</v>
      </c>
      <c r="E53" s="2327" t="s">
        <v>1354</v>
      </c>
      <c r="F53" s="2546">
        <f>'数据-取费表'!B41</f>
        <v>5.5000000000000007E-2</v>
      </c>
      <c r="G53" s="2547"/>
      <c r="H53" s="2536"/>
      <c r="I53" s="1803"/>
      <c r="J53" s="2515">
        <v>2</v>
      </c>
      <c r="K53" s="3621" t="s">
        <v>1357</v>
      </c>
      <c r="L53" s="3621"/>
      <c r="M53" s="2517">
        <f t="shared" ref="M53:O54" ca="1" si="0">D55</f>
        <v>0</v>
      </c>
      <c r="N53" s="2515" t="str">
        <f t="shared" si="0"/>
        <v>销售额×税（费）率</v>
      </c>
      <c r="O53" s="2518" t="str">
        <f t="shared" si="0"/>
        <v>免征</v>
      </c>
    </row>
    <row r="54" spans="1:35" ht="12" customHeight="1">
      <c r="A54" s="2328" t="s">
        <v>1358</v>
      </c>
      <c r="B54" s="3645" t="s">
        <v>2289</v>
      </c>
      <c r="C54" s="3646"/>
      <c r="D54" s="1083">
        <f ca="1">C68</f>
        <v>0</v>
      </c>
      <c r="E54" s="324" t="s">
        <v>1359</v>
      </c>
      <c r="F54" s="2546">
        <f>'数据-取费表'!B41</f>
        <v>5.5000000000000007E-2</v>
      </c>
      <c r="G54" s="2547"/>
      <c r="H54" s="2548"/>
      <c r="I54" s="1803"/>
      <c r="J54" s="2515">
        <v>3</v>
      </c>
      <c r="K54" s="3621" t="s">
        <v>1360</v>
      </c>
      <c r="L54" s="3621"/>
      <c r="M54" s="2517" t="e">
        <f t="shared" ca="1" si="0"/>
        <v>#DIV/0!</v>
      </c>
      <c r="N54" s="2515" t="str">
        <f t="shared" si="0"/>
        <v>增值额×税（费）率</v>
      </c>
      <c r="O54" s="2519" t="str">
        <f t="shared" si="0"/>
        <v>免征</v>
      </c>
    </row>
    <row r="55" spans="1:35" ht="24" customHeight="1">
      <c r="A55" s="3681" t="s">
        <v>1361</v>
      </c>
      <c r="B55" s="3659"/>
      <c r="C55" s="3659"/>
      <c r="D55" s="2317">
        <f ca="1">IF(H55="个人住宅",0,ROUND(D45*I55,0))</f>
        <v>0</v>
      </c>
      <c r="E55" s="2327" t="s">
        <v>1362</v>
      </c>
      <c r="F55" s="2546" t="str">
        <f>IF(H55="正常",I55,"免征")</f>
        <v>免征</v>
      </c>
      <c r="G55" s="2547"/>
      <c r="H55" s="2542"/>
      <c r="I55" s="162">
        <f>'数据-取费表'!B49</f>
        <v>5.0000000000000001E-4</v>
      </c>
      <c r="J55" s="2515">
        <f>IF(H59="非个人房产","",4)</f>
        <v>4</v>
      </c>
      <c r="K55" s="3621" t="str">
        <f>IF(H59="非个人房产","——","个人所得税")</f>
        <v>个人所得税</v>
      </c>
      <c r="L55" s="3621"/>
      <c r="M55" s="2520">
        <f ca="1">D59</f>
        <v>0</v>
      </c>
      <c r="N55" s="2033" t="str">
        <f>E59</f>
        <v>差额计税</v>
      </c>
      <c r="O55" s="2521">
        <f>F59</f>
        <v>0.01</v>
      </c>
    </row>
    <row r="56" spans="1:35" ht="24.75">
      <c r="A56" s="3681" t="s">
        <v>1363</v>
      </c>
      <c r="B56" s="3659"/>
      <c r="C56" s="3659"/>
      <c r="D56" s="2317" t="e">
        <f ca="1">IF(H56="个人住宅",D57,D58)</f>
        <v>#DIV/0!</v>
      </c>
      <c r="E56" s="2327" t="s">
        <v>1364</v>
      </c>
      <c r="F56" s="2546" t="str">
        <f>IF(H56="正常",F58,"免征")</f>
        <v>免征</v>
      </c>
      <c r="G56" s="2549" t="s">
        <v>1365</v>
      </c>
      <c r="H56" s="2550"/>
      <c r="I56" s="1804"/>
      <c r="J56" s="2515" t="str">
        <f>IF(项目基本情况!K6="上海银行",IF(J55="",4,J55+1),"")</f>
        <v/>
      </c>
      <c r="K56" s="3602" t="str">
        <f>IF(项目基本情况!K6="上海银行","其他处置费用","")</f>
        <v/>
      </c>
      <c r="L56" s="3603"/>
      <c r="M56" s="2517" t="str">
        <f>IF(项目基本情况!K6="上海银行",M69,"")</f>
        <v/>
      </c>
      <c r="N56" s="3602" t="str">
        <f>IF(项目基本情况!K6="上海银行","包含处置中涉及的律师、诉讼、拍卖、评估等费用","")</f>
        <v/>
      </c>
      <c r="O56" s="3605"/>
    </row>
    <row r="57" spans="1:35" ht="12.75">
      <c r="A57" s="2328" t="s">
        <v>1341</v>
      </c>
      <c r="B57" s="3645" t="s">
        <v>1366</v>
      </c>
      <c r="C57" s="3646"/>
      <c r="D57" s="1586">
        <v>0</v>
      </c>
      <c r="E57" s="321" t="s">
        <v>1343</v>
      </c>
      <c r="F57" s="299"/>
      <c r="G57" s="2547"/>
      <c r="H57" s="2551"/>
      <c r="I57" s="1804"/>
      <c r="J57" s="3621">
        <f>IF(AND(J55="",J56=""),4,IF(项目基本情况!K6="上海银行",结果表!J56+1,结果表!J55+1))</f>
        <v>5</v>
      </c>
      <c r="K57" s="3621" t="s">
        <v>1367</v>
      </c>
      <c r="L57" s="2522" t="s">
        <v>1368</v>
      </c>
      <c r="M57" s="2523"/>
      <c r="N57" s="2524">
        <f ca="1">SUMIF(M52:M56,"&lt;9e307")</f>
        <v>0</v>
      </c>
      <c r="O57" s="2525"/>
      <c r="P57" s="2682" t="e">
        <f ca="1">N57/M49</f>
        <v>#VALUE!</v>
      </c>
    </row>
    <row r="58" spans="1:35" ht="24.75">
      <c r="A58" s="2328" t="s">
        <v>1352</v>
      </c>
      <c r="B58" s="3645" t="s">
        <v>1369</v>
      </c>
      <c r="C58" s="3644"/>
      <c r="D58" s="2317" t="e">
        <f ca="1">IF(H58="转让取得",C81,C97)</f>
        <v>#DIV/0!</v>
      </c>
      <c r="E58" s="2327" t="s">
        <v>1364</v>
      </c>
      <c r="F58" s="299" t="s">
        <v>28</v>
      </c>
      <c r="G58" s="2547"/>
      <c r="H58" s="2550"/>
      <c r="I58" s="1804"/>
      <c r="J58" s="3621"/>
      <c r="K58" s="3621"/>
      <c r="L58" s="2522" t="s">
        <v>1370</v>
      </c>
      <c r="M58" s="2526"/>
      <c r="N58" s="2527" t="str">
        <f ca="1">NUMBERSTRING(INT(N57*10000),2)&amp;"元整"</f>
        <v>零元整</v>
      </c>
      <c r="O58" s="2528"/>
    </row>
    <row r="59" spans="1:35" ht="24.75" thickBot="1">
      <c r="A59" s="3625" t="s">
        <v>1371</v>
      </c>
      <c r="B59" s="3626"/>
      <c r="C59" s="3626"/>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23">
        <f>J57+1</f>
        <v>6</v>
      </c>
      <c r="K59" s="3621" t="s">
        <v>1372</v>
      </c>
      <c r="L59" s="2515" t="s">
        <v>1368</v>
      </c>
      <c r="M59" s="2529"/>
      <c r="N59" s="2530" t="e">
        <f ca="1">M49-N57</f>
        <v>#VALUE!</v>
      </c>
      <c r="O59" s="2531"/>
    </row>
    <row r="60" spans="1:35" ht="12" customHeight="1">
      <c r="A60" s="1805"/>
      <c r="B60" s="1743"/>
      <c r="C60" s="1743"/>
      <c r="D60" s="1743"/>
      <c r="E60" s="1574"/>
      <c r="F60" s="1804"/>
      <c r="G60" s="1804"/>
      <c r="H60" s="1806"/>
      <c r="I60" s="127"/>
      <c r="J60" s="3624"/>
      <c r="K60" s="3621"/>
      <c r="L60" s="2522" t="s">
        <v>1370</v>
      </c>
      <c r="M60" s="2526"/>
      <c r="N60" s="2527" t="e">
        <f ca="1">NUMBERSTRING(INT(N59*10000),2)&amp;"元整"</f>
        <v>#VALUE!</v>
      </c>
      <c r="O60" s="2528"/>
    </row>
    <row r="61" spans="1:35" ht="13.5" thickBot="1">
      <c r="A61" s="3680" t="s">
        <v>1373</v>
      </c>
      <c r="B61" s="3680"/>
      <c r="C61" s="3680"/>
      <c r="D61" s="3680"/>
      <c r="E61" s="3680"/>
      <c r="F61" s="1804"/>
      <c r="G61" s="1804"/>
      <c r="H61" s="1806"/>
      <c r="I61" s="127"/>
      <c r="J61" s="2515">
        <f>J59+1</f>
        <v>7</v>
      </c>
      <c r="K61" s="3621" t="s">
        <v>1374</v>
      </c>
      <c r="L61" s="3621"/>
      <c r="M61" s="2532"/>
      <c r="N61" s="2533" t="e">
        <f ca="1">ROUND(N59*10000/'数据-汇总表'!E3,0)</f>
        <v>#VALUE!</v>
      </c>
      <c r="O61" s="2534"/>
    </row>
    <row r="62" spans="1:35" ht="12.75">
      <c r="A62" s="3640" t="s">
        <v>1375</v>
      </c>
      <c r="B62" s="3641"/>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04"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04"/>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04"/>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04"/>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04"/>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04"/>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04"/>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8" t="s">
        <v>1394</v>
      </c>
      <c r="B70" s="3649"/>
      <c r="C70" s="3649"/>
      <c r="D70" s="3649"/>
      <c r="E70" s="3649"/>
      <c r="F70" s="3649"/>
      <c r="G70" s="3649"/>
      <c r="H70" s="3649"/>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0" t="s">
        <v>1375</v>
      </c>
      <c r="B71" s="3641"/>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45" t="s">
        <v>1402</v>
      </c>
      <c r="F76" s="3644"/>
      <c r="G76" s="3644"/>
      <c r="H76" s="364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37" t="s">
        <v>1406</v>
      </c>
      <c r="F78" s="3638"/>
      <c r="G78" s="3638"/>
      <c r="H78" s="363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8" t="s">
        <v>1410</v>
      </c>
      <c r="B83" s="3649"/>
      <c r="C83" s="3649"/>
      <c r="D83" s="3649"/>
      <c r="E83" s="3649"/>
      <c r="F83" s="3649"/>
      <c r="G83" s="3649"/>
      <c r="H83" s="364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0" t="s">
        <v>1375</v>
      </c>
      <c r="B84" s="3641"/>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06" t="s">
        <v>2129</v>
      </c>
      <c r="H90" s="3607"/>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37" t="s">
        <v>1419</v>
      </c>
      <c r="F91" s="3638"/>
      <c r="G91" s="363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37" t="s">
        <v>1422</v>
      </c>
      <c r="F92" s="3638"/>
      <c r="G92" s="3638"/>
      <c r="H92" s="3639"/>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37" t="s">
        <v>1406</v>
      </c>
      <c r="F93" s="3638"/>
      <c r="G93" s="3638"/>
      <c r="H93" s="363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82" t="s">
        <v>1426</v>
      </c>
      <c r="F94" s="3683"/>
      <c r="G94" s="3683"/>
      <c r="H94" s="368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587" t="s">
        <v>1428</v>
      </c>
      <c r="B100" s="3588"/>
      <c r="C100" s="3588"/>
      <c r="D100" s="3622"/>
      <c r="E100" s="3588" t="s">
        <v>1429</v>
      </c>
      <c r="F100" s="3588"/>
      <c r="G100" s="3588"/>
      <c r="H100" s="3622"/>
      <c r="I100" s="127"/>
    </row>
    <row r="101" spans="1:35" ht="18.75" customHeight="1">
      <c r="A101" s="3630" t="s">
        <v>1430</v>
      </c>
      <c r="B101" s="3631"/>
      <c r="C101" s="2577" t="str">
        <f>C4</f>
        <v>成本法 (元)</v>
      </c>
      <c r="D101" s="2578" t="str">
        <f>D4</f>
        <v>比较法-住宅</v>
      </c>
      <c r="E101" s="3600" t="s">
        <v>1431</v>
      </c>
      <c r="F101" s="3601"/>
      <c r="G101" s="1823" t="s">
        <v>1432</v>
      </c>
      <c r="H101" s="2587">
        <f ca="1">H118</f>
        <v>3</v>
      </c>
      <c r="I101" s="127"/>
    </row>
    <row r="102" spans="1:35" ht="18.75" customHeight="1">
      <c r="A102" s="3632" t="s">
        <v>1433</v>
      </c>
      <c r="B102" s="2576" t="s">
        <v>1432</v>
      </c>
      <c r="C102" s="2577">
        <f ca="1">IF(D32="楼面单价",ROUND(C19,0),C19)</f>
        <v>3</v>
      </c>
      <c r="D102" s="2578">
        <f ca="1">IF(D32="楼面单价",ROUND(D19,0),D19)</f>
        <v>0</v>
      </c>
      <c r="E102" s="3600"/>
      <c r="F102" s="3601"/>
      <c r="G102" s="1823" t="s">
        <v>1434</v>
      </c>
      <c r="H102" s="2547">
        <f ca="1">I118</f>
        <v>29096</v>
      </c>
      <c r="I102" s="127"/>
    </row>
    <row r="103" spans="1:35" ht="42.75" customHeight="1">
      <c r="A103" s="3632"/>
      <c r="B103" s="2576" t="s">
        <v>1434</v>
      </c>
      <c r="C103" s="2579">
        <f ca="1">C20</f>
        <v>28502</v>
      </c>
      <c r="D103" s="2580">
        <f ca="1">D20</f>
        <v>29690</v>
      </c>
      <c r="E103" s="3593" t="s">
        <v>1435</v>
      </c>
      <c r="F103" s="3594"/>
      <c r="G103" s="1824" t="s">
        <v>1436</v>
      </c>
      <c r="H103" s="2587">
        <f>IF(D36="正常操作",H104+H105+H106,H105+H106)</f>
        <v>0</v>
      </c>
      <c r="I103" s="127"/>
    </row>
    <row r="104" spans="1:35" ht="18.75" customHeight="1">
      <c r="A104" s="3632"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42"/>
      <c r="B105" s="2584" t="s">
        <v>1434</v>
      </c>
      <c r="C105" s="2585">
        <f ca="1">I118</f>
        <v>29096</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33" t="str">
        <f>IF(项目基本情况!E8="已注销","——","3.房地产抵押价值")</f>
        <v>3.房地产抵押价值</v>
      </c>
      <c r="F107" s="3601"/>
      <c r="G107" s="1823" t="s">
        <v>1432</v>
      </c>
      <c r="H107" s="2587">
        <f ca="1">IF(E107="——","——",H101-H103)</f>
        <v>3</v>
      </c>
      <c r="I107" s="127"/>
    </row>
    <row r="108" spans="1:35" ht="18.75" customHeight="1">
      <c r="A108" s="127"/>
      <c r="B108" s="127"/>
      <c r="C108" s="127"/>
      <c r="D108" s="127"/>
      <c r="E108" s="3633"/>
      <c r="F108" s="3601"/>
      <c r="G108" s="1823" t="s">
        <v>1434</v>
      </c>
      <c r="H108" s="2547">
        <f ca="1">IF(H107=H101,H102,ROUND(H107*10000/'数据-汇总表'!E3,0))</f>
        <v>29096</v>
      </c>
      <c r="I108" s="127"/>
    </row>
    <row r="109" spans="1:35" ht="18.75" customHeight="1">
      <c r="A109" s="127"/>
      <c r="B109" s="127"/>
      <c r="C109" s="127"/>
      <c r="D109" s="127"/>
      <c r="E109" s="3633" t="str">
        <f>IF(项目基本情况!E8="已注销及未注销","4.抵押担保权已注销时的房地产抵押价值",IF(项目基本情况!E8="已注销","3.抵押担保权已注销时的房地产抵押价值","——"))</f>
        <v>——</v>
      </c>
      <c r="F109" s="3601"/>
      <c r="G109" s="1823" t="s">
        <v>1432</v>
      </c>
      <c r="H109" s="2590" t="str">
        <f>IF(E109="——","——",H101-H105-H106)</f>
        <v>——</v>
      </c>
      <c r="I109" s="127"/>
    </row>
    <row r="110" spans="1:35" ht="18.75" customHeight="1">
      <c r="A110" s="127"/>
      <c r="B110" s="127"/>
      <c r="C110" s="127"/>
      <c r="D110" s="127"/>
      <c r="E110" s="3633"/>
      <c r="F110" s="3601"/>
      <c r="G110" s="1823" t="s">
        <v>1434</v>
      </c>
      <c r="H110" s="2547" t="str">
        <f>IF(H109="——","——",ROUND(H109*10000/'数据-汇总表'!E3,0))</f>
        <v>——</v>
      </c>
      <c r="I110" s="127"/>
    </row>
    <row r="111" spans="1:35" ht="18.75" customHeight="1">
      <c r="A111" s="127"/>
      <c r="B111" s="127"/>
      <c r="C111" s="127"/>
      <c r="D111" s="127"/>
      <c r="E111" s="3634" t="str">
        <f>IF(项目基本情况!E9="抵押净值",IF(OR(项目基本情况!E8="已注销",项目基本情况!E8="房地产抵押价值"),"4.抵押净值","5.抵押净值"),"——")</f>
        <v>——</v>
      </c>
      <c r="F111" s="3620"/>
      <c r="G111" s="1823" t="s">
        <v>1432</v>
      </c>
      <c r="H111" s="2587" t="str">
        <f>IF(E111="——","——",N59)</f>
        <v>——</v>
      </c>
      <c r="I111" s="127"/>
    </row>
    <row r="112" spans="1:35" ht="18.75" customHeight="1" thickBot="1">
      <c r="A112" s="127"/>
      <c r="B112" s="127"/>
      <c r="C112" s="127"/>
      <c r="D112" s="127"/>
      <c r="E112" s="3635"/>
      <c r="F112" s="3636"/>
      <c r="G112" s="1826" t="s">
        <v>1434</v>
      </c>
      <c r="H112" s="2591" t="str">
        <f>IF(E111="——","——",N61)</f>
        <v>——</v>
      </c>
      <c r="I112" s="127"/>
    </row>
    <row r="113" spans="1:27" ht="18.75" customHeight="1">
      <c r="A113" s="127"/>
      <c r="B113" s="127"/>
      <c r="C113" s="127"/>
      <c r="D113" s="127"/>
      <c r="E113" s="3643" t="s">
        <v>1440</v>
      </c>
      <c r="F113" s="3643"/>
      <c r="G113" s="3643"/>
      <c r="H113" s="3643"/>
      <c r="I113" s="127"/>
    </row>
    <row r="114" spans="1:27" ht="3.75" customHeight="1">
      <c r="A114" s="1743"/>
      <c r="B114" s="1743"/>
      <c r="C114" s="1743"/>
      <c r="D114" s="1743"/>
      <c r="E114" s="1805"/>
      <c r="F114" s="1805"/>
      <c r="G114" s="1805"/>
      <c r="H114" s="1805"/>
      <c r="I114" s="1743"/>
    </row>
    <row r="115" spans="1:27" ht="18.75" customHeight="1">
      <c r="A115" s="3651" t="s">
        <v>1442</v>
      </c>
      <c r="B115" s="3652"/>
      <c r="C115" s="3652"/>
      <c r="D115" s="3652"/>
      <c r="E115" s="3652"/>
      <c r="F115" s="3652"/>
      <c r="G115" s="3652"/>
      <c r="H115" s="3652"/>
      <c r="I115" s="3653"/>
    </row>
    <row r="116" spans="1:27" ht="27" customHeight="1">
      <c r="A116" s="3608" t="s">
        <v>1443</v>
      </c>
      <c r="B116" s="3612" t="s">
        <v>1444</v>
      </c>
      <c r="C116" s="3612" t="s">
        <v>1445</v>
      </c>
      <c r="D116" s="3618" t="s">
        <v>1446</v>
      </c>
      <c r="E116" s="3619"/>
      <c r="F116" s="3650" t="s">
        <v>1447</v>
      </c>
      <c r="G116" s="3650"/>
      <c r="H116" s="3608" t="s">
        <v>1448</v>
      </c>
      <c r="I116" s="3608"/>
    </row>
    <row r="117" spans="1:27" ht="18.75" customHeight="1">
      <c r="A117" s="3608"/>
      <c r="B117" s="3613"/>
      <c r="C117" s="3613"/>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29096</v>
      </c>
    </row>
    <row r="119" spans="1:27" ht="18.75" customHeight="1">
      <c r="A119" s="3608" t="s">
        <v>1452</v>
      </c>
      <c r="B119" s="3608"/>
      <c r="C119" s="3608"/>
      <c r="D119" s="3614" t="e">
        <f ca="1">NUMBERSTRING(INT(D118*10000),2)&amp;"元整"</f>
        <v>#REF!</v>
      </c>
      <c r="E119" s="3615"/>
      <c r="F119" s="3614" t="e">
        <f ca="1">NUMBERSTRING(INT(F118*10000),2)&amp;"元整"</f>
        <v>#REF!</v>
      </c>
      <c r="G119" s="3615"/>
      <c r="H119" s="3614" t="str">
        <f ca="1">NUMBERSTRING(INT(H118*10000),2)&amp;"元整"</f>
        <v>叁万元整</v>
      </c>
      <c r="I119" s="3615"/>
    </row>
    <row r="120" spans="1:27" ht="18.75" customHeight="1">
      <c r="A120" s="3609" t="str">
        <f>IF(项目基本情况!B9="房地产市场价值","",MID(E103,3,LEN(E103)-2))</f>
        <v/>
      </c>
      <c r="B120" s="3610"/>
      <c r="C120" s="3611"/>
      <c r="D120" s="3609">
        <f>H103</f>
        <v>0</v>
      </c>
      <c r="E120" s="3610"/>
      <c r="F120" s="3610"/>
      <c r="G120" s="3610"/>
      <c r="H120" s="3610"/>
      <c r="I120" s="3611"/>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14" t="s">
        <v>1452</v>
      </c>
      <c r="B121" s="3616"/>
      <c r="C121" s="3615"/>
      <c r="D121" s="3614" t="str">
        <f>IF(D120=0,"零元整",NUMBERSTRING(INT(D120*10000),2)&amp;"元整")</f>
        <v>零元整</v>
      </c>
      <c r="E121" s="3616"/>
      <c r="F121" s="3616"/>
      <c r="G121" s="3616"/>
      <c r="H121" s="3616"/>
      <c r="I121" s="3615"/>
      <c r="AA121" s="721"/>
    </row>
    <row r="122" spans="1:27" ht="18.75" customHeight="1">
      <c r="A122" s="3620" t="str">
        <f>IF(项目基本情况!B9="房地产市场价值","",MID(E107,3,LEN(E107)-2))</f>
        <v/>
      </c>
      <c r="B122" s="3620"/>
      <c r="C122" s="3620"/>
      <c r="D122" s="3609">
        <f ca="1">H107</f>
        <v>3</v>
      </c>
      <c r="E122" s="3610"/>
      <c r="F122" s="3610"/>
      <c r="G122" s="3610"/>
      <c r="H122" s="3610"/>
      <c r="I122" s="3611"/>
      <c r="AA122" s="721"/>
    </row>
    <row r="123" spans="1:27" ht="18.75" customHeight="1">
      <c r="A123" s="3608" t="s">
        <v>1452</v>
      </c>
      <c r="B123" s="3608"/>
      <c r="C123" s="3608"/>
      <c r="D123" s="3614" t="str">
        <f ca="1">NUMBERSTRING(INT(D122*10000),2)&amp;"元整"</f>
        <v>叁万元整</v>
      </c>
      <c r="E123" s="3616"/>
      <c r="F123" s="3616"/>
      <c r="G123" s="3616"/>
      <c r="H123" s="3616"/>
      <c r="I123" s="3615"/>
      <c r="AA123" s="721"/>
    </row>
    <row r="124" spans="1:27" ht="18.75" customHeight="1">
      <c r="A124" s="3620" t="str">
        <f>IF(项目基本情况!B9="房地产市场价值","",MID(E109,3,LEN(E109)-2))</f>
        <v/>
      </c>
      <c r="B124" s="3620"/>
      <c r="C124" s="3620"/>
      <c r="D124" s="3609" t="str">
        <f>H109</f>
        <v>——</v>
      </c>
      <c r="E124" s="3610"/>
      <c r="F124" s="3610"/>
      <c r="G124" s="3610"/>
      <c r="H124" s="3610"/>
      <c r="I124" s="3611"/>
      <c r="AA124" s="721"/>
    </row>
    <row r="125" spans="1:27" ht="18.75" customHeight="1">
      <c r="A125" s="3608" t="s">
        <v>1452</v>
      </c>
      <c r="B125" s="3608"/>
      <c r="C125" s="3608"/>
      <c r="D125" s="3614" t="e">
        <f>NUMBERSTRING(INT(D124*10000),2)&amp;"元整"</f>
        <v>#VALUE!</v>
      </c>
      <c r="E125" s="3616"/>
      <c r="F125" s="3616"/>
      <c r="G125" s="3616"/>
      <c r="H125" s="3616"/>
      <c r="I125" s="3615"/>
      <c r="AA125" s="721"/>
    </row>
    <row r="126" spans="1:27" ht="18.75" customHeight="1">
      <c r="A126" s="3620" t="str">
        <f>IF(项目基本情况!B9="房地产市场价值","",MID(E111,3,LEN(E111)-2))</f>
        <v/>
      </c>
      <c r="B126" s="3620"/>
      <c r="C126" s="3620"/>
      <c r="D126" s="3609" t="str">
        <f>H111</f>
        <v>——</v>
      </c>
      <c r="E126" s="3610"/>
      <c r="F126" s="3610"/>
      <c r="G126" s="3610"/>
      <c r="H126" s="3610"/>
      <c r="I126" s="3611"/>
      <c r="AA126" s="721"/>
    </row>
    <row r="127" spans="1:27" ht="18.75" customHeight="1">
      <c r="A127" s="3608" t="s">
        <v>1452</v>
      </c>
      <c r="B127" s="3608"/>
      <c r="C127" s="3608"/>
      <c r="D127" s="3614" t="e">
        <f>NUMBERSTRING(INT(D126*10000),2)&amp;"元整"</f>
        <v>#VALUE!</v>
      </c>
      <c r="E127" s="3616"/>
      <c r="F127" s="3616"/>
      <c r="G127" s="3616"/>
      <c r="H127" s="3616"/>
      <c r="I127" s="3615"/>
      <c r="AA127" s="721"/>
    </row>
    <row r="128" spans="1:27" ht="21.75" customHeight="1">
      <c r="A128" s="3617" t="s">
        <v>1453</v>
      </c>
      <c r="B128" s="3617"/>
      <c r="C128" s="3617"/>
      <c r="D128" s="3617"/>
      <c r="E128" s="3617"/>
      <c r="F128" s="3617"/>
      <c r="G128" s="3617"/>
      <c r="H128" s="3617"/>
      <c r="I128" s="3617"/>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0.12</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687" t="s">
        <v>1544</v>
      </c>
    </row>
    <row r="43" spans="1:7" ht="13.5" customHeight="1">
      <c r="A43" s="776" t="s">
        <v>347</v>
      </c>
      <c r="B43" s="212" t="s">
        <v>1545</v>
      </c>
      <c r="C43" s="235">
        <f ca="1">ROUND(IF('数据-取费表'!B22&lt;=1,C39*F22*'数据-取费表'!B21/2,C39*(POWER((1+F22),'数据-取费表'!B21/2)-1)),0)</f>
        <v>0</v>
      </c>
      <c r="D43" s="235"/>
      <c r="E43" s="235"/>
      <c r="F43" s="236"/>
      <c r="G43" s="3688"/>
    </row>
    <row r="44" spans="1:7" ht="13.5" customHeight="1">
      <c r="A44" s="776" t="s">
        <v>348</v>
      </c>
      <c r="B44" s="212" t="s">
        <v>1546</v>
      </c>
      <c r="C44" s="235">
        <f ca="1">ROUND(IF('数据-取费表'!B22&lt;=1,C40*F22*'数据-取费表'!B21/2,C40*(POWER((1+F22),'数据-取费表'!B21/2)-1)),4)</f>
        <v>2.2000000000000001E-3</v>
      </c>
      <c r="D44" s="235"/>
      <c r="E44" s="235"/>
      <c r="F44" s="236"/>
      <c r="G44" s="3689"/>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03" t="str">
        <f>项目基本情况!B1</f>
        <v>北京市房地产市场价值预评估</v>
      </c>
      <c r="C37" s="3503"/>
      <c r="D37" s="3503"/>
      <c r="E37" s="3503"/>
      <c r="F37" s="3503"/>
      <c r="G37" s="3503"/>
      <c r="H37" s="3503"/>
      <c r="I37" s="3503"/>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F36" sqref="F36"/>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3400</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2.8502000000000001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28502</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15060</v>
      </c>
      <c r="D5" s="208" t="s">
        <v>1469</v>
      </c>
      <c r="E5" s="209" t="s">
        <v>1470</v>
      </c>
      <c r="F5" s="209" t="s">
        <v>1471</v>
      </c>
      <c r="G5" s="210"/>
    </row>
    <row r="6" spans="1:8" s="211" customFormat="1" ht="13.5" customHeight="1">
      <c r="A6" s="774" t="s">
        <v>1472</v>
      </c>
      <c r="B6" s="212" t="s">
        <v>1473</v>
      </c>
      <c r="C6" s="213">
        <f>'土地比较法-住宅、综合'!C48</f>
        <v>14614</v>
      </c>
      <c r="D6" s="214"/>
      <c r="E6" s="215"/>
      <c r="F6" s="215"/>
      <c r="G6" s="216"/>
    </row>
    <row r="7" spans="1:8" s="211" customFormat="1" ht="13.5" customHeight="1">
      <c r="A7" s="774" t="s">
        <v>1474</v>
      </c>
      <c r="B7" s="212" t="s">
        <v>1475</v>
      </c>
      <c r="C7" s="217">
        <f>ROUND(C6*F7,0)</f>
        <v>446</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3408</v>
      </c>
    </row>
    <row r="20" spans="1:7" s="211" customFormat="1" ht="13.5" customHeight="1">
      <c r="A20" s="252" t="s">
        <v>1574</v>
      </c>
      <c r="B20" s="207" t="s">
        <v>1575</v>
      </c>
      <c r="C20" s="229">
        <f>ROUND((C5+C19)*F20,0)</f>
        <v>452</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2283</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2250</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1551</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1551</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1327</v>
      </c>
      <c r="F30" s="234">
        <f>'数据-取费表'!B41</f>
        <v>5.5000000000000007E-2</v>
      </c>
      <c r="G30" s="231" t="s">
        <v>1520</v>
      </c>
    </row>
    <row r="31" spans="1:7" ht="16.5" customHeight="1">
      <c r="A31" s="206">
        <v>1</v>
      </c>
      <c r="B31" s="207" t="s">
        <v>1521</v>
      </c>
      <c r="C31" s="3448">
        <f ca="1">ROUND((C5+C19+C20+C22+C27-E30)/(1-C21-D22-D27-C30),0)</f>
        <v>20574</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6200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600</v>
      </c>
      <c r="D36" s="217"/>
      <c r="E36" s="217"/>
      <c r="F36" s="256">
        <f>'数据-取费表'!B34</f>
        <v>0.12</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186</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460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447</v>
      </c>
      <c r="D42" s="235"/>
      <c r="E42" s="235"/>
      <c r="F42" s="236"/>
      <c r="G42" s="3687" t="s">
        <v>1591</v>
      </c>
    </row>
    <row r="43" spans="1:7" ht="13.5" customHeight="1">
      <c r="A43" s="776" t="s">
        <v>347</v>
      </c>
      <c r="B43" s="212" t="s">
        <v>1545</v>
      </c>
      <c r="C43" s="235">
        <f ca="1">ROUND(IF('数据-取费表'!B22&lt;=1,C39*F22*'数据-取费表'!B20/2,C39*(POWER((1+F22),'数据-取费表'!B20/2)-1)),0)</f>
        <v>13</v>
      </c>
      <c r="D43" s="235"/>
      <c r="E43" s="235"/>
      <c r="F43" s="236"/>
      <c r="G43" s="3688"/>
    </row>
    <row r="44" spans="1:7" ht="13.5" customHeight="1">
      <c r="A44" s="776" t="s">
        <v>348</v>
      </c>
      <c r="B44" s="212" t="s">
        <v>1546</v>
      </c>
      <c r="C44" s="235">
        <f ca="1">ROUND(IF('数据-取费表'!B22&lt;=1,C40*F22*'数据-取费表'!B20/2,C40*(POWER((1+F22),'数据-取费表'!B20/2)-1)),4)</f>
        <v>2.2000000000000001E-3</v>
      </c>
      <c r="D44" s="235"/>
      <c r="E44" s="235"/>
      <c r="F44" s="236"/>
      <c r="G44" s="3689"/>
    </row>
    <row r="45" spans="1:7" s="211" customFormat="1" ht="13.5" customHeight="1">
      <c r="A45" s="252" t="s">
        <v>1547</v>
      </c>
      <c r="B45" s="241" t="s">
        <v>1513</v>
      </c>
      <c r="C45" s="242">
        <f ca="1">C46</f>
        <v>639</v>
      </c>
      <c r="D45" s="232">
        <f ca="1">C47</f>
        <v>3.0000000000000001E-3</v>
      </c>
      <c r="E45" s="233" t="s">
        <v>1539</v>
      </c>
      <c r="F45" s="243">
        <f ca="1">F27</f>
        <v>0.1</v>
      </c>
      <c r="G45" s="244" t="s">
        <v>1548</v>
      </c>
    </row>
    <row r="46" spans="1:7" s="211" customFormat="1" ht="13.5" customHeight="1">
      <c r="A46" s="776" t="s">
        <v>346</v>
      </c>
      <c r="B46" s="245" t="s">
        <v>1549</v>
      </c>
      <c r="C46" s="246">
        <f ca="1">ROUND((C33+C39)*F27,0)</f>
        <v>639</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542</v>
      </c>
      <c r="F48" s="234">
        <f>F30</f>
        <v>5.5000000000000007E-2</v>
      </c>
      <c r="G48" s="231" t="s">
        <v>1552</v>
      </c>
    </row>
    <row r="49" spans="1:7" ht="16.5" customHeight="1">
      <c r="A49" s="252" t="s">
        <v>1518</v>
      </c>
      <c r="B49" s="207" t="s">
        <v>1592</v>
      </c>
      <c r="C49" s="3447">
        <f ca="1">ROUND((C33+C39+C41+C45-E48)/(1-C40-D41-D45-C48),0)</f>
        <v>7928</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7928</v>
      </c>
      <c r="D51" s="229"/>
      <c r="E51" s="229"/>
      <c r="F51" s="261"/>
      <c r="G51" s="231" t="s">
        <v>1560</v>
      </c>
    </row>
    <row r="52" spans="1:7" s="205" customFormat="1" ht="16.5" thickBot="1">
      <c r="A52" s="262" t="s">
        <v>1561</v>
      </c>
      <c r="B52" s="263"/>
      <c r="C52" s="264">
        <f ca="1">C31+C51</f>
        <v>28502</v>
      </c>
      <c r="D52" s="263"/>
      <c r="E52" s="263"/>
      <c r="F52" s="263"/>
      <c r="G52" s="265"/>
    </row>
    <row r="55" spans="1:7" ht="15">
      <c r="B55" s="267" t="s">
        <v>1562</v>
      </c>
      <c r="C55" s="268"/>
    </row>
    <row r="56" spans="1:7">
      <c r="B56" s="270" t="s">
        <v>802</v>
      </c>
      <c r="C56" s="272">
        <f ca="1">1-C57</f>
        <v>0.72199999999999998</v>
      </c>
    </row>
    <row r="57" spans="1:7">
      <c r="B57" s="270" t="s">
        <v>803</v>
      </c>
      <c r="C57" s="271">
        <f ca="1">ROUND(C51/C52,3)</f>
        <v>0.27800000000000002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0.12</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692" t="s">
        <v>694</v>
      </c>
      <c r="C6" s="1070">
        <f ca="1">ROUND(F6*F8*F7*(1-F9)/10000,0)</f>
        <v>0</v>
      </c>
      <c r="D6" s="152" t="s">
        <v>2109</v>
      </c>
      <c r="E6" s="299" t="s">
        <v>696</v>
      </c>
      <c r="F6" s="300">
        <f ca="1">INDIRECT("'数据-取费表'!u"&amp;$G$1)</f>
        <v>0</v>
      </c>
      <c r="G6" s="1380"/>
      <c r="H6" s="1065" t="s">
        <v>398</v>
      </c>
      <c r="I6" s="3692" t="s">
        <v>694</v>
      </c>
      <c r="J6" s="298">
        <f ca="1">ROUND(M6*M8*M7*(1-M9)/10000,0)</f>
        <v>0</v>
      </c>
      <c r="K6" s="152" t="s">
        <v>2108</v>
      </c>
      <c r="L6" s="299" t="s">
        <v>696</v>
      </c>
      <c r="M6" s="300">
        <f ca="1">INDIRECT("'数据-取费表'!z"&amp;$G$1)</f>
        <v>0</v>
      </c>
    </row>
    <row r="7" spans="1:37" ht="18" customHeight="1">
      <c r="A7" s="1069"/>
      <c r="B7" s="3693"/>
      <c r="C7" s="1071"/>
      <c r="D7" s="304"/>
      <c r="E7" s="1072" t="s">
        <v>697</v>
      </c>
      <c r="F7" s="300">
        <f ca="1">IF(INDIRECT("'数据-取费表'!ah"&amp;$G$1)="",INDIRECT("'数据-取费表'!k"&amp;$G$1),INDIRECT("'数据-取费表'!ah"&amp;$G$1))</f>
        <v>0</v>
      </c>
      <c r="G7" s="1380"/>
      <c r="H7" s="301"/>
      <c r="I7" s="3693"/>
      <c r="J7" s="303"/>
      <c r="K7" s="304"/>
      <c r="L7" s="299" t="s">
        <v>697</v>
      </c>
      <c r="M7" s="300">
        <f ca="1">F7</f>
        <v>0</v>
      </c>
    </row>
    <row r="8" spans="1:37" ht="18" customHeight="1">
      <c r="A8" s="301"/>
      <c r="B8" s="3693"/>
      <c r="C8" s="303"/>
      <c r="D8" s="304"/>
      <c r="E8" s="299" t="s">
        <v>698</v>
      </c>
      <c r="F8" s="300">
        <f ca="1">INDIRECT("'数据-取费表'!ai"&amp;$G$1)</f>
        <v>0</v>
      </c>
      <c r="G8" s="1380"/>
      <c r="H8" s="301"/>
      <c r="I8" s="3693"/>
      <c r="J8" s="303"/>
      <c r="K8" s="304"/>
      <c r="L8" s="299" t="s">
        <v>698</v>
      </c>
      <c r="M8" s="300">
        <f ca="1">INDIRECT("'数据-取费表'!ai"&amp;$G$1)</f>
        <v>0</v>
      </c>
    </row>
    <row r="9" spans="1:37" ht="18" customHeight="1">
      <c r="A9" s="301"/>
      <c r="B9" s="3694"/>
      <c r="C9" s="303"/>
      <c r="D9" s="304"/>
      <c r="E9" s="299" t="s">
        <v>699</v>
      </c>
      <c r="F9" s="309">
        <f ca="1">INDIRECT("'数据-取费表'!w"&amp;$G$1)</f>
        <v>0</v>
      </c>
      <c r="G9" s="1380"/>
      <c r="H9" s="301"/>
      <c r="I9" s="3694"/>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690" t="s">
        <v>837</v>
      </c>
      <c r="L53" s="3691"/>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A37" zoomScale="80" zoomScaleNormal="60" zoomScaleSheetLayoutView="80" workbookViewId="0">
      <selection activeCell="E15" sqref="E15"/>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ROUND((1+M15%)*(1+M11%)*(1+M10%)*(1+M9%)*(1+M8%)*(1+M7%)*(1+M6%),4)</f>
        <v>1.0585</v>
      </c>
      <c r="M2" s="3472">
        <f>ROUND((1+M16%)*(1+M15%)*(1+M11%)*(1+M10%)*(1+M9%)*(1+M8%)*(1+M7%)*(1+M6%),4)</f>
        <v>1.0702</v>
      </c>
      <c r="N2" s="3472">
        <f>ROUND((1+M25%)*(1+M24%)*(1+M23%)*(1+M22%)*(1+M21%)*(1+M16%)*(1+M15%)*(1+M11%)*(1+M10%)*(1+M9%)*(1+M8%)*(1+M7%)*(1+M6%),4)</f>
        <v>1.1146</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3.4246561707255201</v>
      </c>
      <c r="J3" s="904"/>
      <c r="K3" s="906"/>
      <c r="L3" s="3473">
        <f>1/L2</f>
        <v>0.94473311289560702</v>
      </c>
      <c r="M3" s="3473">
        <f t="shared" ref="M3:N3" si="0">1/M2</f>
        <v>0.93440478415249484</v>
      </c>
      <c r="N3" s="3473">
        <f t="shared" si="0"/>
        <v>0.897182845863987</v>
      </c>
      <c r="O3" s="2727"/>
      <c r="P3" s="695"/>
      <c r="Q3" s="695"/>
      <c r="R3" s="695"/>
      <c r="S3" s="695"/>
      <c r="T3" s="695"/>
      <c r="U3" s="695"/>
      <c r="V3" s="695"/>
      <c r="W3" s="695"/>
      <c r="X3" s="695"/>
      <c r="Y3" s="695"/>
      <c r="Z3" s="695"/>
      <c r="AA3" s="695"/>
      <c r="AB3" s="712"/>
      <c r="AC3" s="709"/>
    </row>
    <row r="4" spans="1:30" ht="15">
      <c r="A4" s="352" t="s">
        <v>1769</v>
      </c>
      <c r="B4" s="353"/>
      <c r="C4" s="3713" t="s">
        <v>1770</v>
      </c>
      <c r="D4" s="3714"/>
      <c r="E4" s="3715" t="s">
        <v>1771</v>
      </c>
      <c r="F4" s="3716"/>
      <c r="G4" s="3713" t="s">
        <v>1772</v>
      </c>
      <c r="H4" s="3714"/>
      <c r="I4" s="3713" t="s">
        <v>1773</v>
      </c>
      <c r="J4" s="3714"/>
      <c r="K4" s="556" t="s">
        <v>1774</v>
      </c>
      <c r="L4" s="2707"/>
      <c r="M4" s="2708"/>
      <c r="N4" s="2708"/>
      <c r="O4" s="2708"/>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30" ht="66.95" customHeight="1">
      <c r="A5" s="355"/>
      <c r="B5" s="356"/>
      <c r="C5" s="3706" t="s">
        <v>3549</v>
      </c>
      <c r="D5" s="3707"/>
      <c r="E5" s="3704" t="str">
        <f>招拍挂案例!C4</f>
        <v>集体建设用地区级统筹大兴区瀛海镇YZ00-0803-2009、2012A、2012B、2015地块</v>
      </c>
      <c r="F5" s="3705"/>
      <c r="G5" s="3706" t="str">
        <f>招拍挂案例!C5</f>
        <v>集体建设用地区级统筹大兴区瀛海镇YZ00-0803-2003、2004、2005A、2005B、2008地块</v>
      </c>
      <c r="H5" s="3707"/>
      <c r="I5" s="3706" t="str">
        <f>招拍挂案例!C9</f>
        <v>集体建设用地区级统筹大兴区瀛海镇YZ00-0803-2010、2013A、2013B、2014、2016地块</v>
      </c>
      <c r="J5" s="3707"/>
      <c r="K5" s="556"/>
      <c r="L5" s="3470" t="s">
        <v>3547</v>
      </c>
      <c r="M5" s="3467" t="s">
        <v>3540</v>
      </c>
      <c r="N5" s="2708"/>
      <c r="O5" s="2708"/>
      <c r="P5" s="3719"/>
      <c r="Q5" s="3720"/>
      <c r="R5" s="3702"/>
      <c r="S5" s="3703"/>
      <c r="T5" s="3702"/>
      <c r="U5" s="3703"/>
      <c r="V5" s="3725"/>
      <c r="W5" s="3725"/>
      <c r="X5" s="1351"/>
      <c r="Y5" s="3702"/>
      <c r="Z5" s="3703"/>
      <c r="AA5" s="3696"/>
      <c r="AB5" s="3696"/>
      <c r="AC5" s="3696"/>
    </row>
    <row r="6" spans="1:30" ht="15.75" thickBot="1">
      <c r="A6" s="357"/>
      <c r="B6" s="358"/>
      <c r="C6" s="3708"/>
      <c r="D6" s="3709"/>
      <c r="E6" s="3710" t="s">
        <v>3490</v>
      </c>
      <c r="F6" s="3711"/>
      <c r="G6" s="3710" t="s">
        <v>3491</v>
      </c>
      <c r="H6" s="3711"/>
      <c r="I6" s="3726" t="s">
        <v>3492</v>
      </c>
      <c r="J6" s="3727"/>
      <c r="K6" s="556" t="s">
        <v>1678</v>
      </c>
      <c r="L6" s="3467" t="s">
        <v>3367</v>
      </c>
      <c r="M6" s="3471">
        <f>'地价-分区'!G29</f>
        <v>0.38</v>
      </c>
      <c r="N6" s="2708"/>
      <c r="O6" s="2708"/>
      <c r="P6" s="3721"/>
      <c r="Q6" s="3722"/>
      <c r="R6" s="3702"/>
      <c r="S6" s="3703"/>
      <c r="T6" s="3723"/>
      <c r="U6" s="3724"/>
      <c r="V6" s="3725"/>
      <c r="W6" s="3725"/>
      <c r="X6" s="1351"/>
      <c r="Y6" s="3723"/>
      <c r="Z6" s="3724"/>
      <c r="AA6" s="3697"/>
      <c r="AB6" s="3697"/>
      <c r="AC6" s="3697"/>
    </row>
    <row r="7" spans="1:30" s="108" customFormat="1" ht="15.75" thickBot="1">
      <c r="A7" s="359" t="s">
        <v>1679</v>
      </c>
      <c r="B7" s="360"/>
      <c r="C7" s="361">
        <f>'数据-取费表'!B2</f>
        <v>44970</v>
      </c>
      <c r="D7" s="362">
        <v>100</v>
      </c>
      <c r="E7" s="363">
        <f>招拍挂案例!N4</f>
        <v>44237.000497685185</v>
      </c>
      <c r="F7" s="364">
        <f>ROUND(1/L2*100,1)</f>
        <v>94.5</v>
      </c>
      <c r="G7" s="1967">
        <f>招拍挂案例!N5</f>
        <v>44190.000497685185</v>
      </c>
      <c r="H7" s="362">
        <f>ROUND(1/M2*100,1)</f>
        <v>93.4</v>
      </c>
      <c r="I7" s="1967">
        <f>招拍挂案例!N9</f>
        <v>43720.000497685185</v>
      </c>
      <c r="J7" s="362">
        <f>ROUND(1/N2*100,1)</f>
        <v>89.7</v>
      </c>
      <c r="K7" s="557"/>
      <c r="L7" s="3467" t="s">
        <v>3368</v>
      </c>
      <c r="M7" s="3471">
        <v>0.72</v>
      </c>
      <c r="N7" s="2710"/>
      <c r="O7" s="2710"/>
      <c r="P7" s="3698" t="s">
        <v>1680</v>
      </c>
      <c r="Q7" s="3728"/>
      <c r="R7" s="697" t="s">
        <v>14</v>
      </c>
      <c r="S7" s="698">
        <f t="shared" ref="S7:S15" si="1">F7</f>
        <v>94.5</v>
      </c>
      <c r="T7" s="697" t="s">
        <v>14</v>
      </c>
      <c r="U7" s="698">
        <f t="shared" ref="U7:U15" si="2">H7</f>
        <v>93.4</v>
      </c>
      <c r="V7" s="697" t="s">
        <v>14</v>
      </c>
      <c r="W7" s="698">
        <f t="shared" ref="W7:W15" si="3">J7</f>
        <v>89.7</v>
      </c>
      <c r="X7" s="699"/>
      <c r="Y7" s="3698" t="s">
        <v>1680</v>
      </c>
      <c r="Z7" s="3699"/>
      <c r="AA7" s="700">
        <f>D7/F7</f>
        <v>1.0582010582010581</v>
      </c>
      <c r="AB7" s="700">
        <f>D7/H7</f>
        <v>1.070663811563169</v>
      </c>
      <c r="AC7" s="700">
        <f>D7/J7</f>
        <v>1.1148272017837235</v>
      </c>
    </row>
    <row r="8" spans="1:30" s="108" customFormat="1" ht="15.75" thickBot="1">
      <c r="A8" s="359" t="s">
        <v>1681</v>
      </c>
      <c r="B8" s="360"/>
      <c r="C8" s="365" t="s">
        <v>3498</v>
      </c>
      <c r="D8" s="362">
        <v>100</v>
      </c>
      <c r="E8" s="365" t="s">
        <v>3500</v>
      </c>
      <c r="F8" s="364">
        <f>SUMIF(72:72,E8,73:73)-SUMIF(72:72,C8,73:73)+100</f>
        <v>100</v>
      </c>
      <c r="G8" s="365" t="s">
        <v>3500</v>
      </c>
      <c r="H8" s="362">
        <f>SUMIF(72:72,G8,73:73)-SUMIF(72:72,C8,73:73)+100</f>
        <v>100</v>
      </c>
      <c r="I8" s="365" t="s">
        <v>3500</v>
      </c>
      <c r="J8" s="362">
        <f>SUMIF(72:72,I8,73:73)-SUMIF(72:72,C8,73:73)+100</f>
        <v>100</v>
      </c>
      <c r="K8" s="557"/>
      <c r="L8" s="3467" t="s">
        <v>3365</v>
      </c>
      <c r="M8" s="3471">
        <v>1.05</v>
      </c>
      <c r="N8" s="2710"/>
      <c r="O8" s="2710"/>
      <c r="P8" s="3698" t="s">
        <v>1683</v>
      </c>
      <c r="Q8" s="3699"/>
      <c r="R8" s="697" t="s">
        <v>14</v>
      </c>
      <c r="S8" s="698">
        <f t="shared" si="1"/>
        <v>100</v>
      </c>
      <c r="T8" s="697" t="s">
        <v>14</v>
      </c>
      <c r="U8" s="698">
        <f t="shared" si="2"/>
        <v>100</v>
      </c>
      <c r="V8" s="697" t="s">
        <v>14</v>
      </c>
      <c r="W8" s="698">
        <f t="shared" si="3"/>
        <v>100</v>
      </c>
      <c r="X8" s="699"/>
      <c r="Y8" s="3698" t="s">
        <v>1683</v>
      </c>
      <c r="Z8" s="3699"/>
      <c r="AA8" s="700">
        <f t="shared" ref="AA8:AA45" si="4">D8/F8</f>
        <v>1</v>
      </c>
      <c r="AB8" s="700">
        <f t="shared" ref="AB8:AB45" si="5">D8/H8</f>
        <v>1</v>
      </c>
      <c r="AC8" s="700">
        <f t="shared" ref="AC8:AC45" si="6">D8/J8</f>
        <v>1</v>
      </c>
    </row>
    <row r="9" spans="1:30" s="108" customFormat="1" ht="42.75">
      <c r="A9" s="366" t="s">
        <v>1684</v>
      </c>
      <c r="B9" s="63" t="s">
        <v>1685</v>
      </c>
      <c r="C9" s="1970" t="s">
        <v>3494</v>
      </c>
      <c r="D9" s="124">
        <v>100</v>
      </c>
      <c r="E9" s="1970" t="s">
        <v>3494</v>
      </c>
      <c r="F9" s="124">
        <f>SUMIF(74:74,E9,75:75)-SUMIF(74:74,C9,75:75)+100</f>
        <v>100</v>
      </c>
      <c r="G9" s="1970" t="s">
        <v>3494</v>
      </c>
      <c r="H9" s="124">
        <f>SUMIF(74:74,G9,75:75)-SUMIF(74:74,C9,75:75)+100</f>
        <v>100</v>
      </c>
      <c r="I9" s="1970" t="s">
        <v>3494</v>
      </c>
      <c r="J9" s="124">
        <f>SUMIF(74:74,I9,75:75)-SUMIF(74:74,C9,75:75)+100</f>
        <v>100</v>
      </c>
      <c r="K9" s="557"/>
      <c r="L9" s="3467" t="s">
        <v>2838</v>
      </c>
      <c r="M9" s="3471">
        <v>0.96</v>
      </c>
      <c r="N9" s="2710"/>
      <c r="O9" s="2764"/>
      <c r="P9" s="3712" t="s">
        <v>1686</v>
      </c>
      <c r="Q9" s="1339" t="str">
        <f t="shared" ref="Q9:Q15" si="7">B9</f>
        <v>用途</v>
      </c>
      <c r="R9" s="697" t="s">
        <v>14</v>
      </c>
      <c r="S9" s="698">
        <f t="shared" si="1"/>
        <v>100</v>
      </c>
      <c r="T9" s="697" t="s">
        <v>14</v>
      </c>
      <c r="U9" s="698">
        <f t="shared" si="2"/>
        <v>100</v>
      </c>
      <c r="V9" s="697" t="s">
        <v>14</v>
      </c>
      <c r="W9" s="698">
        <f t="shared" si="3"/>
        <v>100</v>
      </c>
      <c r="X9" s="699"/>
      <c r="Y9" s="3663"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3497</v>
      </c>
      <c r="F10" s="125">
        <f>ROUND(100/'数据-取费表'!G16,0)</f>
        <v>100</v>
      </c>
      <c r="G10" s="411" t="s">
        <v>3497</v>
      </c>
      <c r="H10" s="125">
        <f>ROUND(100/'数据-取费表'!G16,0)</f>
        <v>100</v>
      </c>
      <c r="I10" s="411" t="s">
        <v>3497</v>
      </c>
      <c r="J10" s="125">
        <f>ROUND(100/'数据-取费表'!G16,0)</f>
        <v>100</v>
      </c>
      <c r="K10" s="617"/>
      <c r="L10" s="3467" t="s">
        <v>2839</v>
      </c>
      <c r="M10" s="3471">
        <v>1.17</v>
      </c>
      <c r="N10" s="2712"/>
      <c r="O10" s="2765"/>
      <c r="P10" s="3712"/>
      <c r="Q10" s="1339" t="str">
        <f t="shared" si="7"/>
        <v>土地使用年限（年）</v>
      </c>
      <c r="R10" s="697" t="s">
        <v>14</v>
      </c>
      <c r="S10" s="698">
        <f t="shared" si="1"/>
        <v>100</v>
      </c>
      <c r="T10" s="697" t="s">
        <v>14</v>
      </c>
      <c r="U10" s="698">
        <f t="shared" si="2"/>
        <v>100</v>
      </c>
      <c r="V10" s="697" t="s">
        <v>14</v>
      </c>
      <c r="W10" s="698">
        <f t="shared" si="3"/>
        <v>100</v>
      </c>
      <c r="X10" s="699"/>
      <c r="Y10" s="3663"/>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v>2.37</v>
      </c>
      <c r="H11" s="125">
        <f>LOOKUP(G11,79:79,80:80)-LOOKUP(C11,79:79,80:80)+100</f>
        <v>99.5</v>
      </c>
      <c r="I11" s="377">
        <v>2.2599999999999998</v>
      </c>
      <c r="J11" s="125">
        <f>LOOKUP(I11,79:79,80:80)-LOOKUP(C11,79:79,80:80)+100</f>
        <v>100</v>
      </c>
      <c r="K11" s="618">
        <v>0.5</v>
      </c>
      <c r="L11" s="3467" t="s">
        <v>2840</v>
      </c>
      <c r="M11" s="3471">
        <v>0.48</v>
      </c>
      <c r="N11" s="2708"/>
      <c r="O11" s="2766"/>
      <c r="P11" s="3712"/>
      <c r="Q11" s="1339" t="str">
        <f t="shared" si="7"/>
        <v>容积率</v>
      </c>
      <c r="R11" s="697" t="s">
        <v>14</v>
      </c>
      <c r="S11" s="698">
        <f t="shared" si="1"/>
        <v>98.5</v>
      </c>
      <c r="T11" s="697" t="s">
        <v>14</v>
      </c>
      <c r="U11" s="698">
        <f t="shared" si="2"/>
        <v>99.5</v>
      </c>
      <c r="V11" s="697" t="s">
        <v>14</v>
      </c>
      <c r="W11" s="698">
        <f t="shared" si="3"/>
        <v>100</v>
      </c>
      <c r="X11" s="699"/>
      <c r="Y11" s="3663"/>
      <c r="Z11" s="52" t="str">
        <f t="shared" si="8"/>
        <v>容积率</v>
      </c>
      <c r="AA11" s="700">
        <f t="shared" si="4"/>
        <v>1.015228426395939</v>
      </c>
      <c r="AB11" s="700">
        <f t="shared" si="5"/>
        <v>1.0050251256281406</v>
      </c>
      <c r="AC11" s="700">
        <f t="shared" si="6"/>
        <v>1</v>
      </c>
    </row>
    <row r="12" spans="1:30" s="108" customFormat="1" ht="15" hidden="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2764"/>
      <c r="P12" s="3712"/>
      <c r="Q12" s="1339" t="str">
        <f t="shared" si="7"/>
        <v>配建</v>
      </c>
      <c r="R12" s="697" t="s">
        <v>14</v>
      </c>
      <c r="S12" s="698">
        <f t="shared" si="1"/>
        <v>100</v>
      </c>
      <c r="T12" s="697" t="s">
        <v>14</v>
      </c>
      <c r="U12" s="698">
        <f t="shared" si="2"/>
        <v>100</v>
      </c>
      <c r="V12" s="697" t="s">
        <v>14</v>
      </c>
      <c r="W12" s="698">
        <f t="shared" si="3"/>
        <v>100</v>
      </c>
      <c r="X12" s="699"/>
      <c r="Y12" s="3663"/>
      <c r="Z12" s="52" t="str">
        <f t="shared" si="8"/>
        <v>配建</v>
      </c>
      <c r="AA12" s="700">
        <f>D12/F12</f>
        <v>1</v>
      </c>
      <c r="AB12" s="700">
        <f>D12/H12</f>
        <v>1</v>
      </c>
      <c r="AC12" s="700">
        <f>D12/J12</f>
        <v>1</v>
      </c>
    </row>
    <row r="13" spans="1:30" ht="15" hidden="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12"/>
      <c r="Q13" s="1339">
        <f t="shared" si="7"/>
        <v>111</v>
      </c>
      <c r="R13" s="697" t="s">
        <v>14</v>
      </c>
      <c r="S13" s="698">
        <f t="shared" si="1"/>
        <v>100</v>
      </c>
      <c r="T13" s="697" t="s">
        <v>14</v>
      </c>
      <c r="U13" s="698">
        <f t="shared" si="2"/>
        <v>100</v>
      </c>
      <c r="V13" s="697" t="s">
        <v>14</v>
      </c>
      <c r="W13" s="698">
        <f t="shared" si="3"/>
        <v>100</v>
      </c>
      <c r="X13" s="699"/>
      <c r="Y13" s="3663"/>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12"/>
      <c r="Q14" s="1339">
        <f t="shared" si="7"/>
        <v>111</v>
      </c>
      <c r="R14" s="697" t="s">
        <v>14</v>
      </c>
      <c r="S14" s="698">
        <f t="shared" si="1"/>
        <v>100</v>
      </c>
      <c r="T14" s="697" t="s">
        <v>14</v>
      </c>
      <c r="U14" s="698">
        <f t="shared" si="2"/>
        <v>100</v>
      </c>
      <c r="V14" s="697" t="s">
        <v>14</v>
      </c>
      <c r="W14" s="698">
        <f t="shared" si="3"/>
        <v>100</v>
      </c>
      <c r="X14" s="699"/>
      <c r="Y14" s="3663"/>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3509</v>
      </c>
      <c r="F15" s="389">
        <f>SUMIF(87:87,E16,88:88)-SUMIF(87:87,C16,88:88)+100</f>
        <v>100</v>
      </c>
      <c r="G15" s="400" t="s">
        <v>3509</v>
      </c>
      <c r="H15" s="389">
        <f>SUMIF(87:87,G16,88:88)-SUMIF(87:87,C16,88:88)+100</f>
        <v>100</v>
      </c>
      <c r="I15" s="400" t="s">
        <v>3509</v>
      </c>
      <c r="J15" s="389">
        <f>SUMIF(87:87,I16,88:88)-SUMIF(87:87,C16,88:88)+100</f>
        <v>100</v>
      </c>
      <c r="K15" s="618">
        <v>2</v>
      </c>
      <c r="L15" s="3467" t="s">
        <v>2841</v>
      </c>
      <c r="M15" s="3471">
        <v>0.95</v>
      </c>
      <c r="N15" s="2708"/>
      <c r="O15" s="2766"/>
      <c r="P15" s="3729" t="s">
        <v>1691</v>
      </c>
      <c r="Q15" s="1348" t="str">
        <f t="shared" si="7"/>
        <v>居住社区成熟度</v>
      </c>
      <c r="R15" s="701" t="s">
        <v>14</v>
      </c>
      <c r="S15" s="702">
        <f t="shared" si="1"/>
        <v>100</v>
      </c>
      <c r="T15" s="701" t="s">
        <v>14</v>
      </c>
      <c r="U15" s="702">
        <f t="shared" si="2"/>
        <v>100</v>
      </c>
      <c r="V15" s="701" t="s">
        <v>14</v>
      </c>
      <c r="W15" s="702">
        <f t="shared" si="3"/>
        <v>100</v>
      </c>
      <c r="X15" s="1351"/>
      <c r="Y15" s="3729" t="s">
        <v>1691</v>
      </c>
      <c r="Z15" s="1352" t="str">
        <f t="shared" si="8"/>
        <v>居住社区成熟度</v>
      </c>
      <c r="AA15" s="1349">
        <f t="shared" si="4"/>
        <v>1</v>
      </c>
      <c r="AB15" s="1349">
        <f t="shared" si="5"/>
        <v>1</v>
      </c>
      <c r="AC15" s="1349">
        <f t="shared" si="6"/>
        <v>1</v>
      </c>
    </row>
    <row r="16" spans="1:30" ht="15">
      <c r="A16" s="376"/>
      <c r="B16" s="394"/>
      <c r="C16" s="395" t="s">
        <v>3501</v>
      </c>
      <c r="D16" s="396"/>
      <c r="E16" s="1893" t="s">
        <v>3501</v>
      </c>
      <c r="F16" s="396"/>
      <c r="G16" s="1893" t="s">
        <v>3501</v>
      </c>
      <c r="H16" s="398"/>
      <c r="I16" s="1892" t="s">
        <v>3501</v>
      </c>
      <c r="J16" s="396"/>
      <c r="K16" s="617"/>
      <c r="L16" s="3467" t="s">
        <v>3541</v>
      </c>
      <c r="M16" s="3471">
        <v>1.1100000000000001</v>
      </c>
      <c r="N16" s="2708"/>
      <c r="O16" s="2766"/>
      <c r="P16" s="3730"/>
      <c r="Q16" s="1348"/>
      <c r="R16" s="701"/>
      <c r="S16" s="702"/>
      <c r="T16" s="701"/>
      <c r="U16" s="702"/>
      <c r="V16" s="701"/>
      <c r="W16" s="702"/>
      <c r="X16" s="1351"/>
      <c r="Y16" s="3730"/>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30"/>
      <c r="Q17" s="1348" t="str">
        <f>B17</f>
        <v>商业繁华度</v>
      </c>
      <c r="R17" s="701" t="s">
        <v>14</v>
      </c>
      <c r="S17" s="702">
        <f>F17</f>
        <v>100</v>
      </c>
      <c r="T17" s="701" t="s">
        <v>14</v>
      </c>
      <c r="U17" s="702">
        <f>H17</f>
        <v>100</v>
      </c>
      <c r="V17" s="701" t="s">
        <v>14</v>
      </c>
      <c r="W17" s="702">
        <f>J17</f>
        <v>100</v>
      </c>
      <c r="X17" s="1351"/>
      <c r="Y17" s="3730"/>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30"/>
      <c r="Q18" s="1348"/>
      <c r="R18" s="701"/>
      <c r="S18" s="702"/>
      <c r="T18" s="701"/>
      <c r="U18" s="702"/>
      <c r="V18" s="701"/>
      <c r="W18" s="702"/>
      <c r="X18" s="1351"/>
      <c r="Y18" s="3730"/>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30"/>
      <c r="Q19" s="1348" t="str">
        <f>B19</f>
        <v>办公集聚程度</v>
      </c>
      <c r="R19" s="701" t="s">
        <v>14</v>
      </c>
      <c r="S19" s="702">
        <f>F19</f>
        <v>100</v>
      </c>
      <c r="T19" s="701" t="s">
        <v>14</v>
      </c>
      <c r="U19" s="702">
        <f>H19</f>
        <v>100</v>
      </c>
      <c r="V19" s="701" t="s">
        <v>14</v>
      </c>
      <c r="W19" s="702">
        <f>J19</f>
        <v>100</v>
      </c>
      <c r="X19" s="1351"/>
      <c r="Y19" s="3730"/>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30"/>
      <c r="Q20" s="1348"/>
      <c r="R20" s="701"/>
      <c r="S20" s="702"/>
      <c r="T20" s="701"/>
      <c r="U20" s="702"/>
      <c r="V20" s="701"/>
      <c r="W20" s="702"/>
      <c r="X20" s="1351"/>
      <c r="Y20" s="3730"/>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3510</v>
      </c>
      <c r="F21" s="403">
        <f>SUMIF(93:93,E22,94:94)-SUMIF(93:93,C22,94:94)+100</f>
        <v>100</v>
      </c>
      <c r="G21" s="400" t="s">
        <v>3510</v>
      </c>
      <c r="H21" s="398">
        <f>SUMIF(93:93,G22,94:94)-SUMIF(93:93,C22,94:94)+100</f>
        <v>100</v>
      </c>
      <c r="I21" s="400" t="s">
        <v>3510</v>
      </c>
      <c r="J21" s="398">
        <f>SUMIF(93:93,I22,94:94)-SUMIF(93:93,C22,94:94)+100</f>
        <v>100</v>
      </c>
      <c r="K21" s="618">
        <v>2</v>
      </c>
      <c r="L21" s="3467" t="s">
        <v>3542</v>
      </c>
      <c r="M21" s="3468">
        <v>2.35</v>
      </c>
      <c r="N21" s="2708"/>
      <c r="O21" s="2766"/>
      <c r="P21" s="3730"/>
      <c r="Q21" s="1348" t="str">
        <f>B21</f>
        <v>交通便捷度</v>
      </c>
      <c r="R21" s="701" t="s">
        <v>14</v>
      </c>
      <c r="S21" s="702">
        <f>F21</f>
        <v>100</v>
      </c>
      <c r="T21" s="701" t="s">
        <v>14</v>
      </c>
      <c r="U21" s="702">
        <f>H21</f>
        <v>100</v>
      </c>
      <c r="V21" s="701" t="s">
        <v>14</v>
      </c>
      <c r="W21" s="702">
        <f>J21</f>
        <v>100</v>
      </c>
      <c r="X21" s="1351"/>
      <c r="Y21" s="3730"/>
      <c r="Z21" s="1352" t="str">
        <f>Q21</f>
        <v>交通便捷度</v>
      </c>
      <c r="AA21" s="1349">
        <f t="shared" si="4"/>
        <v>1</v>
      </c>
      <c r="AB21" s="1349">
        <f t="shared" si="5"/>
        <v>1</v>
      </c>
      <c r="AC21" s="1349">
        <f t="shared" si="6"/>
        <v>1</v>
      </c>
    </row>
    <row r="22" spans="1:29" ht="15">
      <c r="A22" s="376"/>
      <c r="B22" s="1127"/>
      <c r="C22" s="395" t="s">
        <v>3538</v>
      </c>
      <c r="D22" s="398"/>
      <c r="E22" s="1893" t="s">
        <v>3538</v>
      </c>
      <c r="F22" s="396"/>
      <c r="G22" s="1893" t="s">
        <v>3538</v>
      </c>
      <c r="H22" s="396"/>
      <c r="I22" s="1892" t="s">
        <v>3538</v>
      </c>
      <c r="J22" s="396"/>
      <c r="K22" s="617"/>
      <c r="L22" s="3467" t="s">
        <v>3543</v>
      </c>
      <c r="M22" s="3468">
        <v>0.49</v>
      </c>
      <c r="N22" s="2708"/>
      <c r="O22" s="2766"/>
      <c r="P22" s="3730"/>
      <c r="Q22" s="1348"/>
      <c r="R22" s="701"/>
      <c r="S22" s="702"/>
      <c r="T22" s="701"/>
      <c r="U22" s="702"/>
      <c r="V22" s="701"/>
      <c r="W22" s="702"/>
      <c r="X22" s="1351"/>
      <c r="Y22" s="3730"/>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t="s">
        <v>3544</v>
      </c>
      <c r="M23" s="3468">
        <v>0.5</v>
      </c>
      <c r="N23" s="2708"/>
      <c r="O23" s="2766"/>
      <c r="P23" s="3730"/>
      <c r="Q23" s="1348" t="str">
        <f t="shared" ref="Q23:Q37" si="9">B23</f>
        <v>区域土地利用方向</v>
      </c>
      <c r="R23" s="701" t="s">
        <v>14</v>
      </c>
      <c r="S23" s="702">
        <f>F23</f>
        <v>100</v>
      </c>
      <c r="T23" s="701" t="s">
        <v>14</v>
      </c>
      <c r="U23" s="702">
        <f>H23</f>
        <v>100</v>
      </c>
      <c r="V23" s="701" t="s">
        <v>14</v>
      </c>
      <c r="W23" s="702">
        <f>J23</f>
        <v>100</v>
      </c>
      <c r="X23" s="1351"/>
      <c r="Y23" s="3730"/>
      <c r="Z23" s="1352" t="str">
        <f>Q23</f>
        <v>区域土地利用方向</v>
      </c>
      <c r="AA23" s="1349">
        <f t="shared" si="4"/>
        <v>1</v>
      </c>
      <c r="AB23" s="1349">
        <f t="shared" si="5"/>
        <v>1</v>
      </c>
      <c r="AC23" s="1349">
        <f t="shared" si="6"/>
        <v>1</v>
      </c>
    </row>
    <row r="24" spans="1:29" ht="15">
      <c r="A24" s="355"/>
      <c r="B24" s="404"/>
      <c r="C24" s="562" t="s">
        <v>3501</v>
      </c>
      <c r="D24" s="396"/>
      <c r="E24" s="562" t="s">
        <v>3501</v>
      </c>
      <c r="F24" s="396"/>
      <c r="G24" s="562" t="s">
        <v>3501</v>
      </c>
      <c r="H24" s="396"/>
      <c r="I24" s="562" t="s">
        <v>3501</v>
      </c>
      <c r="J24" s="396"/>
      <c r="K24" s="736"/>
      <c r="L24" s="3467" t="s">
        <v>3545</v>
      </c>
      <c r="M24" s="3468">
        <f>地价!K16</f>
        <v>0.21</v>
      </c>
      <c r="N24" s="2708"/>
      <c r="O24" s="2766"/>
      <c r="P24" s="3730"/>
      <c r="Q24" s="1348"/>
      <c r="R24" s="701"/>
      <c r="S24" s="702"/>
      <c r="T24" s="701"/>
      <c r="U24" s="702"/>
      <c r="V24" s="701"/>
      <c r="W24" s="702"/>
      <c r="X24" s="1351"/>
      <c r="Y24" s="3730"/>
      <c r="Z24" s="1352"/>
      <c r="AA24" s="1349"/>
      <c r="AB24" s="1349"/>
      <c r="AC24" s="1349"/>
    </row>
    <row r="25" spans="1:29" ht="54" customHeight="1">
      <c r="A25" s="355"/>
      <c r="B25" s="1127" t="s">
        <v>1872</v>
      </c>
      <c r="C25" s="1948" t="str">
        <f>估价对象房地状况!C20</f>
        <v>周边3公里范围内有南海子公园、志远庄公园等自然景观，人文景观较少，综合评价环境状况一般</v>
      </c>
      <c r="D25" s="398">
        <v>100</v>
      </c>
      <c r="E25" s="400" t="s">
        <v>3502</v>
      </c>
      <c r="F25" s="398">
        <f>SUMIF(97:97,E26,98:98)-SUMIF(97:97,C26,98:98)+100</f>
        <v>100</v>
      </c>
      <c r="G25" s="400" t="s">
        <v>3502</v>
      </c>
      <c r="H25" s="398">
        <f>SUMIF(97:97,G26,98:98)-SUMIF(97:97,C26,98:98)+100</f>
        <v>100</v>
      </c>
      <c r="I25" s="400" t="s">
        <v>3502</v>
      </c>
      <c r="J25" s="398">
        <f>SUMIF(97:97,I26,98:98)-SUMIF(97:97,C26,98:98)+100</f>
        <v>100</v>
      </c>
      <c r="K25" s="618">
        <v>2</v>
      </c>
      <c r="L25" s="3467" t="s">
        <v>2127</v>
      </c>
      <c r="M25" s="3468">
        <f>地价!K17</f>
        <v>0.54</v>
      </c>
      <c r="N25" s="2708"/>
      <c r="O25" s="2766"/>
      <c r="P25" s="3730"/>
      <c r="Q25" s="1348" t="str">
        <f t="shared" si="9"/>
        <v>自然及人文环境状况</v>
      </c>
      <c r="R25" s="701" t="s">
        <v>14</v>
      </c>
      <c r="S25" s="702">
        <f>F25</f>
        <v>100</v>
      </c>
      <c r="T25" s="701" t="s">
        <v>14</v>
      </c>
      <c r="U25" s="702">
        <f>H25</f>
        <v>100</v>
      </c>
      <c r="V25" s="701" t="s">
        <v>14</v>
      </c>
      <c r="W25" s="702">
        <f>J25</f>
        <v>100</v>
      </c>
      <c r="X25" s="1351"/>
      <c r="Y25" s="3730"/>
      <c r="Z25" s="1352" t="str">
        <f>Q25</f>
        <v>自然及人文环境状况</v>
      </c>
      <c r="AA25" s="1349">
        <f t="shared" si="4"/>
        <v>1</v>
      </c>
      <c r="AB25" s="1349">
        <f t="shared" si="5"/>
        <v>1</v>
      </c>
      <c r="AC25" s="1349">
        <f t="shared" si="6"/>
        <v>1</v>
      </c>
    </row>
    <row r="26" spans="1:29" ht="15">
      <c r="A26" s="355"/>
      <c r="B26" s="404"/>
      <c r="C26" s="562" t="s">
        <v>3501</v>
      </c>
      <c r="D26" s="396"/>
      <c r="E26" s="562" t="s">
        <v>3501</v>
      </c>
      <c r="F26" s="396"/>
      <c r="G26" s="562" t="s">
        <v>3501</v>
      </c>
      <c r="H26" s="396"/>
      <c r="I26" s="562" t="s">
        <v>3501</v>
      </c>
      <c r="J26" s="396"/>
      <c r="K26" s="617"/>
      <c r="L26" s="3467" t="s">
        <v>2126</v>
      </c>
      <c r="M26" s="3468">
        <f>地价!K18</f>
        <v>0.6</v>
      </c>
      <c r="N26" s="2708"/>
      <c r="O26" s="2766"/>
      <c r="P26" s="3730"/>
      <c r="Q26" s="1348"/>
      <c r="R26" s="701"/>
      <c r="S26" s="702"/>
      <c r="T26" s="701"/>
      <c r="U26" s="702"/>
      <c r="V26" s="701"/>
      <c r="W26" s="702"/>
      <c r="X26" s="1351"/>
      <c r="Y26" s="3730"/>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3511</v>
      </c>
      <c r="F27" s="398">
        <f>SUMIF(99:99,E28,100:100)-SUMIF(99:99,C28,100:100)+100</f>
        <v>100</v>
      </c>
      <c r="G27" s="400" t="s">
        <v>3511</v>
      </c>
      <c r="H27" s="398">
        <f>SUMIF(99:99,G28,100:100)-SUMIF(99:99,C28,100:100)+100</f>
        <v>100</v>
      </c>
      <c r="I27" s="400" t="s">
        <v>3511</v>
      </c>
      <c r="J27" s="398">
        <f>SUMIF(99:99,I28,100:100)-SUMIF(99:99,C28,100:100)+100</f>
        <v>100</v>
      </c>
      <c r="K27" s="618">
        <v>2</v>
      </c>
      <c r="L27" s="3467" t="s">
        <v>3546</v>
      </c>
      <c r="M27" s="3468">
        <f>地价!K19</f>
        <v>1.62</v>
      </c>
      <c r="N27" s="2710"/>
      <c r="O27" s="2764"/>
      <c r="P27" s="3730"/>
      <c r="Q27" s="1339" t="str">
        <f t="shared" si="9"/>
        <v>公共配套设施</v>
      </c>
      <c r="R27" s="697" t="s">
        <v>14</v>
      </c>
      <c r="S27" s="698">
        <f>F27</f>
        <v>100</v>
      </c>
      <c r="T27" s="697" t="s">
        <v>14</v>
      </c>
      <c r="U27" s="698">
        <f>H27</f>
        <v>100</v>
      </c>
      <c r="V27" s="697" t="s">
        <v>14</v>
      </c>
      <c r="W27" s="698">
        <f>J27</f>
        <v>100</v>
      </c>
      <c r="X27" s="699"/>
      <c r="Y27" s="3730"/>
      <c r="Z27" s="52" t="str">
        <f>Q27</f>
        <v>公共配套设施</v>
      </c>
      <c r="AA27" s="1349">
        <f>D27/F27</f>
        <v>1</v>
      </c>
      <c r="AB27" s="1349">
        <f>D27/H27</f>
        <v>1</v>
      </c>
      <c r="AC27" s="1349">
        <f>D27/J27</f>
        <v>1</v>
      </c>
    </row>
    <row r="28" spans="1:29" s="108" customFormat="1" ht="15">
      <c r="A28" s="594"/>
      <c r="B28" s="404"/>
      <c r="C28" s="562" t="s">
        <v>3501</v>
      </c>
      <c r="D28" s="396"/>
      <c r="E28" s="562" t="s">
        <v>3501</v>
      </c>
      <c r="F28" s="396"/>
      <c r="G28" s="562" t="s">
        <v>3501</v>
      </c>
      <c r="H28" s="396"/>
      <c r="I28" s="562" t="s">
        <v>3501</v>
      </c>
      <c r="J28" s="396"/>
      <c r="K28" s="617"/>
      <c r="L28" s="3467" t="s">
        <v>2123</v>
      </c>
      <c r="M28" s="3468">
        <f>地价!K20</f>
        <v>0.63</v>
      </c>
      <c r="N28" s="2710"/>
      <c r="O28" s="2764"/>
      <c r="P28" s="3730"/>
      <c r="Q28" s="1339"/>
      <c r="R28" s="697"/>
      <c r="S28" s="698"/>
      <c r="T28" s="697"/>
      <c r="U28" s="698"/>
      <c r="V28" s="697"/>
      <c r="W28" s="698"/>
      <c r="X28" s="699"/>
      <c r="Y28" s="3730"/>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30"/>
      <c r="Q29" s="1339" t="str">
        <f t="shared" ref="Q29" si="10">B29</f>
        <v>基础设施水平</v>
      </c>
      <c r="R29" s="697" t="s">
        <v>14</v>
      </c>
      <c r="S29" s="698">
        <f>F29</f>
        <v>100</v>
      </c>
      <c r="T29" s="697" t="s">
        <v>14</v>
      </c>
      <c r="U29" s="698">
        <f>H29</f>
        <v>100</v>
      </c>
      <c r="V29" s="697" t="s">
        <v>14</v>
      </c>
      <c r="W29" s="698">
        <f>J29</f>
        <v>100</v>
      </c>
      <c r="X29" s="699"/>
      <c r="Y29" s="3730"/>
      <c r="Z29" s="52" t="str">
        <f>Q29</f>
        <v>基础设施水平</v>
      </c>
      <c r="AA29" s="1349">
        <f>D29/F29</f>
        <v>1</v>
      </c>
      <c r="AB29" s="1349">
        <f>D29/H29</f>
        <v>1</v>
      </c>
      <c r="AC29" s="1349">
        <f>D29/J29</f>
        <v>1</v>
      </c>
    </row>
    <row r="30" spans="1:29" s="108" customFormat="1" ht="15">
      <c r="A30" s="594"/>
      <c r="B30" s="404"/>
      <c r="C30" s="1971" t="s">
        <v>3534</v>
      </c>
      <c r="D30" s="396"/>
      <c r="E30" s="1972" t="s">
        <v>3534</v>
      </c>
      <c r="F30" s="396"/>
      <c r="G30" s="1972" t="s">
        <v>3534</v>
      </c>
      <c r="H30" s="396"/>
      <c r="I30" s="1972" t="s">
        <v>3534</v>
      </c>
      <c r="J30" s="396"/>
      <c r="K30" s="617"/>
      <c r="L30" s="3464"/>
      <c r="M30" s="2710"/>
      <c r="N30" s="2710"/>
      <c r="O30" s="2764"/>
      <c r="P30" s="3730"/>
      <c r="Q30" s="1339"/>
      <c r="R30" s="697"/>
      <c r="S30" s="698"/>
      <c r="T30" s="697"/>
      <c r="U30" s="698"/>
      <c r="V30" s="697"/>
      <c r="W30" s="698"/>
      <c r="X30" s="699"/>
      <c r="Y30" s="3730"/>
      <c r="Z30" s="52"/>
      <c r="AA30" s="1349">
        <v>1</v>
      </c>
      <c r="AB30" s="1349">
        <v>1</v>
      </c>
      <c r="AC30" s="1349">
        <v>1</v>
      </c>
    </row>
    <row r="31" spans="1:29" ht="15">
      <c r="A31" s="376"/>
      <c r="B31" s="404" t="s">
        <v>1780</v>
      </c>
      <c r="C31" s="562" t="s">
        <v>3535</v>
      </c>
      <c r="D31" s="383">
        <v>100</v>
      </c>
      <c r="E31" s="579" t="s">
        <v>3535</v>
      </c>
      <c r="F31" s="383">
        <f>SUMIF(103:103,E31,104:104)-SUMIF(103:103,C31,104:104)+100</f>
        <v>100</v>
      </c>
      <c r="G31" s="579" t="s">
        <v>3535</v>
      </c>
      <c r="H31" s="383">
        <f>SUMIF(103:103,G31,104:104)-SUMIF(103:103,C31,104:104)+100</f>
        <v>100</v>
      </c>
      <c r="I31" s="579" t="s">
        <v>3535</v>
      </c>
      <c r="J31" s="383">
        <f>SUMIF(103:103,I31,104:104)-SUMIF(103:103,C31,104:104)+100</f>
        <v>100</v>
      </c>
      <c r="K31" s="618"/>
      <c r="L31" s="3463"/>
      <c r="M31" s="2708"/>
      <c r="N31" s="2708"/>
      <c r="O31" s="2766"/>
      <c r="P31" s="3730"/>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30"/>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30"/>
      <c r="Q32" s="1348" t="str">
        <f t="shared" si="9"/>
        <v>毗邻道路的类型与等级</v>
      </c>
      <c r="R32" s="701" t="s">
        <v>14</v>
      </c>
      <c r="S32" s="702">
        <f t="shared" si="11"/>
        <v>100</v>
      </c>
      <c r="T32" s="701" t="s">
        <v>14</v>
      </c>
      <c r="U32" s="702">
        <f t="shared" si="12"/>
        <v>100</v>
      </c>
      <c r="V32" s="701" t="s">
        <v>14</v>
      </c>
      <c r="W32" s="702">
        <f t="shared" si="13"/>
        <v>100</v>
      </c>
      <c r="X32" s="1351"/>
      <c r="Y32" s="3730"/>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30"/>
      <c r="Q33" s="1348"/>
      <c r="R33" s="701"/>
      <c r="S33" s="702"/>
      <c r="T33" s="701"/>
      <c r="U33" s="702"/>
      <c r="V33" s="701"/>
      <c r="W33" s="702"/>
      <c r="X33" s="1351"/>
      <c r="Y33" s="3730"/>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30"/>
      <c r="Q34" s="1348" t="str">
        <f t="shared" si="9"/>
        <v>土地级别</v>
      </c>
      <c r="R34" s="701" t="s">
        <v>14</v>
      </c>
      <c r="S34" s="702">
        <f t="shared" si="11"/>
        <v>100</v>
      </c>
      <c r="T34" s="701" t="s">
        <v>14</v>
      </c>
      <c r="U34" s="702">
        <f t="shared" si="12"/>
        <v>100</v>
      </c>
      <c r="V34" s="701" t="s">
        <v>14</v>
      </c>
      <c r="W34" s="702">
        <f t="shared" si="13"/>
        <v>100</v>
      </c>
      <c r="X34" s="1351"/>
      <c r="Y34" s="3730"/>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30"/>
      <c r="Q35" s="1348">
        <f t="shared" si="9"/>
        <v>111</v>
      </c>
      <c r="R35" s="701" t="s">
        <v>14</v>
      </c>
      <c r="S35" s="702">
        <f t="shared" si="11"/>
        <v>100</v>
      </c>
      <c r="T35" s="701" t="s">
        <v>14</v>
      </c>
      <c r="U35" s="702">
        <f t="shared" si="12"/>
        <v>100</v>
      </c>
      <c r="V35" s="701" t="s">
        <v>14</v>
      </c>
      <c r="W35" s="702">
        <f t="shared" si="13"/>
        <v>100</v>
      </c>
      <c r="X35" s="1351"/>
      <c r="Y35" s="3730"/>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31" t="s">
        <v>1696</v>
      </c>
      <c r="Q36" s="1348">
        <f t="shared" si="9"/>
        <v>111</v>
      </c>
      <c r="R36" s="701" t="s">
        <v>14</v>
      </c>
      <c r="S36" s="702">
        <f t="shared" si="11"/>
        <v>100</v>
      </c>
      <c r="T36" s="701" t="s">
        <v>14</v>
      </c>
      <c r="U36" s="702">
        <f t="shared" si="12"/>
        <v>100</v>
      </c>
      <c r="V36" s="701" t="s">
        <v>14</v>
      </c>
      <c r="W36" s="702">
        <f t="shared" si="13"/>
        <v>100</v>
      </c>
      <c r="X36" s="1351"/>
      <c r="Y36" s="3732"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32"/>
      <c r="Q37" s="1348">
        <f t="shared" si="9"/>
        <v>111</v>
      </c>
      <c r="R37" s="704" t="s">
        <v>14</v>
      </c>
      <c r="S37" s="705">
        <f t="shared" si="11"/>
        <v>100</v>
      </c>
      <c r="T37" s="704" t="s">
        <v>14</v>
      </c>
      <c r="U37" s="705">
        <f t="shared" si="12"/>
        <v>100</v>
      </c>
      <c r="V37" s="704" t="s">
        <v>14</v>
      </c>
      <c r="W37" s="705">
        <f t="shared" si="13"/>
        <v>100</v>
      </c>
      <c r="X37" s="706"/>
      <c r="Y37" s="3732"/>
      <c r="Z37" s="707">
        <f t="shared" si="14"/>
        <v>111</v>
      </c>
      <c r="AA37" s="1349">
        <f t="shared" si="4"/>
        <v>1</v>
      </c>
      <c r="AB37" s="1349">
        <f t="shared" si="5"/>
        <v>1</v>
      </c>
      <c r="AC37" s="1349">
        <f t="shared" si="6"/>
        <v>1</v>
      </c>
    </row>
    <row r="38" spans="1:29" ht="15">
      <c r="A38" s="420" t="s">
        <v>1694</v>
      </c>
      <c r="B38" s="404" t="s">
        <v>1874</v>
      </c>
      <c r="C38" s="624">
        <f>多规!D8</f>
        <v>146811.16</v>
      </c>
      <c r="D38" s="415">
        <v>100</v>
      </c>
      <c r="E38" s="624">
        <f>招拍挂案例!F4</f>
        <v>41000.75</v>
      </c>
      <c r="F38" s="415">
        <f>LOOKUP(E38,116:116,117:117)-LOOKUP(C38,116:116,117:117)+100</f>
        <v>106</v>
      </c>
      <c r="G38" s="624">
        <f>招拍挂案例!F5</f>
        <v>62136.68</v>
      </c>
      <c r="H38" s="415">
        <f>LOOKUP(G38,116:116,117:117)-LOOKUP(C38,116:116,117:117)+100</f>
        <v>103</v>
      </c>
      <c r="I38" s="476">
        <f>招拍挂案例!$F$9</f>
        <v>47891.78</v>
      </c>
      <c r="J38" s="415">
        <f>LOOKUP(I38,116:116,117:117)-LOOKUP(C38,116:116,117:117)+100</f>
        <v>106</v>
      </c>
      <c r="K38" s="559"/>
      <c r="L38" s="3463"/>
      <c r="M38" s="2708"/>
      <c r="N38" s="2708"/>
      <c r="O38" s="2766"/>
      <c r="P38" s="3732"/>
      <c r="Q38" s="1348" t="str">
        <f>B38</f>
        <v>宗地面积</v>
      </c>
      <c r="R38" s="701" t="s">
        <v>14</v>
      </c>
      <c r="S38" s="702">
        <f t="shared" si="11"/>
        <v>106</v>
      </c>
      <c r="T38" s="701" t="s">
        <v>14</v>
      </c>
      <c r="U38" s="702">
        <f t="shared" si="12"/>
        <v>103</v>
      </c>
      <c r="V38" s="701" t="s">
        <v>14</v>
      </c>
      <c r="W38" s="702">
        <f t="shared" si="13"/>
        <v>106</v>
      </c>
      <c r="X38" s="1351"/>
      <c r="Y38" s="3732"/>
      <c r="Z38" s="1352" t="str">
        <f t="shared" si="14"/>
        <v>宗地面积</v>
      </c>
      <c r="AA38" s="1349">
        <f t="shared" si="4"/>
        <v>0.94339622641509435</v>
      </c>
      <c r="AB38" s="1349">
        <f t="shared" si="5"/>
        <v>0.970873786407767</v>
      </c>
      <c r="AC38" s="1349">
        <f t="shared" si="6"/>
        <v>0.94339622641509435</v>
      </c>
    </row>
    <row r="39" spans="1:29" ht="15">
      <c r="A39" s="420"/>
      <c r="B39" s="372" t="s">
        <v>1875</v>
      </c>
      <c r="C39" s="1901" t="s">
        <v>3536</v>
      </c>
      <c r="D39" s="383">
        <v>100</v>
      </c>
      <c r="E39" s="1901" t="s">
        <v>3536</v>
      </c>
      <c r="F39" s="383">
        <f>SUMIF(118:118,E39,119:119)-SUMIF(118:118,C39,119:119)+100</f>
        <v>100</v>
      </c>
      <c r="G39" s="1901" t="s">
        <v>3536</v>
      </c>
      <c r="H39" s="383">
        <f>SUMIF(118:118,G39,119:119)-SUMIF(118:118,C39,119:119)+100</f>
        <v>100</v>
      </c>
      <c r="I39" s="1901" t="s">
        <v>3536</v>
      </c>
      <c r="J39" s="383">
        <f>SUMIF(118:118,I39,119:119)-SUMIF(118:118,C39,119:119)+100</f>
        <v>100</v>
      </c>
      <c r="K39" s="558"/>
      <c r="L39" s="3463"/>
      <c r="M39" s="2708"/>
      <c r="N39" s="2708"/>
      <c r="O39" s="2766"/>
      <c r="P39" s="3732"/>
      <c r="Q39" s="1348" t="str">
        <f t="shared" ref="Q39:Q45" si="15">B39</f>
        <v>宗地形状</v>
      </c>
      <c r="R39" s="701" t="s">
        <v>14</v>
      </c>
      <c r="S39" s="702">
        <f t="shared" si="11"/>
        <v>100</v>
      </c>
      <c r="T39" s="701" t="s">
        <v>14</v>
      </c>
      <c r="U39" s="702">
        <f t="shared" si="12"/>
        <v>100</v>
      </c>
      <c r="V39" s="701" t="s">
        <v>14</v>
      </c>
      <c r="W39" s="702">
        <f t="shared" si="13"/>
        <v>100</v>
      </c>
      <c r="X39" s="1351"/>
      <c r="Y39" s="3732"/>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32"/>
      <c r="Q40" s="1348" t="str">
        <f t="shared" si="15"/>
        <v>临街宽度及深度</v>
      </c>
      <c r="R40" s="701" t="s">
        <v>14</v>
      </c>
      <c r="S40" s="702">
        <f t="shared" si="11"/>
        <v>100</v>
      </c>
      <c r="T40" s="701" t="s">
        <v>14</v>
      </c>
      <c r="U40" s="702">
        <f t="shared" si="12"/>
        <v>100</v>
      </c>
      <c r="V40" s="701" t="s">
        <v>14</v>
      </c>
      <c r="W40" s="702">
        <f t="shared" si="13"/>
        <v>100</v>
      </c>
      <c r="X40" s="1351"/>
      <c r="Y40" s="3732"/>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32"/>
      <c r="Q41" s="1348" t="str">
        <f t="shared" si="15"/>
        <v>宗地开发程度</v>
      </c>
      <c r="R41" s="697" t="s">
        <v>14</v>
      </c>
      <c r="S41" s="698">
        <f t="shared" si="11"/>
        <v>100</v>
      </c>
      <c r="T41" s="697" t="s">
        <v>14</v>
      </c>
      <c r="U41" s="698">
        <f t="shared" si="12"/>
        <v>100</v>
      </c>
      <c r="V41" s="697" t="s">
        <v>14</v>
      </c>
      <c r="W41" s="698">
        <f t="shared" si="13"/>
        <v>100</v>
      </c>
      <c r="X41" s="699"/>
      <c r="Y41" s="3732"/>
      <c r="Z41" s="52" t="str">
        <f t="shared" si="14"/>
        <v>宗地开发程度</v>
      </c>
      <c r="AA41" s="700">
        <f t="shared" si="4"/>
        <v>1</v>
      </c>
      <c r="AB41" s="700">
        <f t="shared" si="5"/>
        <v>1</v>
      </c>
      <c r="AC41" s="700">
        <f t="shared" si="6"/>
        <v>1</v>
      </c>
    </row>
    <row r="42" spans="1:29" ht="15">
      <c r="A42" s="420"/>
      <c r="B42" s="372" t="s">
        <v>1878</v>
      </c>
      <c r="C42" s="1901" t="s">
        <v>3538</v>
      </c>
      <c r="D42" s="383">
        <v>100</v>
      </c>
      <c r="E42" s="1901" t="s">
        <v>3538</v>
      </c>
      <c r="F42" s="383">
        <f>SUMIF(124:124,E42,125:125)-SUMIF(124:124,C42,125:125)+100</f>
        <v>100</v>
      </c>
      <c r="G42" s="1901" t="s">
        <v>3538</v>
      </c>
      <c r="H42" s="383">
        <f>SUMIF(124:124,G42,125:125)-SUMIF(124:124,C42,125:125)+100</f>
        <v>100</v>
      </c>
      <c r="I42" s="1901" t="s">
        <v>3538</v>
      </c>
      <c r="J42" s="383">
        <f>SUMIF(124:124,I42,125:125)-SUMIF(124:124,C42,125:125)+100</f>
        <v>100</v>
      </c>
      <c r="K42" s="558"/>
      <c r="L42" s="3463"/>
      <c r="M42" s="2708"/>
      <c r="N42" s="2708"/>
      <c r="O42" s="2766"/>
      <c r="P42" s="3732" t="s">
        <v>1696</v>
      </c>
      <c r="Q42" s="1348" t="str">
        <f t="shared" si="15"/>
        <v>工程地质条件</v>
      </c>
      <c r="R42" s="701" t="s">
        <v>14</v>
      </c>
      <c r="S42" s="702">
        <f t="shared" si="11"/>
        <v>100</v>
      </c>
      <c r="T42" s="701" t="s">
        <v>14</v>
      </c>
      <c r="U42" s="702">
        <f t="shared" si="12"/>
        <v>100</v>
      </c>
      <c r="V42" s="701" t="s">
        <v>14</v>
      </c>
      <c r="W42" s="702">
        <f t="shared" si="13"/>
        <v>100</v>
      </c>
      <c r="X42" s="1351"/>
      <c r="Y42" s="3732" t="s">
        <v>1696</v>
      </c>
      <c r="Z42" s="1352" t="str">
        <f t="shared" si="14"/>
        <v>工程地质条件</v>
      </c>
      <c r="AA42" s="1349">
        <f t="shared" si="4"/>
        <v>1</v>
      </c>
      <c r="AB42" s="1349">
        <f t="shared" si="5"/>
        <v>1</v>
      </c>
      <c r="AC42" s="1349">
        <f t="shared" si="6"/>
        <v>1</v>
      </c>
    </row>
    <row r="43" spans="1:29" ht="15">
      <c r="A43" s="420"/>
      <c r="B43" s="1130" t="s">
        <v>3537</v>
      </c>
      <c r="C43" s="619" t="s">
        <v>3539</v>
      </c>
      <c r="D43" s="383">
        <v>100</v>
      </c>
      <c r="E43" s="619" t="s">
        <v>3539</v>
      </c>
      <c r="F43" s="383">
        <f>SUMIF(126:126,E43,127:127)-SUMIF(126:126,C43,127:127)+100</f>
        <v>100</v>
      </c>
      <c r="G43" s="619" t="s">
        <v>3539</v>
      </c>
      <c r="H43" s="383">
        <f>SUMIF(126:126,G43,127:127)-SUMIF(126:126,C43,127:127)+100</f>
        <v>100</v>
      </c>
      <c r="I43" s="619" t="s">
        <v>3539</v>
      </c>
      <c r="J43" s="383">
        <f>SUMIF(126:126,I43,127:127)-SUMIF(126:126,C43,127:127)+100</f>
        <v>100</v>
      </c>
      <c r="K43" s="559"/>
      <c r="L43" s="3463"/>
      <c r="M43" s="2708"/>
      <c r="N43" s="2708"/>
      <c r="O43" s="2766"/>
      <c r="P43" s="3732"/>
      <c r="Q43" s="1348" t="str">
        <f t="shared" si="15"/>
        <v>宗地规划限制</v>
      </c>
      <c r="R43" s="701" t="s">
        <v>14</v>
      </c>
      <c r="S43" s="702">
        <f t="shared" si="11"/>
        <v>100</v>
      </c>
      <c r="T43" s="701" t="s">
        <v>14</v>
      </c>
      <c r="U43" s="702">
        <f t="shared" si="12"/>
        <v>100</v>
      </c>
      <c r="V43" s="701" t="s">
        <v>14</v>
      </c>
      <c r="W43" s="702">
        <f t="shared" si="13"/>
        <v>100</v>
      </c>
      <c r="X43" s="1351"/>
      <c r="Y43" s="3732"/>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32"/>
      <c r="Q44" s="1348">
        <f t="shared" si="15"/>
        <v>111</v>
      </c>
      <c r="R44" s="701" t="s">
        <v>14</v>
      </c>
      <c r="S44" s="702">
        <f t="shared" si="11"/>
        <v>100</v>
      </c>
      <c r="T44" s="701" t="s">
        <v>14</v>
      </c>
      <c r="U44" s="702">
        <f t="shared" si="12"/>
        <v>100</v>
      </c>
      <c r="V44" s="701" t="s">
        <v>14</v>
      </c>
      <c r="W44" s="702">
        <f t="shared" si="13"/>
        <v>100</v>
      </c>
      <c r="X44" s="1351"/>
      <c r="Y44" s="3732"/>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32"/>
      <c r="Q45" s="1348">
        <f t="shared" si="15"/>
        <v>111</v>
      </c>
      <c r="R45" s="704" t="s">
        <v>14</v>
      </c>
      <c r="S45" s="705">
        <f t="shared" si="11"/>
        <v>100</v>
      </c>
      <c r="T45" s="704" t="s">
        <v>14</v>
      </c>
      <c r="U45" s="705">
        <f t="shared" si="12"/>
        <v>100</v>
      </c>
      <c r="V45" s="704" t="s">
        <v>14</v>
      </c>
      <c r="W45" s="705">
        <f t="shared" si="13"/>
        <v>100</v>
      </c>
      <c r="X45" s="706"/>
      <c r="Y45" s="3732"/>
      <c r="Z45" s="707">
        <f t="shared" si="14"/>
        <v>111</v>
      </c>
      <c r="AA45" s="1349">
        <f t="shared" si="4"/>
        <v>1</v>
      </c>
      <c r="AB45" s="1349">
        <f t="shared" si="5"/>
        <v>1</v>
      </c>
      <c r="AC45" s="1349">
        <f t="shared" si="6"/>
        <v>1</v>
      </c>
    </row>
    <row r="46" spans="1:29" ht="15">
      <c r="A46" s="427" t="s">
        <v>1844</v>
      </c>
      <c r="B46" s="1975" t="s">
        <v>1879</v>
      </c>
      <c r="C46" s="627" t="s">
        <v>0</v>
      </c>
      <c r="D46" s="429"/>
      <c r="E46" s="430">
        <f>招拍挂案例!U4</f>
        <v>14300</v>
      </c>
      <c r="F46" s="431"/>
      <c r="G46" s="432">
        <f>招拍挂案例!U5</f>
        <v>14000</v>
      </c>
      <c r="H46" s="433"/>
      <c r="I46" s="430">
        <f>招拍挂案例!U9</f>
        <v>14000</v>
      </c>
      <c r="J46" s="433"/>
      <c r="K46" s="710"/>
      <c r="L46" s="3466"/>
      <c r="M46" s="2717"/>
      <c r="N46" s="2708"/>
      <c r="O46" s="2717"/>
      <c r="P46" s="3712" t="str">
        <f>A46</f>
        <v>成交单价</v>
      </c>
      <c r="Q46" s="3712"/>
      <c r="R46" s="3725">
        <f>E46</f>
        <v>14300</v>
      </c>
      <c r="S46" s="3725"/>
      <c r="T46" s="3725">
        <f>G46</f>
        <v>14000</v>
      </c>
      <c r="U46" s="3725"/>
      <c r="V46" s="3725">
        <f>I46</f>
        <v>14000</v>
      </c>
      <c r="W46" s="3725"/>
      <c r="X46" s="686"/>
      <c r="Y46" s="708"/>
      <c r="Z46" s="686"/>
      <c r="AA46" s="686"/>
      <c r="AB46" s="686"/>
      <c r="AC46" s="686"/>
    </row>
    <row r="47" spans="1:29" ht="15.75" thickBot="1">
      <c r="A47" s="434" t="s">
        <v>1793</v>
      </c>
      <c r="B47" s="628"/>
      <c r="C47" s="437">
        <f>R48</f>
        <v>14614</v>
      </c>
      <c r="D47" s="2310" t="s">
        <v>2138</v>
      </c>
      <c r="E47" s="437">
        <f>R47</f>
        <v>14493</v>
      </c>
      <c r="F47" s="2311"/>
      <c r="G47" s="436">
        <f>T47</f>
        <v>14626</v>
      </c>
      <c r="H47" s="2311"/>
      <c r="I47" s="437">
        <f>V47</f>
        <v>14724</v>
      </c>
      <c r="J47" s="2311"/>
      <c r="K47" s="2313">
        <f>F47+H47+J47</f>
        <v>0</v>
      </c>
      <c r="L47" s="3466"/>
      <c r="M47" s="2717"/>
      <c r="N47" s="2717"/>
      <c r="O47" s="2717"/>
      <c r="P47" s="3712" t="str">
        <f>A47</f>
        <v>比较价值（元/平方米）</v>
      </c>
      <c r="Q47" s="3712"/>
      <c r="R47" s="3733">
        <f>ROUND(PRODUCT(R46,AA7:AA45),0)</f>
        <v>14493</v>
      </c>
      <c r="S47" s="3733"/>
      <c r="T47" s="3733">
        <f>ROUND(PRODUCT(T46,AB7:AB45),0)</f>
        <v>14626</v>
      </c>
      <c r="U47" s="3733"/>
      <c r="V47" s="3733">
        <f>ROUND(PRODUCT(V46,AC7:AC45),0)</f>
        <v>14724</v>
      </c>
      <c r="W47" s="3733"/>
      <c r="X47" s="686"/>
      <c r="Y47" s="686"/>
      <c r="Z47" s="686"/>
      <c r="AA47" s="686"/>
      <c r="AB47" s="686"/>
      <c r="AC47" s="686"/>
    </row>
    <row r="48" spans="1:29" ht="15.75" thickBot="1">
      <c r="A48" s="438" t="s">
        <v>1880</v>
      </c>
      <c r="B48" s="439"/>
      <c r="C48" s="440">
        <f>R48</f>
        <v>14614</v>
      </c>
      <c r="D48" s="440"/>
      <c r="E48" s="440"/>
      <c r="F48" s="440"/>
      <c r="G48" s="440"/>
      <c r="H48" s="440"/>
      <c r="I48" s="440"/>
      <c r="J48" s="440"/>
      <c r="K48" s="711"/>
      <c r="L48" s="2716"/>
      <c r="M48" s="2717"/>
      <c r="N48" s="2717"/>
      <c r="O48" s="2717"/>
      <c r="P48" s="3734" t="str">
        <f>A48</f>
        <v>估价对象XX用房的比较价值（楼面单价，元/平方米）</v>
      </c>
      <c r="Q48" s="3735"/>
      <c r="R48" s="3736">
        <f>ROUND(IF(D47="简单平均",AVERAGE(R47:W47),R47*F47+T47*H47+V47*J47),0)</f>
        <v>14614</v>
      </c>
      <c r="S48" s="3736"/>
      <c r="T48" s="3736"/>
      <c r="U48" s="3736"/>
      <c r="V48" s="3736"/>
      <c r="W48" s="3736"/>
      <c r="X48" s="686"/>
      <c r="Y48" s="686"/>
      <c r="Z48" s="686"/>
      <c r="AA48" s="686"/>
      <c r="AB48" s="686"/>
      <c r="AC48" s="686"/>
    </row>
    <row r="49" spans="1:29">
      <c r="A49" s="2717"/>
      <c r="B49" s="2717"/>
      <c r="C49" s="2717"/>
      <c r="D49" s="2717"/>
      <c r="E49" s="2717">
        <f>E47/E46</f>
        <v>1.0134965034965036</v>
      </c>
      <c r="F49" s="2717"/>
      <c r="G49" s="2717">
        <f>G47/G46</f>
        <v>1.0447142857142857</v>
      </c>
      <c r="H49" s="2717"/>
      <c r="I49" s="2717">
        <f>I47/I46</f>
        <v>1.0517142857142858</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1.3496503496503554E-2</v>
      </c>
      <c r="F51" s="446" t="str">
        <f>IF(OR(E51&gt;=0.3,E51&lt;=-0.3),"超过30%","")</f>
        <v/>
      </c>
      <c r="G51" s="445">
        <f>IF(G46&lt;G47,G47/G46-1,G46/G47-1)</f>
        <v>4.4714285714285706E-2</v>
      </c>
      <c r="H51" s="446" t="str">
        <f>IF(OR(G51&gt;=0.3,G51&lt;=-0.3),"超过30%","")</f>
        <v/>
      </c>
      <c r="I51" s="445">
        <f>IF(I46&lt;I47,I47/I46-1,I46/I47-1)</f>
        <v>5.1714285714285824E-2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9.1768439936521506E-3</v>
      </c>
      <c r="F52" s="446" t="str">
        <f>IF(OR(E52&gt;=0.2,E52&lt;=-0.2),"超过20%","")</f>
        <v/>
      </c>
      <c r="G52" s="445">
        <f>IF(G47&lt;I47,I47/G47-1,G47/I47-1)</f>
        <v>6.7003965540817223E-3</v>
      </c>
      <c r="H52" s="446" t="str">
        <f>IF(OR(G52&gt;=0.2,G52&lt;=-0.2),"超过20%","")</f>
        <v/>
      </c>
      <c r="I52" s="445">
        <f>IF(I47&lt;E47,E47/I47-1,I47/E47-1)</f>
        <v>1.5938729041606203E-2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2.1428571428571352E-2</v>
      </c>
      <c r="F53" s="446" t="str">
        <f>IF(OR(E53&gt;=0.3,E53&lt;=-0.3),"超过30%","")</f>
        <v/>
      </c>
      <c r="G53" s="445">
        <f>IF(G46&lt;I46,I46/G46-1,G46/I46-1)</f>
        <v>0</v>
      </c>
      <c r="H53" s="446" t="str">
        <f>IF(OR(G53&gt;=0.3,G53&lt;=-0.3),"超过30%","")</f>
        <v/>
      </c>
      <c r="I53" s="445">
        <f>IF(I46&lt;E46,E46/I46-1,I46/E46-1)</f>
        <v>2.1428571428571352E-2</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13" t="s">
        <v>1887</v>
      </c>
      <c r="H55" s="3737"/>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14614</v>
      </c>
      <c r="C56" s="635">
        <v>1</v>
      </c>
      <c r="D56" s="940">
        <v>1</v>
      </c>
      <c r="E56" s="635">
        <f>'数据-汇总表'!E8+'数据-汇总表'!E9</f>
        <v>1</v>
      </c>
      <c r="F56" s="882">
        <f t="shared" ref="F56:F64" si="16">ROUND(B56*E56/10000,0)</f>
        <v>1</v>
      </c>
      <c r="G56" s="3738"/>
      <c r="H56" s="3712"/>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2023-2-1</v>
      </c>
      <c r="D67" s="688">
        <f>EDATE(C67,-3)</f>
        <v>44866</v>
      </c>
      <c r="E67" s="688">
        <f>EDATE(D67,-3)</f>
        <v>44774</v>
      </c>
      <c r="F67" s="688">
        <f t="shared" ref="F67:O67" si="19">EDATE(E67,-3)</f>
        <v>44682</v>
      </c>
      <c r="G67" s="688">
        <f t="shared" si="19"/>
        <v>44593</v>
      </c>
      <c r="H67" s="688">
        <f t="shared" si="19"/>
        <v>44501</v>
      </c>
      <c r="I67" s="688">
        <f t="shared" si="19"/>
        <v>44409</v>
      </c>
      <c r="J67" s="688">
        <f t="shared" si="19"/>
        <v>44317</v>
      </c>
      <c r="K67" s="688">
        <f t="shared" si="19"/>
        <v>44228</v>
      </c>
      <c r="L67" s="688">
        <f t="shared" si="19"/>
        <v>44136</v>
      </c>
      <c r="M67" s="688">
        <f t="shared" si="19"/>
        <v>44044</v>
      </c>
      <c r="N67" s="688">
        <f t="shared" si="19"/>
        <v>43952</v>
      </c>
      <c r="O67" s="688">
        <f t="shared" si="19"/>
        <v>43862</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2023-1</v>
      </c>
      <c r="D69" s="1178" t="str">
        <f>YEAR(D67)&amp;"-"&amp;ROUNDUP(MONTH(D67)/3,0)</f>
        <v>2022-4</v>
      </c>
      <c r="E69" s="1178" t="str">
        <f t="shared" ref="E69:O69" si="20">YEAR(E67)&amp;"-"&amp;ROUNDUP(MONTH(E67)/3,0)</f>
        <v>2022-3</v>
      </c>
      <c r="F69" s="1178" t="str">
        <f t="shared" si="20"/>
        <v>2022-2</v>
      </c>
      <c r="G69" s="1178" t="str">
        <f t="shared" si="20"/>
        <v>2022-1</v>
      </c>
      <c r="H69" s="1178" t="str">
        <f t="shared" si="20"/>
        <v>2021-4</v>
      </c>
      <c r="I69" s="1178" t="str">
        <f t="shared" si="20"/>
        <v>2021-3</v>
      </c>
      <c r="J69" s="1178" t="str">
        <f t="shared" si="20"/>
        <v>2021-2</v>
      </c>
      <c r="K69" s="1178" t="str">
        <f t="shared" si="20"/>
        <v>2021-1</v>
      </c>
      <c r="L69" s="1178" t="str">
        <f t="shared" si="20"/>
        <v>2020-4</v>
      </c>
      <c r="M69" s="1178" t="str">
        <f t="shared" si="20"/>
        <v>2020-3</v>
      </c>
      <c r="N69" s="1178" t="str">
        <f t="shared" si="20"/>
        <v>2020-2</v>
      </c>
      <c r="O69" s="1178" t="str">
        <f t="shared" si="20"/>
        <v>2020-1</v>
      </c>
      <c r="P69" s="2768" t="s">
        <v>3495</v>
      </c>
      <c r="Q69" s="2733" t="s">
        <v>3496</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3500</v>
      </c>
      <c r="E72" s="469" t="s">
        <v>3499</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3494</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3512</v>
      </c>
      <c r="D105" s="3461" t="s">
        <v>3513</v>
      </c>
      <c r="E105" s="3461" t="s">
        <v>3514</v>
      </c>
      <c r="F105" s="3461" t="s">
        <v>3515</v>
      </c>
      <c r="G105" s="3461" t="s">
        <v>3516</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97</v>
      </c>
      <c r="E117" s="537">
        <v>94</v>
      </c>
      <c r="F117" s="537">
        <v>91</v>
      </c>
      <c r="G117" s="537">
        <v>88</v>
      </c>
      <c r="H117" s="537">
        <v>85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3517</v>
      </c>
      <c r="D118" s="3462" t="s">
        <v>3518</v>
      </c>
      <c r="E118" s="3462" t="s">
        <v>3519</v>
      </c>
      <c r="F118" s="3462" t="s">
        <v>3520</v>
      </c>
      <c r="G118" s="3462" t="s">
        <v>3521</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3522</v>
      </c>
      <c r="D122" s="3461" t="s">
        <v>3523</v>
      </c>
      <c r="E122" s="3461" t="s">
        <v>3524</v>
      </c>
      <c r="F122" s="3461" t="s">
        <v>3525</v>
      </c>
      <c r="G122" s="3461" t="s">
        <v>3526</v>
      </c>
      <c r="H122" s="3462" t="s">
        <v>3527</v>
      </c>
      <c r="I122" s="3462" t="s">
        <v>3528</v>
      </c>
      <c r="J122" s="3462" t="s">
        <v>3529</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3530</v>
      </c>
      <c r="D124" s="3461" t="s">
        <v>3531</v>
      </c>
      <c r="E124" s="3462" t="s">
        <v>3519</v>
      </c>
      <c r="F124" s="3462" t="s">
        <v>3532</v>
      </c>
      <c r="G124" s="3462" t="s">
        <v>3533</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44970</v>
      </c>
      <c r="B1" s="3202" t="s">
        <v>2842</v>
      </c>
      <c r="C1" s="3203"/>
      <c r="D1" s="3203"/>
      <c r="E1" s="3203"/>
      <c r="F1" s="3203"/>
      <c r="G1" s="3203"/>
      <c r="H1" s="3203"/>
      <c r="I1" s="3203"/>
      <c r="J1" s="3157"/>
      <c r="K1" s="3203" t="s">
        <v>454</v>
      </c>
      <c r="L1" s="3203"/>
      <c r="M1" s="3203"/>
      <c r="N1" s="3203"/>
      <c r="O1" s="3203"/>
      <c r="P1" s="3203"/>
      <c r="Q1" s="3157"/>
      <c r="R1" s="3739" t="s">
        <v>456</v>
      </c>
      <c r="S1" s="3740"/>
      <c r="T1" s="3740"/>
      <c r="U1" s="3740"/>
      <c r="V1" s="3740"/>
      <c r="W1" s="3740"/>
      <c r="X1" s="3157"/>
      <c r="Y1" s="3739" t="s">
        <v>457</v>
      </c>
      <c r="Z1" s="3740"/>
      <c r="AA1" s="3740"/>
      <c r="AB1" s="3740"/>
      <c r="AC1" s="3740"/>
      <c r="AD1" s="3740"/>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39" t="s">
        <v>2830</v>
      </c>
      <c r="S21" s="3740"/>
      <c r="T21" s="3740"/>
      <c r="U21" s="3740"/>
      <c r="V21" s="3740"/>
      <c r="W21" s="3740"/>
      <c r="X21" s="3157"/>
      <c r="Y21" s="3739" t="s">
        <v>2831</v>
      </c>
      <c r="Z21" s="3740"/>
      <c r="AA21" s="3740"/>
      <c r="AB21" s="3740"/>
      <c r="AC21" s="3740"/>
      <c r="AD21" s="3740"/>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46" t="s">
        <v>452</v>
      </c>
      <c r="C1" s="3746"/>
      <c r="D1" s="3746"/>
      <c r="E1" s="3746"/>
      <c r="F1" s="3746"/>
      <c r="G1" s="3742" t="s">
        <v>453</v>
      </c>
      <c r="H1" s="3742"/>
      <c r="I1" s="3742"/>
      <c r="J1" s="3742"/>
      <c r="K1" s="3742"/>
      <c r="L1" s="3742"/>
      <c r="N1" s="3742" t="s">
        <v>454</v>
      </c>
      <c r="O1" s="3742"/>
      <c r="P1" s="3742"/>
      <c r="Q1" s="3742"/>
      <c r="S1" s="3742" t="s">
        <v>455</v>
      </c>
      <c r="T1" s="3742"/>
      <c r="U1" s="3742"/>
      <c r="V1" s="3742"/>
      <c r="X1" s="3741" t="s">
        <v>456</v>
      </c>
      <c r="Y1" s="3742"/>
      <c r="Z1" s="3742"/>
      <c r="AA1" s="3742"/>
      <c r="AB1" s="3742"/>
      <c r="AD1" s="3741" t="s">
        <v>457</v>
      </c>
      <c r="AE1" s="3742"/>
      <c r="AF1" s="3742"/>
      <c r="AG1" s="3742"/>
      <c r="AH1" s="3742"/>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44">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44"/>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44"/>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51"/>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47">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44"/>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44"/>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51"/>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47">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44"/>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44"/>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45"/>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43">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44"/>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44"/>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45"/>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43">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44"/>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44"/>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45"/>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48">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49"/>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49"/>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50"/>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43">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44"/>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44"/>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45"/>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43">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44">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44">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45">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43">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44">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44">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45">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43">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44">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44">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45">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43">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44">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44">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45">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43">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44">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44">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45">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43">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44">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44">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45">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43">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44">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44">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45">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43">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44">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44">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45">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43">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44">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44">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45">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43">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44">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44">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45">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7"/>
  <sheetViews>
    <sheetView workbookViewId="0">
      <selection activeCell="B58" sqref="B58"/>
    </sheetView>
  </sheetViews>
  <sheetFormatPr defaultColWidth="11" defaultRowHeight="14.25"/>
  <cols>
    <col min="1" max="1" width="3.875" customWidth="1"/>
    <col min="2" max="2" width="16.375" customWidth="1"/>
    <col min="8" max="8" width="4.5" customWidth="1"/>
    <col min="9" max="10" width="6.625" customWidth="1"/>
    <col min="12" max="12" width="8.375" hidden="1" customWidth="1"/>
    <col min="13" max="13" width="0" hidden="1" customWidth="1"/>
  </cols>
  <sheetData>
    <row r="1" spans="1:22" s="3450" customFormat="1" ht="12.75">
      <c r="A1" s="3450" t="s">
        <v>3380</v>
      </c>
      <c r="C1" s="3450" t="s">
        <v>3409</v>
      </c>
      <c r="D1" s="3450" t="s">
        <v>3383</v>
      </c>
      <c r="E1" s="3450" t="s">
        <v>3410</v>
      </c>
      <c r="F1" s="3450" t="s">
        <v>3411</v>
      </c>
      <c r="G1" s="3450" t="s">
        <v>3412</v>
      </c>
      <c r="I1" s="3450" t="s">
        <v>3413</v>
      </c>
      <c r="J1" s="3450" t="s">
        <v>3414</v>
      </c>
      <c r="K1" s="3450" t="s">
        <v>3415</v>
      </c>
      <c r="L1" s="3450" t="s">
        <v>3416</v>
      </c>
      <c r="M1" s="3450" t="s">
        <v>3417</v>
      </c>
      <c r="N1" s="3450" t="s">
        <v>3418</v>
      </c>
      <c r="O1" s="3450" t="s">
        <v>3419</v>
      </c>
      <c r="P1" s="3450" t="s">
        <v>3420</v>
      </c>
      <c r="Q1" s="3450" t="s">
        <v>3421</v>
      </c>
      <c r="R1" s="3450" t="s">
        <v>3422</v>
      </c>
      <c r="S1" s="3450" t="s">
        <v>3423</v>
      </c>
      <c r="T1" s="3450" t="s">
        <v>3424</v>
      </c>
      <c r="U1" s="3450" t="s">
        <v>3425</v>
      </c>
      <c r="V1" s="3450" t="s">
        <v>3426</v>
      </c>
    </row>
    <row r="2" spans="1:22" s="3450" customFormat="1" ht="11.25" customHeight="1">
      <c r="A2" s="3450">
        <v>1</v>
      </c>
      <c r="B2" s="3450" t="s">
        <v>3427</v>
      </c>
      <c r="C2" s="3450" t="s">
        <v>3428</v>
      </c>
      <c r="D2" s="3450" t="s">
        <v>3429</v>
      </c>
      <c r="E2" s="3450" t="s">
        <v>3430</v>
      </c>
      <c r="F2" s="3450">
        <v>40082.199999999997</v>
      </c>
      <c r="G2" s="3450">
        <v>60123.3</v>
      </c>
      <c r="H2" s="3450">
        <f>ROUND(G2/F2,2)</f>
        <v>1.5</v>
      </c>
      <c r="I2" s="3450">
        <v>1.5</v>
      </c>
      <c r="J2" s="3450" t="s">
        <v>3431</v>
      </c>
      <c r="K2" s="3450" t="s">
        <v>3432</v>
      </c>
      <c r="L2" s="3450" t="s">
        <v>3433</v>
      </c>
      <c r="M2" s="3450">
        <v>44550.000497685185</v>
      </c>
      <c r="N2" s="3451">
        <v>44550.000497685185</v>
      </c>
      <c r="O2" s="3450" t="s">
        <v>3434</v>
      </c>
      <c r="P2" s="3450" t="s">
        <v>3435</v>
      </c>
      <c r="Q2" s="3450">
        <v>81924.009999999995</v>
      </c>
      <c r="R2" s="3450">
        <v>16400</v>
      </c>
      <c r="S2" s="3450" t="s">
        <v>633</v>
      </c>
      <c r="T2" s="3450">
        <v>81924.009999999995</v>
      </c>
      <c r="U2" s="3450">
        <v>13626</v>
      </c>
      <c r="V2" s="3450">
        <v>0</v>
      </c>
    </row>
    <row r="3" spans="1:22" s="3450" customFormat="1" ht="12.75">
      <c r="A3" s="3450">
        <v>2</v>
      </c>
      <c r="B3" s="3450" t="s">
        <v>3436</v>
      </c>
      <c r="C3" s="3450" t="s">
        <v>3437</v>
      </c>
      <c r="D3" s="3450" t="s">
        <v>3438</v>
      </c>
      <c r="E3" s="3450" t="s">
        <v>3439</v>
      </c>
      <c r="F3" s="3450">
        <v>47891.57</v>
      </c>
      <c r="G3" s="3450">
        <v>105361.45</v>
      </c>
      <c r="H3" s="3450">
        <f t="shared" ref="H3:H13" si="0">ROUND(G3/F3,2)</f>
        <v>2.2000000000000002</v>
      </c>
      <c r="I3" s="3450" t="s">
        <v>3440</v>
      </c>
      <c r="J3" s="3450" t="s">
        <v>3431</v>
      </c>
      <c r="K3" s="3450" t="s">
        <v>3441</v>
      </c>
      <c r="L3" s="3450" t="s">
        <v>3433</v>
      </c>
      <c r="M3" s="3450">
        <v>44406.000497685185</v>
      </c>
      <c r="N3" s="3453">
        <v>44410.000497685185</v>
      </c>
      <c r="O3" s="3450" t="s">
        <v>3434</v>
      </c>
      <c r="P3" s="3450" t="s">
        <v>3442</v>
      </c>
      <c r="Q3" s="3450">
        <v>91664.46</v>
      </c>
      <c r="R3" s="3450">
        <v>27500</v>
      </c>
      <c r="S3" s="3450" t="s">
        <v>3443</v>
      </c>
      <c r="T3" s="3450">
        <v>91664.46</v>
      </c>
      <c r="U3" s="3450">
        <v>8700</v>
      </c>
      <c r="V3" s="3450">
        <v>0</v>
      </c>
    </row>
    <row r="4" spans="1:22" s="3457" customFormat="1" ht="12.75">
      <c r="A4" s="3457">
        <v>3</v>
      </c>
      <c r="B4" s="3457" t="s">
        <v>3444</v>
      </c>
      <c r="C4" s="3457" t="s">
        <v>3445</v>
      </c>
      <c r="D4" s="3457" t="s">
        <v>3446</v>
      </c>
      <c r="E4" s="3457" t="s">
        <v>3447</v>
      </c>
      <c r="F4" s="3457">
        <v>41000.75</v>
      </c>
      <c r="G4" s="3457">
        <v>102502</v>
      </c>
      <c r="H4" s="3457">
        <f t="shared" si="0"/>
        <v>2.5</v>
      </c>
      <c r="I4" s="3457" t="s">
        <v>3448</v>
      </c>
      <c r="J4" s="3457" t="s">
        <v>3431</v>
      </c>
      <c r="K4" s="3457" t="s">
        <v>3441</v>
      </c>
      <c r="L4" s="3457" t="s">
        <v>3433</v>
      </c>
      <c r="M4" s="3457">
        <v>44236.000497685185</v>
      </c>
      <c r="N4" s="3454">
        <v>44237.000497685185</v>
      </c>
      <c r="O4" s="3457" t="s">
        <v>3434</v>
      </c>
      <c r="P4" s="3457" t="s">
        <v>3449</v>
      </c>
      <c r="Q4" s="3457">
        <v>146578</v>
      </c>
      <c r="R4" s="3457">
        <v>45000</v>
      </c>
      <c r="S4" s="3457" t="s">
        <v>633</v>
      </c>
      <c r="T4" s="3457">
        <v>146578</v>
      </c>
      <c r="U4" s="3457">
        <v>14300</v>
      </c>
      <c r="V4" s="3457">
        <v>0</v>
      </c>
    </row>
    <row r="5" spans="1:22" s="3457" customFormat="1" ht="12.75">
      <c r="A5" s="3457">
        <v>4</v>
      </c>
      <c r="B5" s="3457" t="s">
        <v>3450</v>
      </c>
      <c r="C5" s="3457" t="s">
        <v>3451</v>
      </c>
      <c r="D5" s="3457" t="s">
        <v>3452</v>
      </c>
      <c r="E5" s="3457" t="s">
        <v>3447</v>
      </c>
      <c r="F5" s="3457">
        <v>62136.68</v>
      </c>
      <c r="G5" s="3457">
        <v>147241</v>
      </c>
      <c r="H5" s="3457">
        <f t="shared" si="0"/>
        <v>2.37</v>
      </c>
      <c r="I5" s="3457" t="s">
        <v>3448</v>
      </c>
      <c r="J5" s="3457" t="s">
        <v>3431</v>
      </c>
      <c r="K5" s="3457" t="s">
        <v>3453</v>
      </c>
      <c r="L5" s="3457" t="s">
        <v>3433</v>
      </c>
      <c r="M5" s="3457">
        <v>44190.000497685185</v>
      </c>
      <c r="N5" s="3454">
        <v>44190.000497685185</v>
      </c>
      <c r="O5" s="3457" t="s">
        <v>3434</v>
      </c>
      <c r="P5" s="3457" t="s">
        <v>3454</v>
      </c>
      <c r="Q5" s="3457">
        <v>206138</v>
      </c>
      <c r="R5" s="3457">
        <v>62000</v>
      </c>
      <c r="S5" s="3457" t="s">
        <v>3455</v>
      </c>
      <c r="T5" s="3457">
        <v>206138</v>
      </c>
      <c r="U5" s="3457">
        <v>14000</v>
      </c>
      <c r="V5" s="3457">
        <v>0</v>
      </c>
    </row>
    <row r="6" spans="1:22" s="3450" customFormat="1" ht="12.75">
      <c r="A6" s="3450">
        <v>5</v>
      </c>
      <c r="B6" s="3450" t="s">
        <v>3456</v>
      </c>
      <c r="C6" s="3450" t="s">
        <v>3457</v>
      </c>
      <c r="D6" s="3450" t="s">
        <v>3458</v>
      </c>
      <c r="E6" s="3450" t="s">
        <v>3439</v>
      </c>
      <c r="F6" s="3450">
        <v>72673.490000000005</v>
      </c>
      <c r="G6" s="3450">
        <v>159882</v>
      </c>
      <c r="H6" s="3450">
        <f t="shared" si="0"/>
        <v>2.2000000000000002</v>
      </c>
      <c r="I6" s="3450" t="s">
        <v>3440</v>
      </c>
      <c r="J6" s="3450" t="s">
        <v>3431</v>
      </c>
      <c r="K6" s="3450" t="s">
        <v>3441</v>
      </c>
      <c r="L6" s="3450" t="s">
        <v>3433</v>
      </c>
      <c r="M6" s="3450">
        <v>44189.000497685185</v>
      </c>
      <c r="N6" s="3455">
        <v>44189.000497685185</v>
      </c>
      <c r="O6" s="3450" t="s">
        <v>3434</v>
      </c>
      <c r="P6" s="3450" t="s">
        <v>3459</v>
      </c>
      <c r="Q6" s="3450">
        <v>252613.56</v>
      </c>
      <c r="R6" s="3450">
        <v>80000</v>
      </c>
      <c r="S6" s="3450" t="s">
        <v>3460</v>
      </c>
      <c r="T6" s="3450">
        <v>252613.56</v>
      </c>
      <c r="U6" s="3450">
        <v>15800</v>
      </c>
      <c r="V6" s="3450">
        <v>0</v>
      </c>
    </row>
    <row r="7" spans="1:22" s="3450" customFormat="1" ht="12.75">
      <c r="A7" s="3450">
        <v>6</v>
      </c>
      <c r="B7" s="3450" t="s">
        <v>3461</v>
      </c>
      <c r="C7" s="3450" t="s">
        <v>3462</v>
      </c>
      <c r="D7" s="3450" t="s">
        <v>3463</v>
      </c>
      <c r="E7" s="3450" t="s">
        <v>3447</v>
      </c>
      <c r="F7" s="3450">
        <v>43870.1</v>
      </c>
      <c r="G7" s="3450">
        <v>109675.25</v>
      </c>
      <c r="H7" s="3450">
        <f t="shared" si="0"/>
        <v>2.5</v>
      </c>
      <c r="I7" s="3450" t="s">
        <v>3464</v>
      </c>
      <c r="J7" s="3450" t="s">
        <v>3431</v>
      </c>
      <c r="K7" s="3450" t="s">
        <v>3465</v>
      </c>
      <c r="L7" s="3450" t="s">
        <v>3433</v>
      </c>
      <c r="M7" s="3450">
        <v>44187.000497685185</v>
      </c>
      <c r="N7" s="3451">
        <v>44187.000497685185</v>
      </c>
      <c r="O7" s="3450" t="s">
        <v>3434</v>
      </c>
      <c r="P7" s="3450" t="s">
        <v>3466</v>
      </c>
      <c r="Q7" s="3450">
        <v>148061.57999999999</v>
      </c>
      <c r="R7" s="3450">
        <v>45000</v>
      </c>
      <c r="S7" s="3450" t="s">
        <v>3467</v>
      </c>
      <c r="T7" s="3450">
        <v>148061.57999999999</v>
      </c>
      <c r="U7" s="3450">
        <v>13500</v>
      </c>
      <c r="V7" s="3450">
        <v>0</v>
      </c>
    </row>
    <row r="8" spans="1:22" s="3450" customFormat="1" ht="12.75">
      <c r="A8" s="3450">
        <v>7</v>
      </c>
      <c r="C8" s="3450" t="s">
        <v>3468</v>
      </c>
      <c r="D8" s="3450" t="s">
        <v>3469</v>
      </c>
      <c r="E8" s="3450" t="s">
        <v>3447</v>
      </c>
      <c r="F8" s="3450">
        <v>33783.57</v>
      </c>
      <c r="G8" s="3450">
        <v>84458.9</v>
      </c>
      <c r="H8" s="3450">
        <f t="shared" si="0"/>
        <v>2.5</v>
      </c>
      <c r="I8" s="3450" t="s">
        <v>3464</v>
      </c>
      <c r="J8" s="3450" t="s">
        <v>3431</v>
      </c>
      <c r="K8" s="3450" t="s">
        <v>3441</v>
      </c>
      <c r="L8" s="3450" t="s">
        <v>3433</v>
      </c>
      <c r="M8" s="3450">
        <v>44186.000497685185</v>
      </c>
      <c r="N8" s="3452" t="s">
        <v>3470</v>
      </c>
      <c r="O8" s="3450" t="s">
        <v>3471</v>
      </c>
      <c r="P8" s="3450" t="s">
        <v>3472</v>
      </c>
      <c r="Q8" s="3450">
        <v>110641.16</v>
      </c>
      <c r="R8" s="3450">
        <v>40000</v>
      </c>
      <c r="S8" s="3450" t="s">
        <v>633</v>
      </c>
      <c r="T8" s="3450" t="s">
        <v>3470</v>
      </c>
      <c r="U8" s="3450" t="s">
        <v>3470</v>
      </c>
      <c r="V8" s="3450">
        <v>0</v>
      </c>
    </row>
    <row r="9" spans="1:22" s="3457" customFormat="1" ht="12.75">
      <c r="A9" s="3457">
        <v>8</v>
      </c>
      <c r="B9" s="3457" t="s">
        <v>3473</v>
      </c>
      <c r="C9" s="3457" t="s">
        <v>3474</v>
      </c>
      <c r="D9" s="3457" t="s">
        <v>3475</v>
      </c>
      <c r="E9" s="3457" t="s">
        <v>3447</v>
      </c>
      <c r="F9" s="3457">
        <v>47891.78</v>
      </c>
      <c r="G9" s="3457">
        <v>108059</v>
      </c>
      <c r="H9" s="3457">
        <f t="shared" si="0"/>
        <v>2.2599999999999998</v>
      </c>
      <c r="I9" s="3457" t="s">
        <v>3448</v>
      </c>
      <c r="J9" s="3457" t="s">
        <v>3431</v>
      </c>
      <c r="K9" s="3457" t="s">
        <v>3453</v>
      </c>
      <c r="L9" s="3457" t="s">
        <v>3433</v>
      </c>
      <c r="M9" s="3457">
        <v>43720.000497685185</v>
      </c>
      <c r="N9" s="3454">
        <v>43720.000497685185</v>
      </c>
      <c r="O9" s="3457" t="s">
        <v>3434</v>
      </c>
      <c r="P9" s="3457" t="s">
        <v>3476</v>
      </c>
      <c r="Q9" s="3457">
        <v>151283</v>
      </c>
      <c r="R9" s="3457">
        <v>50000</v>
      </c>
      <c r="S9" s="3457" t="s">
        <v>633</v>
      </c>
      <c r="T9" s="3457">
        <v>151283</v>
      </c>
      <c r="U9" s="3457">
        <v>14000</v>
      </c>
      <c r="V9" s="3457">
        <v>0</v>
      </c>
    </row>
    <row r="10" spans="1:22" s="3450" customFormat="1" ht="12.75">
      <c r="A10" s="3450">
        <v>9</v>
      </c>
      <c r="B10" s="3450" t="s">
        <v>3477</v>
      </c>
      <c r="C10" s="3450" t="s">
        <v>3478</v>
      </c>
      <c r="D10" s="3450" t="s">
        <v>3479</v>
      </c>
      <c r="E10" s="3450" t="s">
        <v>3439</v>
      </c>
      <c r="F10" s="3450">
        <v>40285.32</v>
      </c>
      <c r="G10" s="3450">
        <v>80571</v>
      </c>
      <c r="H10" s="3450">
        <f t="shared" si="0"/>
        <v>2</v>
      </c>
      <c r="I10" s="3450" t="s">
        <v>3480</v>
      </c>
      <c r="J10" s="3450" t="s">
        <v>3431</v>
      </c>
      <c r="K10" s="3450" t="s">
        <v>3441</v>
      </c>
      <c r="L10" s="3450" t="s">
        <v>3433</v>
      </c>
      <c r="M10" s="3450">
        <v>43532.000497685185</v>
      </c>
      <c r="N10" s="3456">
        <v>43532.000497685185</v>
      </c>
      <c r="O10" s="3450" t="s">
        <v>3434</v>
      </c>
      <c r="P10" s="3450" t="s">
        <v>3481</v>
      </c>
      <c r="Q10" s="3450">
        <v>127302.2</v>
      </c>
      <c r="R10" s="3450">
        <v>40000</v>
      </c>
      <c r="S10" s="3450" t="s">
        <v>633</v>
      </c>
      <c r="T10" s="3450">
        <v>127302.2</v>
      </c>
      <c r="U10" s="3450">
        <v>15800</v>
      </c>
      <c r="V10" s="3450">
        <v>0</v>
      </c>
    </row>
    <row r="11" spans="1:22" s="3450" customFormat="1" ht="12.75">
      <c r="A11" s="3450">
        <v>10</v>
      </c>
      <c r="C11" s="3450" t="s">
        <v>3482</v>
      </c>
      <c r="D11" s="3450" t="s">
        <v>3483</v>
      </c>
      <c r="E11" s="3450" t="s">
        <v>3430</v>
      </c>
      <c r="F11" s="3450">
        <v>41000.75</v>
      </c>
      <c r="G11" s="3450">
        <v>102502</v>
      </c>
      <c r="H11" s="3450">
        <f t="shared" si="0"/>
        <v>2.5</v>
      </c>
      <c r="I11" s="3450">
        <v>2.5</v>
      </c>
      <c r="J11" s="3450" t="s">
        <v>3431</v>
      </c>
      <c r="K11" s="3450" t="s">
        <v>3484</v>
      </c>
      <c r="L11" s="3450" t="s">
        <v>3433</v>
      </c>
      <c r="M11" s="3450">
        <v>43492.000497685185</v>
      </c>
      <c r="N11" s="3450" t="s">
        <v>3470</v>
      </c>
      <c r="O11" s="3450" t="s">
        <v>3485</v>
      </c>
      <c r="P11" s="3450" t="s">
        <v>3472</v>
      </c>
      <c r="Q11" s="3450">
        <v>158879</v>
      </c>
      <c r="R11" s="3450">
        <v>48000</v>
      </c>
      <c r="S11" s="3450" t="s">
        <v>633</v>
      </c>
      <c r="T11" s="3450" t="s">
        <v>3470</v>
      </c>
      <c r="U11" s="3450" t="s">
        <v>3470</v>
      </c>
      <c r="V11" s="3450">
        <v>0</v>
      </c>
    </row>
    <row r="12" spans="1:22" s="3450" customFormat="1" ht="12.75">
      <c r="A12" s="3450">
        <v>11</v>
      </c>
      <c r="C12" s="3450" t="s">
        <v>3486</v>
      </c>
      <c r="D12" s="3450" t="s">
        <v>3487</v>
      </c>
      <c r="E12" s="3450" t="s">
        <v>3430</v>
      </c>
      <c r="F12" s="3450">
        <v>47891.78</v>
      </c>
      <c r="G12" s="3450">
        <v>108059</v>
      </c>
      <c r="H12" s="3450">
        <f t="shared" si="0"/>
        <v>2.2599999999999998</v>
      </c>
      <c r="I12" s="3450">
        <v>2.2599999999999998</v>
      </c>
      <c r="J12" s="3450" t="s">
        <v>3431</v>
      </c>
      <c r="K12" s="3450" t="s">
        <v>3484</v>
      </c>
      <c r="L12" s="3450" t="s">
        <v>3433</v>
      </c>
      <c r="M12" s="3450">
        <v>43492.000497685185</v>
      </c>
      <c r="N12" s="3450" t="s">
        <v>3470</v>
      </c>
      <c r="O12" s="3450" t="s">
        <v>3485</v>
      </c>
      <c r="P12" s="3450" t="s">
        <v>3472</v>
      </c>
      <c r="Q12" s="3450">
        <v>162089</v>
      </c>
      <c r="R12" s="3450">
        <v>50000</v>
      </c>
      <c r="S12" s="3450" t="s">
        <v>633</v>
      </c>
      <c r="T12" s="3450" t="s">
        <v>3470</v>
      </c>
      <c r="U12" s="3450" t="s">
        <v>3470</v>
      </c>
      <c r="V12" s="3450">
        <v>0</v>
      </c>
    </row>
    <row r="13" spans="1:22" s="3450" customFormat="1" ht="12.75">
      <c r="A13" s="3450">
        <v>12</v>
      </c>
      <c r="C13" s="3450" t="s">
        <v>3488</v>
      </c>
      <c r="D13" s="3450" t="s">
        <v>3489</v>
      </c>
      <c r="E13" s="3450" t="s">
        <v>3430</v>
      </c>
      <c r="F13" s="3450">
        <v>62136.68</v>
      </c>
      <c r="G13" s="3450">
        <v>147241</v>
      </c>
      <c r="H13" s="3450">
        <f t="shared" si="0"/>
        <v>2.37</v>
      </c>
      <c r="I13" s="3450">
        <v>2.37</v>
      </c>
      <c r="J13" s="3450" t="s">
        <v>3431</v>
      </c>
      <c r="K13" s="3450" t="s">
        <v>3484</v>
      </c>
      <c r="L13" s="3450" t="s">
        <v>3433</v>
      </c>
      <c r="M13" s="3450">
        <v>43492.000497685185</v>
      </c>
      <c r="N13" s="3450" t="s">
        <v>3470</v>
      </c>
      <c r="O13" s="3450" t="s">
        <v>3485</v>
      </c>
      <c r="P13" s="3450" t="s">
        <v>3472</v>
      </c>
      <c r="Q13" s="3450">
        <v>220862</v>
      </c>
      <c r="R13" s="3450">
        <v>67000</v>
      </c>
      <c r="S13" s="3450" t="s">
        <v>633</v>
      </c>
      <c r="T13" s="3450" t="s">
        <v>3470</v>
      </c>
      <c r="U13" s="3450" t="s">
        <v>3470</v>
      </c>
      <c r="V13" s="3450">
        <v>0</v>
      </c>
    </row>
    <row r="14" spans="1:22" s="3450" customFormat="1" ht="12.75"/>
    <row r="17" spans="16:16">
      <c r="P17" s="3500" t="s">
        <v>4275</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692" t="s">
        <v>694</v>
      </c>
      <c r="C6" s="1070">
        <f ca="1">ROUND(F6*F8*F7*(1-F9),0)</f>
        <v>0</v>
      </c>
      <c r="D6" s="152" t="s">
        <v>2106</v>
      </c>
      <c r="E6" s="299" t="s">
        <v>696</v>
      </c>
      <c r="F6" s="300">
        <f ca="1">INDIRECT("'数据-取费表'!u"&amp;$G$1)</f>
        <v>0</v>
      </c>
      <c r="G6" s="1380"/>
      <c r="H6" s="1065" t="s">
        <v>398</v>
      </c>
      <c r="I6" s="3692" t="s">
        <v>694</v>
      </c>
      <c r="J6" s="298">
        <f ca="1">ROUND(M6*M8*M7*(1-M9),0)</f>
        <v>0</v>
      </c>
      <c r="K6" s="1372" t="s">
        <v>2107</v>
      </c>
      <c r="L6" s="299" t="s">
        <v>696</v>
      </c>
      <c r="M6" s="300">
        <f ca="1">INDIRECT("'数据-取费表'!z"&amp;$G$1)</f>
        <v>0</v>
      </c>
    </row>
    <row r="7" spans="1:37" ht="18" customHeight="1">
      <c r="A7" s="1069"/>
      <c r="B7" s="3693"/>
      <c r="C7" s="1071"/>
      <c r="D7" s="304"/>
      <c r="E7" s="1072" t="s">
        <v>697</v>
      </c>
      <c r="F7" s="300">
        <f ca="1">IF(INDIRECT("'数据-取费表'!ah"&amp;$G$1)="",INDIRECT("'数据-取费表'!k"&amp;$G$1),INDIRECT("'数据-取费表'!ah"&amp;$G$1))</f>
        <v>0</v>
      </c>
      <c r="G7" s="1380"/>
      <c r="H7" s="301"/>
      <c r="I7" s="3693"/>
      <c r="J7" s="303"/>
      <c r="K7" s="304"/>
      <c r="L7" s="299" t="s">
        <v>697</v>
      </c>
      <c r="M7" s="300">
        <f ca="1">F7</f>
        <v>0</v>
      </c>
    </row>
    <row r="8" spans="1:37" ht="18" customHeight="1">
      <c r="A8" s="301"/>
      <c r="B8" s="3693"/>
      <c r="C8" s="303"/>
      <c r="D8" s="304"/>
      <c r="E8" s="299" t="s">
        <v>698</v>
      </c>
      <c r="F8" s="300">
        <f ca="1">INDIRECT("'数据-取费表'!ai"&amp;$G$1)</f>
        <v>0</v>
      </c>
      <c r="G8" s="1380"/>
      <c r="H8" s="301"/>
      <c r="I8" s="3693"/>
      <c r="J8" s="303"/>
      <c r="K8" s="304"/>
      <c r="L8" s="299" t="s">
        <v>698</v>
      </c>
      <c r="M8" s="300">
        <f ca="1">INDIRECT("'数据-取费表'!ai"&amp;$G$1)</f>
        <v>0</v>
      </c>
    </row>
    <row r="9" spans="1:37" ht="18" customHeight="1">
      <c r="A9" s="301"/>
      <c r="B9" s="3694"/>
      <c r="C9" s="303"/>
      <c r="D9" s="304"/>
      <c r="E9" s="299" t="s">
        <v>699</v>
      </c>
      <c r="F9" s="309">
        <f ca="1">INDIRECT("'数据-取费表'!w"&amp;$G$1)</f>
        <v>0</v>
      </c>
      <c r="G9" s="1380"/>
      <c r="H9" s="301"/>
      <c r="I9" s="3694"/>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690" t="s">
        <v>837</v>
      </c>
      <c r="L53" s="3691"/>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52" t="s">
        <v>2317</v>
      </c>
      <c r="K2" s="3753"/>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54" t="s">
        <v>2327</v>
      </c>
      <c r="K3" s="3755"/>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54" t="s">
        <v>2329</v>
      </c>
      <c r="K4" s="3755"/>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56" t="s">
        <v>2333</v>
      </c>
      <c r="B6" s="3757"/>
      <c r="C6" s="3758"/>
      <c r="D6" s="2862"/>
      <c r="E6" s="2863"/>
      <c r="F6" s="2864"/>
      <c r="G6" s="2865"/>
      <c r="H6" s="2840"/>
      <c r="I6" s="2841"/>
      <c r="J6" s="3759">
        <v>1</v>
      </c>
      <c r="K6" s="3760"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59"/>
      <c r="K7" s="3761"/>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63" t="s">
        <v>2347</v>
      </c>
      <c r="C8" s="3764"/>
      <c r="D8" s="2881" t="s">
        <v>2348</v>
      </c>
      <c r="E8" s="2882" t="s">
        <v>2349</v>
      </c>
      <c r="F8" s="2883" t="s">
        <v>2350</v>
      </c>
      <c r="G8" s="2884"/>
      <c r="H8" s="2840"/>
      <c r="I8" s="2841"/>
      <c r="J8" s="3759"/>
      <c r="K8" s="3761"/>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63" t="s">
        <v>2353</v>
      </c>
      <c r="C9" s="3764"/>
      <c r="D9" s="2881">
        <f>ROUND(D6*E9,0)</f>
        <v>0</v>
      </c>
      <c r="E9" s="2885"/>
      <c r="F9" s="2886" t="s">
        <v>2354</v>
      </c>
      <c r="G9" s="2865"/>
      <c r="H9" s="2840"/>
      <c r="I9" s="2841"/>
      <c r="J9" s="3759"/>
      <c r="K9" s="3761"/>
      <c r="L9" s="2875" t="s">
        <v>2355</v>
      </c>
      <c r="M9" s="2876"/>
      <c r="N9" s="2852"/>
      <c r="O9" s="2877"/>
      <c r="P9" s="2877"/>
      <c r="Q9" s="2878">
        <v>365</v>
      </c>
      <c r="R9" s="2879">
        <f t="shared" si="0"/>
        <v>0</v>
      </c>
      <c r="S9" s="2833"/>
      <c r="T9" s="2833"/>
      <c r="U9" s="2833"/>
      <c r="V9" s="2841"/>
    </row>
    <row r="10" spans="1:22" s="2845" customFormat="1" ht="13.35" customHeight="1">
      <c r="A10" s="2880">
        <v>2</v>
      </c>
      <c r="B10" s="3763" t="s">
        <v>2356</v>
      </c>
      <c r="C10" s="3764"/>
      <c r="D10" s="2881">
        <f>ROUND(D6*E10,0)</f>
        <v>0</v>
      </c>
      <c r="E10" s="2885"/>
      <c r="F10" s="2886" t="s">
        <v>2357</v>
      </c>
      <c r="G10" s="2865"/>
      <c r="H10" s="2840"/>
      <c r="I10" s="2841"/>
      <c r="J10" s="3759"/>
      <c r="K10" s="3761"/>
      <c r="L10" s="2875" t="s">
        <v>2358</v>
      </c>
      <c r="M10" s="2876"/>
      <c r="N10" s="2852"/>
      <c r="O10" s="2877"/>
      <c r="P10" s="2877"/>
      <c r="Q10" s="2878">
        <v>365</v>
      </c>
      <c r="R10" s="2879">
        <f t="shared" si="0"/>
        <v>0</v>
      </c>
      <c r="S10" s="2833"/>
      <c r="T10" s="2833"/>
      <c r="U10" s="2833"/>
      <c r="V10" s="2841"/>
    </row>
    <row r="11" spans="1:22" s="2845" customFormat="1" ht="13.35" customHeight="1">
      <c r="A11" s="2880">
        <v>3</v>
      </c>
      <c r="B11" s="3763" t="s">
        <v>2359</v>
      </c>
      <c r="C11" s="3764"/>
      <c r="D11" s="2881">
        <f>D12+D14+D15+D16</f>
        <v>0</v>
      </c>
      <c r="E11" s="2887" t="e">
        <f>D11/D6</f>
        <v>#DIV/0!</v>
      </c>
      <c r="F11" s="2883"/>
      <c r="G11" s="2884"/>
      <c r="H11" s="2840"/>
      <c r="I11" s="2841"/>
      <c r="J11" s="3759"/>
      <c r="K11" s="3761"/>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65" t="s">
        <v>2362</v>
      </c>
      <c r="C12" s="3766"/>
      <c r="D12" s="2889">
        <f>ROUND(D13*1.2%*(1-30%),0)</f>
        <v>0</v>
      </c>
      <c r="E12" s="2890">
        <v>1.2E-2</v>
      </c>
      <c r="F12" s="2883" t="s">
        <v>2363</v>
      </c>
      <c r="G12" s="2884"/>
      <c r="H12" s="2840"/>
      <c r="I12" s="2841"/>
      <c r="J12" s="3759"/>
      <c r="K12" s="3761"/>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59"/>
      <c r="K13" s="3761"/>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65" t="s">
        <v>2368</v>
      </c>
      <c r="C14" s="3766"/>
      <c r="D14" s="2889">
        <f>ROUND(E14*B5/10000,0)</f>
        <v>0</v>
      </c>
      <c r="E14" s="2878"/>
      <c r="F14" s="2883" t="s">
        <v>2369</v>
      </c>
      <c r="G14" s="2884"/>
      <c r="H14" s="2840"/>
      <c r="I14" s="2841"/>
      <c r="J14" s="3759"/>
      <c r="K14" s="3762"/>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65" t="s">
        <v>2372</v>
      </c>
      <c r="C15" s="3766"/>
      <c r="D15" s="2889">
        <f>ROUND(D6*E15,0)</f>
        <v>0</v>
      </c>
      <c r="E15" s="2890">
        <v>5.5E-2</v>
      </c>
      <c r="F15" s="2883" t="s">
        <v>2373</v>
      </c>
      <c r="G15" s="2865"/>
      <c r="H15" s="2840"/>
      <c r="I15" s="2841"/>
      <c r="J15" s="3759">
        <v>2</v>
      </c>
      <c r="K15" s="3760"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65" t="s">
        <v>2381</v>
      </c>
      <c r="C16" s="3766"/>
      <c r="D16" s="2900">
        <f>D6*E16</f>
        <v>0</v>
      </c>
      <c r="E16" s="2901"/>
      <c r="F16" s="2886" t="s">
        <v>2382</v>
      </c>
      <c r="G16" s="2865"/>
      <c r="H16" s="2840"/>
      <c r="I16" s="2841"/>
      <c r="J16" s="3759"/>
      <c r="K16" s="3761"/>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67" t="s">
        <v>2384</v>
      </c>
      <c r="C17" s="3768"/>
      <c r="D17" s="2903">
        <f>ROUND(D6*E17,0)</f>
        <v>0</v>
      </c>
      <c r="E17" s="2904"/>
      <c r="F17" s="2905" t="s">
        <v>2385</v>
      </c>
      <c r="G17" s="2865"/>
      <c r="H17" s="2840"/>
      <c r="I17" s="2841"/>
      <c r="J17" s="3759"/>
      <c r="K17" s="3761"/>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59"/>
      <c r="K18" s="3761"/>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59"/>
      <c r="K19" s="3762"/>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59">
        <v>3</v>
      </c>
      <c r="K20" s="3760"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59"/>
      <c r="K21" s="3761"/>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59"/>
      <c r="K22" s="3761"/>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59"/>
      <c r="K23" s="3761"/>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59"/>
      <c r="K24" s="3762"/>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69">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70"/>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52" t="s">
        <v>2317</v>
      </c>
      <c r="K32" s="3753"/>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54" t="s">
        <v>2327</v>
      </c>
      <c r="K33" s="3755"/>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54" t="s">
        <v>2329</v>
      </c>
      <c r="K34" s="3755"/>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59">
        <v>1</v>
      </c>
      <c r="K36" s="3760"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59"/>
      <c r="K37" s="3761"/>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59"/>
      <c r="K38" s="3761"/>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59"/>
      <c r="K39" s="3761"/>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59"/>
      <c r="K40" s="3762"/>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69">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70"/>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71" t="s">
        <v>1654</v>
      </c>
      <c r="C5" s="3772"/>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2023年2月13日（评估专业人员实地查勘之日）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7" zoomScale="84" zoomScaleNormal="60" zoomScaleSheetLayoutView="84" workbookViewId="0">
      <selection activeCell="E12" sqref="E12"/>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3400</v>
      </c>
      <c r="E1" s="3418"/>
      <c r="F1" s="1875" t="s">
        <v>3548</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29690</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13" t="s">
        <v>1667</v>
      </c>
      <c r="D4" s="3714"/>
      <c r="E4" s="3715" t="s">
        <v>1668</v>
      </c>
      <c r="F4" s="3716"/>
      <c r="G4" s="3713" t="s">
        <v>1669</v>
      </c>
      <c r="H4" s="3714"/>
      <c r="I4" s="3713" t="s">
        <v>1670</v>
      </c>
      <c r="J4" s="3714"/>
      <c r="K4" s="1885" t="s">
        <v>1671</v>
      </c>
      <c r="L4" s="2707"/>
      <c r="M4" s="2708"/>
      <c r="N4" s="2708"/>
      <c r="O4" s="2708"/>
      <c r="P4" s="3717" t="s">
        <v>1672</v>
      </c>
      <c r="Q4" s="3718"/>
      <c r="R4" s="3700" t="s">
        <v>1668</v>
      </c>
      <c r="S4" s="3701"/>
      <c r="T4" s="3700" t="s">
        <v>1669</v>
      </c>
      <c r="U4" s="3701"/>
      <c r="V4" s="3725" t="s">
        <v>1670</v>
      </c>
      <c r="W4" s="3725"/>
      <c r="X4" s="1351"/>
      <c r="Y4" s="3700" t="s">
        <v>1672</v>
      </c>
      <c r="Z4" s="3701"/>
      <c r="AA4" s="3695" t="s">
        <v>1668</v>
      </c>
      <c r="AB4" s="3695" t="s">
        <v>1669</v>
      </c>
      <c r="AC4" s="3695" t="s">
        <v>1670</v>
      </c>
    </row>
    <row r="5" spans="1:29" ht="35.1" customHeight="1">
      <c r="A5" s="355"/>
      <c r="B5" s="356"/>
      <c r="C5" s="3706" t="str">
        <f>'土地比较法-住宅、综合'!C5:D5</f>
        <v>关于瀛海镇区级统筹集建地YZ00-0803-2006等地块共有产权房项目</v>
      </c>
      <c r="D5" s="3707"/>
      <c r="E5" s="3773" t="s">
        <v>3490</v>
      </c>
      <c r="F5" s="3774"/>
      <c r="G5" s="3773" t="s">
        <v>3491</v>
      </c>
      <c r="H5" s="3774"/>
      <c r="I5" s="3777" t="s">
        <v>3492</v>
      </c>
      <c r="J5" s="3776"/>
      <c r="K5" s="1886"/>
      <c r="L5" s="2707"/>
      <c r="M5" s="2708"/>
      <c r="N5" s="2708"/>
      <c r="O5" s="2708"/>
      <c r="P5" s="3719"/>
      <c r="Q5" s="3720"/>
      <c r="R5" s="3702"/>
      <c r="S5" s="3703"/>
      <c r="T5" s="3702"/>
      <c r="U5" s="3703"/>
      <c r="V5" s="3725"/>
      <c r="W5" s="3725"/>
      <c r="X5" s="1351"/>
      <c r="Y5" s="3702"/>
      <c r="Z5" s="3703"/>
      <c r="AA5" s="3696"/>
      <c r="AB5" s="3696"/>
      <c r="AC5" s="3696"/>
    </row>
    <row r="6" spans="1:29" ht="15.75" thickBot="1">
      <c r="A6" s="357"/>
      <c r="B6" s="358"/>
      <c r="C6" s="3775" t="s">
        <v>3550</v>
      </c>
      <c r="D6" s="3776"/>
      <c r="E6" s="3778" t="s">
        <v>3550</v>
      </c>
      <c r="F6" s="3774"/>
      <c r="G6" s="3775" t="s">
        <v>3550</v>
      </c>
      <c r="H6" s="3776"/>
      <c r="I6" s="3775" t="s">
        <v>3550</v>
      </c>
      <c r="J6" s="3776"/>
      <c r="K6" s="1886" t="s">
        <v>1678</v>
      </c>
      <c r="L6" s="2707"/>
      <c r="M6" s="2708"/>
      <c r="N6" s="2708"/>
      <c r="O6" s="2708"/>
      <c r="P6" s="3721"/>
      <c r="Q6" s="3722"/>
      <c r="R6" s="3702"/>
      <c r="S6" s="3703"/>
      <c r="T6" s="3723"/>
      <c r="U6" s="3724"/>
      <c r="V6" s="3725"/>
      <c r="W6" s="3725"/>
      <c r="X6" s="1351"/>
      <c r="Y6" s="3723"/>
      <c r="Z6" s="3724"/>
      <c r="AA6" s="3697"/>
      <c r="AB6" s="3697"/>
      <c r="AC6" s="3697"/>
    </row>
    <row r="7" spans="1:29" s="108" customFormat="1" ht="15.75" thickBot="1">
      <c r="A7" s="359" t="s">
        <v>1679</v>
      </c>
      <c r="B7" s="360"/>
      <c r="C7" s="361">
        <f>'数据-取费表'!B2</f>
        <v>44970</v>
      </c>
      <c r="D7" s="362">
        <v>100</v>
      </c>
      <c r="E7" s="363">
        <f>'土地比较法-住宅、综合'!E7</f>
        <v>44237.000497685185</v>
      </c>
      <c r="F7" s="364">
        <v>99</v>
      </c>
      <c r="G7" s="363">
        <f>'土地比较法-住宅、综合'!G7</f>
        <v>44190.000497685185</v>
      </c>
      <c r="H7" s="362">
        <v>99</v>
      </c>
      <c r="I7" s="363">
        <f>'土地比较法-住宅、综合'!I7</f>
        <v>43720.000497685185</v>
      </c>
      <c r="J7" s="362">
        <v>100</v>
      </c>
      <c r="K7" s="1887"/>
      <c r="L7" s="2709"/>
      <c r="M7" s="2710"/>
      <c r="N7" s="2710"/>
      <c r="O7" s="2710"/>
      <c r="P7" s="3698" t="s">
        <v>1680</v>
      </c>
      <c r="Q7" s="3728"/>
      <c r="R7" s="697" t="s">
        <v>20</v>
      </c>
      <c r="S7" s="698">
        <f t="shared" ref="S7:S15" si="0">F7</f>
        <v>99</v>
      </c>
      <c r="T7" s="697" t="s">
        <v>20</v>
      </c>
      <c r="U7" s="698">
        <f t="shared" ref="U7:U15" si="1">H7</f>
        <v>99</v>
      </c>
      <c r="V7" s="697" t="s">
        <v>20</v>
      </c>
      <c r="W7" s="698">
        <f t="shared" ref="W7:W15" si="2">J7</f>
        <v>100</v>
      </c>
      <c r="X7" s="699"/>
      <c r="Y7" s="3698" t="s">
        <v>1680</v>
      </c>
      <c r="Z7" s="3699"/>
      <c r="AA7" s="700">
        <f>D7/F7</f>
        <v>1.0101010101010102</v>
      </c>
      <c r="AB7" s="700">
        <f>D7/H7</f>
        <v>1.0101010101010102</v>
      </c>
      <c r="AC7" s="700">
        <f>D7/J7</f>
        <v>1</v>
      </c>
    </row>
    <row r="8" spans="1:29" s="108" customFormat="1" ht="15.75" thickBot="1">
      <c r="A8" s="359" t="s">
        <v>1681</v>
      </c>
      <c r="B8" s="360"/>
      <c r="C8" s="365" t="s">
        <v>3493</v>
      </c>
      <c r="D8" s="362">
        <v>100</v>
      </c>
      <c r="E8" s="365" t="s">
        <v>3493</v>
      </c>
      <c r="F8" s="364">
        <f>SUMIF(61:61,E8,62:62)-SUMIF(61:61,C8,62:62)+100</f>
        <v>100</v>
      </c>
      <c r="G8" s="365" t="s">
        <v>3493</v>
      </c>
      <c r="H8" s="362">
        <f>SUMIF(61:61,G8,62:62)-SUMIF(61:61,C8,62:62)+100</f>
        <v>100</v>
      </c>
      <c r="I8" s="365" t="s">
        <v>3493</v>
      </c>
      <c r="J8" s="362">
        <f>SUMIF(61:61,I8,62:62)-SUMIF(61:61,C8,62:62)+100</f>
        <v>100</v>
      </c>
      <c r="K8" s="1887"/>
      <c r="L8" s="2709"/>
      <c r="M8" s="2710"/>
      <c r="N8" s="2710"/>
      <c r="O8" s="2710"/>
      <c r="P8" s="3698" t="s">
        <v>1683</v>
      </c>
      <c r="Q8" s="3699"/>
      <c r="R8" s="697" t="s">
        <v>20</v>
      </c>
      <c r="S8" s="698">
        <f t="shared" si="0"/>
        <v>100</v>
      </c>
      <c r="T8" s="697" t="s">
        <v>20</v>
      </c>
      <c r="U8" s="698">
        <f t="shared" si="1"/>
        <v>100</v>
      </c>
      <c r="V8" s="697" t="s">
        <v>20</v>
      </c>
      <c r="W8" s="698">
        <f t="shared" si="2"/>
        <v>100</v>
      </c>
      <c r="X8" s="699"/>
      <c r="Y8" s="3698" t="s">
        <v>1683</v>
      </c>
      <c r="Z8" s="3699"/>
      <c r="AA8" s="700">
        <f t="shared" ref="AA8:AA19" si="3">D8/F8</f>
        <v>1</v>
      </c>
      <c r="AB8" s="700">
        <f t="shared" ref="AB8:AB19" si="4">D8/H8</f>
        <v>1</v>
      </c>
      <c r="AC8" s="700">
        <f t="shared" ref="AC8:AC19" si="5">D8/J8</f>
        <v>1</v>
      </c>
    </row>
    <row r="9" spans="1:29" s="108" customFormat="1">
      <c r="A9" s="366" t="s">
        <v>1684</v>
      </c>
      <c r="B9" s="63" t="s">
        <v>1685</v>
      </c>
      <c r="C9" s="367" t="s">
        <v>3551</v>
      </c>
      <c r="D9" s="124">
        <v>100</v>
      </c>
      <c r="E9" s="368" t="s">
        <v>3398</v>
      </c>
      <c r="F9" s="369">
        <f>SUMIF(63:63,E9,64:64)-SUMIF(63:63,C9,64:64)+100</f>
        <v>100</v>
      </c>
      <c r="G9" s="368" t="s">
        <v>3398</v>
      </c>
      <c r="H9" s="124">
        <f>SUMIF(63:63,G9,64:64)-SUMIF(63:63,C9,64:64)+100</f>
        <v>100</v>
      </c>
      <c r="I9" s="368" t="s">
        <v>3398</v>
      </c>
      <c r="J9" s="124">
        <f>SUMIF(63:63,I9,64:64)-SUMIF(63:63,C9,64:64)+100</f>
        <v>100</v>
      </c>
      <c r="K9" s="1887"/>
      <c r="L9" s="2709"/>
      <c r="M9" s="2710"/>
      <c r="N9" s="2710"/>
      <c r="O9" s="2710"/>
      <c r="P9" s="3738" t="s">
        <v>1686</v>
      </c>
      <c r="Q9" s="1339" t="str">
        <f t="shared" ref="Q9:Q15" si="6">B9</f>
        <v>用途</v>
      </c>
      <c r="R9" s="697" t="s">
        <v>14</v>
      </c>
      <c r="S9" s="698">
        <f t="shared" si="0"/>
        <v>100</v>
      </c>
      <c r="T9" s="697" t="s">
        <v>14</v>
      </c>
      <c r="U9" s="698">
        <f t="shared" si="1"/>
        <v>100</v>
      </c>
      <c r="V9" s="697" t="s">
        <v>14</v>
      </c>
      <c r="W9" s="698">
        <f t="shared" si="2"/>
        <v>100</v>
      </c>
      <c r="X9" s="699"/>
      <c r="Y9" s="3663" t="s">
        <v>1687</v>
      </c>
      <c r="Z9" s="52" t="str">
        <f t="shared" ref="Z9:Z15" si="7">Q9</f>
        <v>用途</v>
      </c>
      <c r="AA9" s="700">
        <f t="shared" si="3"/>
        <v>1</v>
      </c>
      <c r="AB9" s="700">
        <f t="shared" si="4"/>
        <v>1</v>
      </c>
      <c r="AC9" s="700">
        <f t="shared" si="5"/>
        <v>1</v>
      </c>
    </row>
    <row r="10" spans="1:29" s="375" customFormat="1" ht="27">
      <c r="A10" s="371"/>
      <c r="B10" s="372" t="s">
        <v>1688</v>
      </c>
      <c r="C10" s="3426" t="s">
        <v>3552</v>
      </c>
      <c r="D10" s="125">
        <v>100</v>
      </c>
      <c r="E10" s="3427" t="s">
        <v>3552</v>
      </c>
      <c r="F10" s="373">
        <f>SUMIF(65:65,E10,66:66)-SUMIF(65:65,C10,66:66)+100</f>
        <v>100</v>
      </c>
      <c r="G10" s="3426" t="s">
        <v>3552</v>
      </c>
      <c r="H10" s="125">
        <f>SUMIF(65:65,G10,66:66)-SUMIF(65:65,C10,66:66)+100</f>
        <v>100</v>
      </c>
      <c r="I10" s="3426" t="s">
        <v>3552</v>
      </c>
      <c r="J10" s="125">
        <f>SUMIF(65:65,I10,66:66)-SUMIF(65:65,C10,66:66)+100</f>
        <v>100</v>
      </c>
      <c r="K10" s="1887"/>
      <c r="L10" s="2711"/>
      <c r="M10" s="2712"/>
      <c r="N10" s="2712"/>
      <c r="O10" s="2712"/>
      <c r="P10" s="3738"/>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f>'土地比较法-住宅、综合'!G11</f>
        <v>2.37</v>
      </c>
      <c r="H11" s="125">
        <f>LOOKUP(G11,68:68,69:69)-LOOKUP(C11,68:68,69:69)+100</f>
        <v>99.5</v>
      </c>
      <c r="I11" s="377">
        <f>'土地比较法-住宅、综合'!I11</f>
        <v>2.2599999999999998</v>
      </c>
      <c r="J11" s="125">
        <f>LOOKUP(I11,68:68,69:69)-LOOKUP(C11,68:68,69:69)+100</f>
        <v>100</v>
      </c>
      <c r="K11" s="374">
        <v>0.5</v>
      </c>
      <c r="L11" s="2713"/>
      <c r="M11" s="2708"/>
      <c r="N11" s="2708"/>
      <c r="O11" s="2708"/>
      <c r="P11" s="3738"/>
      <c r="Q11" s="1339" t="str">
        <f t="shared" si="6"/>
        <v>容积率</v>
      </c>
      <c r="R11" s="697" t="s">
        <v>18</v>
      </c>
      <c r="S11" s="698">
        <f t="shared" si="0"/>
        <v>98.5</v>
      </c>
      <c r="T11" s="697" t="s">
        <v>18</v>
      </c>
      <c r="U11" s="698">
        <f t="shared" si="1"/>
        <v>99.5</v>
      </c>
      <c r="V11" s="697" t="s">
        <v>18</v>
      </c>
      <c r="W11" s="698">
        <f t="shared" si="2"/>
        <v>100</v>
      </c>
      <c r="X11" s="699"/>
      <c r="Y11" s="3663"/>
      <c r="Z11" s="52" t="str">
        <f t="shared" si="7"/>
        <v>容积率</v>
      </c>
      <c r="AA11" s="700">
        <f t="shared" si="3"/>
        <v>1.015228426395939</v>
      </c>
      <c r="AB11" s="700">
        <f t="shared" si="4"/>
        <v>1.0050251256281406</v>
      </c>
      <c r="AC11" s="700">
        <f t="shared" si="5"/>
        <v>1</v>
      </c>
    </row>
    <row r="12" spans="1:29" s="108" customFormat="1" ht="15">
      <c r="A12" s="379"/>
      <c r="B12" s="1888" t="s">
        <v>3553</v>
      </c>
      <c r="C12" s="380" t="s">
        <v>3554</v>
      </c>
      <c r="D12" s="381">
        <v>100</v>
      </c>
      <c r="E12" s="380" t="s">
        <v>3554</v>
      </c>
      <c r="F12" s="373">
        <f>SUMIF(70:70,E12,71:71)-SUMIF(70:70,C12,71:71)+100</f>
        <v>100</v>
      </c>
      <c r="G12" s="380" t="s">
        <v>3554</v>
      </c>
      <c r="H12" s="125">
        <f>SUMIF(70:70,G12,71:71)-SUMIF(70:70,C12,71:71)+100</f>
        <v>100</v>
      </c>
      <c r="I12" s="380" t="s">
        <v>3554</v>
      </c>
      <c r="J12" s="125">
        <f>SUMIF(70:70,I12,71:71)-SUMIF(70:70,C12,71:71)+100</f>
        <v>100</v>
      </c>
      <c r="K12" s="1889"/>
      <c r="L12" s="2709"/>
      <c r="M12" s="2710"/>
      <c r="N12" s="2710"/>
      <c r="O12" s="2710"/>
      <c r="P12" s="3738"/>
      <c r="Q12" s="1339" t="str">
        <f t="shared" si="6"/>
        <v>产权性质</v>
      </c>
      <c r="R12" s="697" t="s">
        <v>18</v>
      </c>
      <c r="S12" s="698">
        <f t="shared" si="0"/>
        <v>100</v>
      </c>
      <c r="T12" s="697" t="s">
        <v>18</v>
      </c>
      <c r="U12" s="698">
        <f t="shared" si="1"/>
        <v>100</v>
      </c>
      <c r="V12" s="697" t="s">
        <v>18</v>
      </c>
      <c r="W12" s="698">
        <f t="shared" si="2"/>
        <v>100</v>
      </c>
      <c r="X12" s="699"/>
      <c r="Y12" s="3663"/>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38"/>
      <c r="Q13" s="1339">
        <f t="shared" si="6"/>
        <v>111</v>
      </c>
      <c r="R13" s="697" t="s">
        <v>18</v>
      </c>
      <c r="S13" s="698">
        <f t="shared" si="0"/>
        <v>100</v>
      </c>
      <c r="T13" s="697" t="s">
        <v>18</v>
      </c>
      <c r="U13" s="698">
        <f t="shared" si="1"/>
        <v>100</v>
      </c>
      <c r="V13" s="697" t="s">
        <v>18</v>
      </c>
      <c r="W13" s="698">
        <f t="shared" si="2"/>
        <v>100</v>
      </c>
      <c r="X13" s="699"/>
      <c r="Y13" s="3663"/>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38"/>
      <c r="Q14" s="1339">
        <f t="shared" si="6"/>
        <v>111</v>
      </c>
      <c r="R14" s="697" t="s">
        <v>18</v>
      </c>
      <c r="S14" s="698">
        <f t="shared" si="0"/>
        <v>100</v>
      </c>
      <c r="T14" s="697" t="s">
        <v>18</v>
      </c>
      <c r="U14" s="698">
        <f t="shared" si="1"/>
        <v>100</v>
      </c>
      <c r="V14" s="697" t="s">
        <v>18</v>
      </c>
      <c r="W14" s="698">
        <f t="shared" si="2"/>
        <v>100</v>
      </c>
      <c r="X14" s="699"/>
      <c r="Y14" s="3663"/>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785" t="s">
        <v>1691</v>
      </c>
      <c r="Q15" s="1348" t="str">
        <f t="shared" si="6"/>
        <v>居住社区成熟度</v>
      </c>
      <c r="R15" s="701" t="s">
        <v>18</v>
      </c>
      <c r="S15" s="702">
        <f t="shared" si="0"/>
        <v>100</v>
      </c>
      <c r="T15" s="701" t="s">
        <v>18</v>
      </c>
      <c r="U15" s="702">
        <f t="shared" si="1"/>
        <v>100</v>
      </c>
      <c r="V15" s="701" t="s">
        <v>18</v>
      </c>
      <c r="W15" s="702">
        <f t="shared" si="2"/>
        <v>100</v>
      </c>
      <c r="X15" s="1351"/>
      <c r="Y15" s="3729" t="s">
        <v>1691</v>
      </c>
      <c r="Z15" s="1352" t="str">
        <f t="shared" si="7"/>
        <v>居住社区成熟度</v>
      </c>
      <c r="AA15" s="1349">
        <f t="shared" si="3"/>
        <v>1</v>
      </c>
      <c r="AB15" s="1349">
        <f t="shared" si="4"/>
        <v>1</v>
      </c>
      <c r="AC15" s="1349">
        <f t="shared" si="5"/>
        <v>1</v>
      </c>
    </row>
    <row r="16" spans="1:29" ht="15">
      <c r="A16" s="376"/>
      <c r="B16" s="394"/>
      <c r="C16" s="395" t="s">
        <v>3501</v>
      </c>
      <c r="D16" s="396"/>
      <c r="E16" s="1892" t="s">
        <v>3501</v>
      </c>
      <c r="F16" s="396"/>
      <c r="G16" s="1893" t="s">
        <v>3501</v>
      </c>
      <c r="H16" s="398"/>
      <c r="I16" s="1893" t="s">
        <v>3501</v>
      </c>
      <c r="J16" s="396"/>
      <c r="K16" s="1894"/>
      <c r="L16" s="2714"/>
      <c r="M16" s="2708"/>
      <c r="N16" s="2708"/>
      <c r="O16" s="2708"/>
      <c r="P16" s="3786"/>
      <c r="Q16" s="1348"/>
      <c r="R16" s="701"/>
      <c r="S16" s="702"/>
      <c r="T16" s="701"/>
      <c r="U16" s="702"/>
      <c r="V16" s="701"/>
      <c r="W16" s="702"/>
      <c r="X16" s="1351"/>
      <c r="Y16" s="3730"/>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786"/>
      <c r="Q17" s="1348" t="str">
        <f>B17</f>
        <v>交通便捷度</v>
      </c>
      <c r="R17" s="701" t="s">
        <v>18</v>
      </c>
      <c r="S17" s="702">
        <f>F17</f>
        <v>100</v>
      </c>
      <c r="T17" s="701" t="s">
        <v>18</v>
      </c>
      <c r="U17" s="702">
        <f>H17</f>
        <v>100</v>
      </c>
      <c r="V17" s="701" t="s">
        <v>18</v>
      </c>
      <c r="W17" s="702">
        <f>J17</f>
        <v>100</v>
      </c>
      <c r="X17" s="1351"/>
      <c r="Y17" s="3730"/>
      <c r="Z17" s="1352" t="str">
        <f>Q17</f>
        <v>交通便捷度</v>
      </c>
      <c r="AA17" s="1349">
        <f t="shared" si="3"/>
        <v>1</v>
      </c>
      <c r="AB17" s="1349">
        <f t="shared" si="4"/>
        <v>1</v>
      </c>
      <c r="AC17" s="1349">
        <f t="shared" si="5"/>
        <v>1</v>
      </c>
    </row>
    <row r="18" spans="1:29" ht="15">
      <c r="A18" s="376"/>
      <c r="B18" s="404"/>
      <c r="C18" s="1896" t="s">
        <v>3538</v>
      </c>
      <c r="D18" s="398"/>
      <c r="E18" s="1897" t="s">
        <v>3538</v>
      </c>
      <c r="F18" s="398"/>
      <c r="G18" s="1898" t="s">
        <v>3538</v>
      </c>
      <c r="H18" s="396"/>
      <c r="I18" s="1898" t="s">
        <v>3538</v>
      </c>
      <c r="J18" s="396"/>
      <c r="K18" s="1894"/>
      <c r="L18" s="2714"/>
      <c r="M18" s="2708"/>
      <c r="N18" s="2708"/>
      <c r="O18" s="2708"/>
      <c r="P18" s="3786"/>
      <c r="Q18" s="1348"/>
      <c r="R18" s="701"/>
      <c r="S18" s="702"/>
      <c r="T18" s="701"/>
      <c r="U18" s="702"/>
      <c r="V18" s="701"/>
      <c r="W18" s="702"/>
      <c r="X18" s="1351"/>
      <c r="Y18" s="3730"/>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786"/>
      <c r="Q19" s="1348" t="str">
        <f>B19</f>
        <v>公共配套设施</v>
      </c>
      <c r="R19" s="701" t="s">
        <v>18</v>
      </c>
      <c r="S19" s="702">
        <f>F19</f>
        <v>100</v>
      </c>
      <c r="T19" s="701" t="s">
        <v>18</v>
      </c>
      <c r="U19" s="702">
        <f>H19</f>
        <v>100</v>
      </c>
      <c r="V19" s="701" t="s">
        <v>18</v>
      </c>
      <c r="W19" s="702">
        <f>J19</f>
        <v>100</v>
      </c>
      <c r="X19" s="1351"/>
      <c r="Y19" s="3730"/>
      <c r="Z19" s="1352" t="str">
        <f>Q19</f>
        <v>公共配套设施</v>
      </c>
      <c r="AA19" s="1349">
        <f t="shared" si="3"/>
        <v>1</v>
      </c>
      <c r="AB19" s="1349">
        <f t="shared" si="4"/>
        <v>1</v>
      </c>
      <c r="AC19" s="1349">
        <f t="shared" si="5"/>
        <v>1</v>
      </c>
    </row>
    <row r="20" spans="1:29" ht="15">
      <c r="A20" s="376"/>
      <c r="B20" s="404"/>
      <c r="C20" s="395" t="s">
        <v>3501</v>
      </c>
      <c r="D20" s="396"/>
      <c r="E20" s="1892" t="s">
        <v>3501</v>
      </c>
      <c r="F20" s="396"/>
      <c r="G20" s="1893" t="s">
        <v>3501</v>
      </c>
      <c r="H20" s="396"/>
      <c r="I20" s="1893" t="s">
        <v>3501</v>
      </c>
      <c r="J20" s="396"/>
      <c r="K20" s="1894"/>
      <c r="L20" s="2714"/>
      <c r="M20" s="2708"/>
      <c r="N20" s="2708"/>
      <c r="O20" s="2708"/>
      <c r="P20" s="3786"/>
      <c r="Q20" s="1348"/>
      <c r="R20" s="701"/>
      <c r="S20" s="702"/>
      <c r="T20" s="701"/>
      <c r="U20" s="702"/>
      <c r="V20" s="701"/>
      <c r="W20" s="702"/>
      <c r="X20" s="1351"/>
      <c r="Y20" s="3730"/>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786"/>
      <c r="Q21" s="1348" t="str">
        <f>B21</f>
        <v>基础设施水平</v>
      </c>
      <c r="R21" s="701" t="s">
        <v>14</v>
      </c>
      <c r="S21" s="702">
        <f>F21</f>
        <v>100</v>
      </c>
      <c r="T21" s="701" t="s">
        <v>14</v>
      </c>
      <c r="U21" s="702">
        <f>H21</f>
        <v>100</v>
      </c>
      <c r="V21" s="701" t="s">
        <v>14</v>
      </c>
      <c r="W21" s="702">
        <f>J21</f>
        <v>100</v>
      </c>
      <c r="X21" s="1351"/>
      <c r="Y21" s="3730"/>
      <c r="Z21" s="1352" t="str">
        <f>Q21</f>
        <v>基础设施水平</v>
      </c>
      <c r="AA21" s="1349">
        <f t="shared" ref="AA21" si="8">D21/F21</f>
        <v>1</v>
      </c>
      <c r="AB21" s="1349">
        <f t="shared" ref="AB21" si="9">D21/H21</f>
        <v>1</v>
      </c>
      <c r="AC21" s="1349">
        <f t="shared" ref="AC21" si="10">D21/J21</f>
        <v>1</v>
      </c>
    </row>
    <row r="22" spans="1:29" ht="15">
      <c r="A22" s="376"/>
      <c r="B22" s="1127"/>
      <c r="C22" s="1896" t="s">
        <v>3534</v>
      </c>
      <c r="D22" s="396"/>
      <c r="E22" s="395" t="s">
        <v>3534</v>
      </c>
      <c r="F22" s="396"/>
      <c r="G22" s="1899" t="s">
        <v>3534</v>
      </c>
      <c r="H22" s="396"/>
      <c r="I22" s="395" t="s">
        <v>3534</v>
      </c>
      <c r="J22" s="396"/>
      <c r="K22" s="1900"/>
      <c r="L22" s="2714"/>
      <c r="M22" s="2708"/>
      <c r="N22" s="2708"/>
      <c r="O22" s="2708"/>
      <c r="P22" s="3786"/>
      <c r="Q22" s="1348"/>
      <c r="R22" s="701"/>
      <c r="S22" s="702"/>
      <c r="T22" s="701"/>
      <c r="U22" s="702"/>
      <c r="V22" s="701"/>
      <c r="W22" s="702"/>
      <c r="X22" s="1351"/>
      <c r="Y22" s="3730"/>
      <c r="Z22" s="1352"/>
      <c r="AA22" s="1349">
        <v>1</v>
      </c>
      <c r="AB22" s="1349">
        <v>1</v>
      </c>
      <c r="AC22" s="1349">
        <v>1</v>
      </c>
    </row>
    <row r="23" spans="1:29" ht="51" customHeight="1">
      <c r="A23" s="376"/>
      <c r="B23" s="399" t="s">
        <v>1261</v>
      </c>
      <c r="C23" s="1895" t="str">
        <f>估价对象房地状况!C9</f>
        <v>周边3公里范围内有南海子公园、志远庄公园等自然景观，人文景观较少，综合评价环境状况一般</v>
      </c>
      <c r="D23" s="398">
        <v>100</v>
      </c>
      <c r="E23" s="402"/>
      <c r="F23" s="398">
        <f>SUMIF(84:84,E24,85:85)-SUMIF(84:84,C24,85:85)+100</f>
        <v>100</v>
      </c>
      <c r="G23" s="400"/>
      <c r="H23" s="398">
        <f>SUMIF(84:84,G24,85:85)-SUMIF(84:84,C24,85:85)+100</f>
        <v>100</v>
      </c>
      <c r="I23" s="400"/>
      <c r="J23" s="398">
        <f>SUMIF(84:84,I24,85:85)-SUMIF(84:84,C24,85:85)+100</f>
        <v>100</v>
      </c>
      <c r="K23" s="393">
        <v>2</v>
      </c>
      <c r="L23" s="2714"/>
      <c r="M23" s="2708"/>
      <c r="N23" s="2708"/>
      <c r="O23" s="2708"/>
      <c r="P23" s="3786"/>
      <c r="Q23" s="1348" t="str">
        <f>B23</f>
        <v>自然及人文环境</v>
      </c>
      <c r="R23" s="701" t="s">
        <v>18</v>
      </c>
      <c r="S23" s="702">
        <f>F23</f>
        <v>100</v>
      </c>
      <c r="T23" s="701" t="s">
        <v>18</v>
      </c>
      <c r="U23" s="702">
        <f>H23</f>
        <v>100</v>
      </c>
      <c r="V23" s="701" t="s">
        <v>18</v>
      </c>
      <c r="W23" s="702">
        <f>J23</f>
        <v>100</v>
      </c>
      <c r="X23" s="1351"/>
      <c r="Y23" s="3730"/>
      <c r="Z23" s="1352" t="str">
        <f>Q23</f>
        <v>自然及人文环境</v>
      </c>
      <c r="AA23" s="1349">
        <f>D23/F23</f>
        <v>1</v>
      </c>
      <c r="AB23" s="1349">
        <f>D23/H23</f>
        <v>1</v>
      </c>
      <c r="AC23" s="1349">
        <f>D23/J23</f>
        <v>1</v>
      </c>
    </row>
    <row r="24" spans="1:29" ht="15">
      <c r="A24" s="376"/>
      <c r="B24" s="404"/>
      <c r="C24" s="395" t="s">
        <v>3501</v>
      </c>
      <c r="D24" s="396"/>
      <c r="E24" s="1892" t="s">
        <v>3501</v>
      </c>
      <c r="F24" s="396"/>
      <c r="G24" s="1893" t="s">
        <v>3501</v>
      </c>
      <c r="H24" s="396"/>
      <c r="I24" s="1893" t="s">
        <v>3501</v>
      </c>
      <c r="J24" s="396"/>
      <c r="K24" s="1894"/>
      <c r="L24" s="2714"/>
      <c r="M24" s="2708"/>
      <c r="N24" s="2708"/>
      <c r="O24" s="2708"/>
      <c r="P24" s="3786"/>
      <c r="Q24" s="1348"/>
      <c r="R24" s="701"/>
      <c r="S24" s="702"/>
      <c r="T24" s="701"/>
      <c r="U24" s="702"/>
      <c r="V24" s="701"/>
      <c r="W24" s="702"/>
      <c r="X24" s="1351"/>
      <c r="Y24" s="3730"/>
      <c r="Z24" s="1352"/>
      <c r="AA24" s="1349">
        <v>1</v>
      </c>
      <c r="AB24" s="1349">
        <v>1</v>
      </c>
      <c r="AC24" s="1349">
        <v>1</v>
      </c>
    </row>
    <row r="25" spans="1:29" ht="15" hidden="1">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786"/>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30"/>
      <c r="Z25" s="1352" t="str">
        <f>Q25</f>
        <v>楼层-1</v>
      </c>
      <c r="AA25" s="1349">
        <f t="shared" ref="AA25:AA46" si="15">D25/F25</f>
        <v>1</v>
      </c>
      <c r="AB25" s="1349">
        <f t="shared" ref="AB25:AB46" si="16">D25/H25</f>
        <v>1</v>
      </c>
      <c r="AC25" s="1349">
        <f t="shared" ref="AC25:AC46" si="17">D25/J25</f>
        <v>1</v>
      </c>
    </row>
    <row r="26" spans="1:29" ht="15" hidden="1">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786"/>
      <c r="Q26" s="1348" t="str">
        <f t="shared" si="11"/>
        <v>朝向</v>
      </c>
      <c r="R26" s="701" t="s">
        <v>18</v>
      </c>
      <c r="S26" s="702">
        <f t="shared" si="12"/>
        <v>100</v>
      </c>
      <c r="T26" s="701" t="s">
        <v>18</v>
      </c>
      <c r="U26" s="702">
        <f t="shared" si="13"/>
        <v>100</v>
      </c>
      <c r="V26" s="701" t="s">
        <v>18</v>
      </c>
      <c r="W26" s="702">
        <f t="shared" si="14"/>
        <v>100</v>
      </c>
      <c r="X26" s="1351"/>
      <c r="Y26" s="3730"/>
      <c r="Z26" s="1352" t="str">
        <f>Q26</f>
        <v>朝向</v>
      </c>
      <c r="AA26" s="1349">
        <f t="shared" si="15"/>
        <v>1</v>
      </c>
      <c r="AB26" s="1349">
        <f t="shared" si="16"/>
        <v>1</v>
      </c>
      <c r="AC26" s="1349">
        <f t="shared" si="17"/>
        <v>1</v>
      </c>
    </row>
    <row r="27" spans="1:29" s="108" customFormat="1" ht="15">
      <c r="A27" s="379"/>
      <c r="B27" s="1129" t="s">
        <v>3555</v>
      </c>
      <c r="C27" s="380" t="s">
        <v>3556</v>
      </c>
      <c r="D27" s="410">
        <v>100</v>
      </c>
      <c r="E27" s="380" t="s">
        <v>3556</v>
      </c>
      <c r="F27" s="410">
        <f>SUMIF(90:90,E27,91:91)-SUMIF(90:90,C27,91:91)+100</f>
        <v>100</v>
      </c>
      <c r="G27" s="380" t="s">
        <v>3556</v>
      </c>
      <c r="H27" s="410">
        <f>SUMIF(90:90,G27,91:91)-SUMIF(90:90,C27,91:91)+100</f>
        <v>100</v>
      </c>
      <c r="I27" s="380" t="s">
        <v>3556</v>
      </c>
      <c r="J27" s="410">
        <f>SUMIF(90:90,I27,91:91)-SUMIF(90:90,C27,91:91)+100</f>
        <v>100</v>
      </c>
      <c r="K27" s="1889"/>
      <c r="L27" s="2709"/>
      <c r="M27" s="2710"/>
      <c r="N27" s="2710"/>
      <c r="O27" s="2710"/>
      <c r="P27" s="3786"/>
      <c r="Q27" s="1339" t="str">
        <f t="shared" si="11"/>
        <v>所在楼层</v>
      </c>
      <c r="R27" s="697" t="s">
        <v>18</v>
      </c>
      <c r="S27" s="698">
        <f t="shared" si="12"/>
        <v>100</v>
      </c>
      <c r="T27" s="697" t="s">
        <v>18</v>
      </c>
      <c r="U27" s="698">
        <f t="shared" si="13"/>
        <v>100</v>
      </c>
      <c r="V27" s="697" t="s">
        <v>18</v>
      </c>
      <c r="W27" s="698">
        <f t="shared" si="14"/>
        <v>100</v>
      </c>
      <c r="X27" s="699"/>
      <c r="Y27" s="3730"/>
      <c r="Z27" s="52" t="str">
        <f>Q27</f>
        <v>所在楼层</v>
      </c>
      <c r="AA27" s="1349">
        <f t="shared" si="15"/>
        <v>1</v>
      </c>
      <c r="AB27" s="1349">
        <f t="shared" si="16"/>
        <v>1</v>
      </c>
      <c r="AC27" s="1349">
        <f t="shared" si="17"/>
        <v>1</v>
      </c>
    </row>
    <row r="28" spans="1:29" ht="15">
      <c r="A28" s="376"/>
      <c r="B28" s="1129" t="s">
        <v>3558</v>
      </c>
      <c r="C28" s="382" t="s">
        <v>3557</v>
      </c>
      <c r="D28" s="383">
        <v>100</v>
      </c>
      <c r="E28" s="382" t="s">
        <v>3557</v>
      </c>
      <c r="F28" s="383">
        <f>SUMIF(92:92,E28,93:93)-SUMIF(92:92,C28,93:93)+100</f>
        <v>100</v>
      </c>
      <c r="G28" s="382" t="s">
        <v>3557</v>
      </c>
      <c r="H28" s="383">
        <f>SUMIF(92:92,G28,93:93)-SUMIF(92:92,C28,93:93)+100</f>
        <v>100</v>
      </c>
      <c r="I28" s="382" t="s">
        <v>3557</v>
      </c>
      <c r="J28" s="383">
        <f>SUMIF(92:92,I28,93:93)-SUMIF(92:92,C28,93:93)+100</f>
        <v>100</v>
      </c>
      <c r="K28" s="1889"/>
      <c r="L28" s="2714"/>
      <c r="M28" s="2708"/>
      <c r="N28" s="2708"/>
      <c r="O28" s="2708"/>
      <c r="P28" s="3786"/>
      <c r="Q28" s="1348" t="str">
        <f t="shared" si="11"/>
        <v>朝向</v>
      </c>
      <c r="R28" s="701" t="s">
        <v>18</v>
      </c>
      <c r="S28" s="702">
        <f t="shared" si="12"/>
        <v>100</v>
      </c>
      <c r="T28" s="701" t="s">
        <v>18</v>
      </c>
      <c r="U28" s="702">
        <f t="shared" si="13"/>
        <v>100</v>
      </c>
      <c r="V28" s="701" t="s">
        <v>18</v>
      </c>
      <c r="W28" s="702">
        <f t="shared" si="14"/>
        <v>100</v>
      </c>
      <c r="X28" s="1351"/>
      <c r="Y28" s="3730"/>
      <c r="Z28" s="1352" t="str">
        <f t="shared" ref="Z28:Z46" si="18">Q28</f>
        <v>朝向</v>
      </c>
      <c r="AA28" s="1349">
        <f t="shared" si="15"/>
        <v>1</v>
      </c>
      <c r="AB28" s="1349">
        <f t="shared" si="16"/>
        <v>1</v>
      </c>
      <c r="AC28" s="1349">
        <f t="shared" si="17"/>
        <v>1</v>
      </c>
    </row>
    <row r="29" spans="1:29" ht="15.75" thickBot="1">
      <c r="A29" s="376"/>
      <c r="B29" s="1129" t="s">
        <v>3559</v>
      </c>
      <c r="C29" s="382" t="s">
        <v>3560</v>
      </c>
      <c r="D29" s="383">
        <v>100</v>
      </c>
      <c r="E29" s="382" t="s">
        <v>3560</v>
      </c>
      <c r="F29" s="383">
        <f>SUMIF(94:94,E29,95:95)-SUMIF(94:94,C29,95:95)+100</f>
        <v>100</v>
      </c>
      <c r="G29" s="382" t="s">
        <v>3560</v>
      </c>
      <c r="H29" s="383">
        <f>SUMIF(94:94,G29,95:95)-SUMIF(94:94,C29,95:95)+100</f>
        <v>100</v>
      </c>
      <c r="I29" s="382" t="s">
        <v>3560</v>
      </c>
      <c r="J29" s="383">
        <f>SUMIF(94:94,I29,95:95)-SUMIF(94:94,C29,95:95)+100</f>
        <v>100</v>
      </c>
      <c r="K29" s="1889"/>
      <c r="L29" s="2714"/>
      <c r="M29" s="2708"/>
      <c r="N29" s="2708"/>
      <c r="O29" s="2708"/>
      <c r="P29" s="3786"/>
      <c r="Q29" s="1348" t="str">
        <f t="shared" si="11"/>
        <v>临街状况</v>
      </c>
      <c r="R29" s="701" t="s">
        <v>18</v>
      </c>
      <c r="S29" s="702">
        <f t="shared" si="12"/>
        <v>100</v>
      </c>
      <c r="T29" s="701" t="s">
        <v>18</v>
      </c>
      <c r="U29" s="702">
        <f t="shared" si="13"/>
        <v>100</v>
      </c>
      <c r="V29" s="701" t="s">
        <v>18</v>
      </c>
      <c r="W29" s="702">
        <f t="shared" si="14"/>
        <v>100</v>
      </c>
      <c r="X29" s="1351"/>
      <c r="Y29" s="3730"/>
      <c r="Z29" s="1352" t="str">
        <f t="shared" si="18"/>
        <v>临街状况</v>
      </c>
      <c r="AA29" s="1349">
        <f t="shared" si="15"/>
        <v>1</v>
      </c>
      <c r="AB29" s="1349">
        <f t="shared" si="16"/>
        <v>1</v>
      </c>
      <c r="AC29" s="1349">
        <f t="shared" si="17"/>
        <v>1</v>
      </c>
    </row>
    <row r="30" spans="1:29" ht="15" hidden="1">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786"/>
      <c r="Q30" s="1348">
        <f t="shared" si="11"/>
        <v>111</v>
      </c>
      <c r="R30" s="701" t="s">
        <v>18</v>
      </c>
      <c r="S30" s="702">
        <f t="shared" si="12"/>
        <v>100</v>
      </c>
      <c r="T30" s="701" t="s">
        <v>18</v>
      </c>
      <c r="U30" s="702">
        <f t="shared" si="13"/>
        <v>100</v>
      </c>
      <c r="V30" s="701" t="s">
        <v>18</v>
      </c>
      <c r="W30" s="702">
        <f t="shared" si="14"/>
        <v>100</v>
      </c>
      <c r="X30" s="1351"/>
      <c r="Y30" s="3730"/>
      <c r="Z30" s="1352">
        <f t="shared" si="18"/>
        <v>111</v>
      </c>
      <c r="AA30" s="1349">
        <f t="shared" si="15"/>
        <v>1</v>
      </c>
      <c r="AB30" s="1349">
        <f t="shared" si="16"/>
        <v>1</v>
      </c>
      <c r="AC30" s="1349">
        <f t="shared" si="17"/>
        <v>1</v>
      </c>
    </row>
    <row r="31" spans="1:29" ht="15.75" hidden="1"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786"/>
      <c r="Q31" s="1348">
        <f t="shared" si="11"/>
        <v>111</v>
      </c>
      <c r="R31" s="701" t="s">
        <v>18</v>
      </c>
      <c r="S31" s="702">
        <f t="shared" si="12"/>
        <v>100</v>
      </c>
      <c r="T31" s="701" t="s">
        <v>18</v>
      </c>
      <c r="U31" s="702">
        <f t="shared" si="13"/>
        <v>100</v>
      </c>
      <c r="V31" s="701" t="s">
        <v>18</v>
      </c>
      <c r="W31" s="702">
        <f t="shared" si="14"/>
        <v>100</v>
      </c>
      <c r="X31" s="1351"/>
      <c r="Y31" s="3730"/>
      <c r="Z31" s="1352">
        <f t="shared" si="18"/>
        <v>111</v>
      </c>
      <c r="AA31" s="1349">
        <f t="shared" si="15"/>
        <v>1</v>
      </c>
      <c r="AB31" s="1349">
        <f t="shared" si="16"/>
        <v>1</v>
      </c>
      <c r="AC31" s="1349">
        <f t="shared" si="17"/>
        <v>1</v>
      </c>
    </row>
    <row r="32" spans="1:29" ht="15">
      <c r="A32" s="388" t="s">
        <v>1694</v>
      </c>
      <c r="B32" s="63" t="s">
        <v>1695</v>
      </c>
      <c r="C32" s="1905" t="s">
        <v>3577</v>
      </c>
      <c r="D32" s="415">
        <v>100</v>
      </c>
      <c r="E32" s="1905" t="s">
        <v>3577</v>
      </c>
      <c r="F32" s="409">
        <f>SUMIF(100:100,E32,101:101)-SUMIF(100:100,C32,101:101)+100</f>
        <v>100</v>
      </c>
      <c r="G32" s="1905" t="s">
        <v>3577</v>
      </c>
      <c r="H32" s="415">
        <f>SUMIF(100:100,G32,101:101)-SUMIF(100:100,C32,101:101)+100</f>
        <v>100</v>
      </c>
      <c r="I32" s="1905" t="s">
        <v>3577</v>
      </c>
      <c r="J32" s="383">
        <f>SUMIF(100:100,I32,101:101)-SUMIF(100:100,C32,101:101)+100</f>
        <v>100</v>
      </c>
      <c r="K32" s="374">
        <v>2</v>
      </c>
      <c r="L32" s="2714"/>
      <c r="M32" s="2708"/>
      <c r="N32" s="2708"/>
      <c r="O32" s="2708"/>
      <c r="P32" s="3781" t="s">
        <v>1696</v>
      </c>
      <c r="Q32" s="1348" t="str">
        <f t="shared" si="11"/>
        <v>建筑类型</v>
      </c>
      <c r="R32" s="701" t="s">
        <v>18</v>
      </c>
      <c r="S32" s="702">
        <f t="shared" si="12"/>
        <v>100</v>
      </c>
      <c r="T32" s="701" t="s">
        <v>18</v>
      </c>
      <c r="U32" s="702">
        <f t="shared" si="13"/>
        <v>100</v>
      </c>
      <c r="V32" s="701" t="s">
        <v>18</v>
      </c>
      <c r="W32" s="702">
        <f t="shared" si="14"/>
        <v>100</v>
      </c>
      <c r="X32" s="1351"/>
      <c r="Y32" s="3732" t="s">
        <v>1696</v>
      </c>
      <c r="Z32" s="1352" t="str">
        <f t="shared" si="18"/>
        <v>建筑类型</v>
      </c>
      <c r="AA32" s="1349">
        <f t="shared" si="15"/>
        <v>1</v>
      </c>
      <c r="AB32" s="1349">
        <f t="shared" si="16"/>
        <v>1</v>
      </c>
      <c r="AC32" s="1349">
        <f t="shared" si="17"/>
        <v>1</v>
      </c>
    </row>
    <row r="33" spans="1:29" s="419" customFormat="1" ht="15" hidden="1">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782"/>
      <c r="Q33" s="703" t="str">
        <f t="shared" si="11"/>
        <v>项目建筑规模</v>
      </c>
      <c r="R33" s="704" t="s">
        <v>18</v>
      </c>
      <c r="S33" s="705">
        <f t="shared" si="12"/>
        <v>100</v>
      </c>
      <c r="T33" s="704" t="s">
        <v>18</v>
      </c>
      <c r="U33" s="705">
        <f t="shared" si="13"/>
        <v>100</v>
      </c>
      <c r="V33" s="704" t="s">
        <v>18</v>
      </c>
      <c r="W33" s="705">
        <f t="shared" si="14"/>
        <v>100</v>
      </c>
      <c r="X33" s="706"/>
      <c r="Y33" s="3732"/>
      <c r="Z33" s="707" t="str">
        <f t="shared" si="18"/>
        <v>项目建筑规模</v>
      </c>
      <c r="AA33" s="1349">
        <f t="shared" si="15"/>
        <v>1</v>
      </c>
      <c r="AB33" s="1349">
        <f t="shared" si="16"/>
        <v>1</v>
      </c>
      <c r="AC33" s="1349">
        <f t="shared" si="17"/>
        <v>1</v>
      </c>
    </row>
    <row r="34" spans="1:29" ht="15">
      <c r="A34" s="420"/>
      <c r="B34" s="372" t="s">
        <v>1698</v>
      </c>
      <c r="C34" s="1906" t="s">
        <v>3578</v>
      </c>
      <c r="D34" s="383">
        <v>100</v>
      </c>
      <c r="E34" s="1906" t="s">
        <v>3578</v>
      </c>
      <c r="F34" s="409">
        <f>SUMIF(105:105,E34,106:106)-SUMIF(105:105,C34,106:106)+100</f>
        <v>100</v>
      </c>
      <c r="G34" s="1906" t="s">
        <v>3578</v>
      </c>
      <c r="H34" s="383">
        <f>SUMIF(105:105,G34,106:106)-SUMIF(105:105,C34,106:106)+100</f>
        <v>100</v>
      </c>
      <c r="I34" s="1906" t="s">
        <v>3578</v>
      </c>
      <c r="J34" s="383">
        <f>SUMIF(105:105,I34,106:106)-SUMIF(105:105,C34,106:106)+100</f>
        <v>100</v>
      </c>
      <c r="K34" s="374">
        <v>2</v>
      </c>
      <c r="L34" s="2714"/>
      <c r="M34" s="2708"/>
      <c r="N34" s="2708"/>
      <c r="O34" s="2708"/>
      <c r="P34" s="3782"/>
      <c r="Q34" s="1348" t="str">
        <f t="shared" si="11"/>
        <v>建筑结构</v>
      </c>
      <c r="R34" s="701" t="s">
        <v>18</v>
      </c>
      <c r="S34" s="702">
        <f t="shared" si="12"/>
        <v>100</v>
      </c>
      <c r="T34" s="701" t="s">
        <v>18</v>
      </c>
      <c r="U34" s="702">
        <f t="shared" si="13"/>
        <v>100</v>
      </c>
      <c r="V34" s="701" t="s">
        <v>18</v>
      </c>
      <c r="W34" s="702">
        <f t="shared" si="14"/>
        <v>100</v>
      </c>
      <c r="X34" s="1351"/>
      <c r="Y34" s="3732"/>
      <c r="Z34" s="1352" t="str">
        <f t="shared" si="18"/>
        <v>建筑结构</v>
      </c>
      <c r="AA34" s="1349">
        <f t="shared" si="15"/>
        <v>1</v>
      </c>
      <c r="AB34" s="1349">
        <f t="shared" si="16"/>
        <v>1</v>
      </c>
      <c r="AC34" s="1349">
        <f t="shared" si="17"/>
        <v>1</v>
      </c>
    </row>
    <row r="35" spans="1:29" ht="15" hidden="1">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782"/>
      <c r="Q35" s="1348" t="str">
        <f t="shared" si="11"/>
        <v>建筑品质</v>
      </c>
      <c r="R35" s="701" t="s">
        <v>18</v>
      </c>
      <c r="S35" s="702">
        <f t="shared" si="12"/>
        <v>100</v>
      </c>
      <c r="T35" s="701" t="s">
        <v>18</v>
      </c>
      <c r="U35" s="702">
        <f t="shared" si="13"/>
        <v>100</v>
      </c>
      <c r="V35" s="701" t="s">
        <v>18</v>
      </c>
      <c r="W35" s="702">
        <f t="shared" si="14"/>
        <v>100</v>
      </c>
      <c r="X35" s="1351"/>
      <c r="Y35" s="3732"/>
      <c r="Z35" s="1352" t="str">
        <f t="shared" si="18"/>
        <v>建筑品质</v>
      </c>
      <c r="AA35" s="1349">
        <f t="shared" si="15"/>
        <v>1</v>
      </c>
      <c r="AB35" s="1349">
        <f t="shared" si="16"/>
        <v>1</v>
      </c>
      <c r="AC35" s="1349">
        <f t="shared" si="17"/>
        <v>1</v>
      </c>
    </row>
    <row r="36" spans="1:29" ht="15" hidden="1">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782"/>
      <c r="Q36" s="1348" t="str">
        <f t="shared" si="11"/>
        <v>公共部分装修</v>
      </c>
      <c r="R36" s="701" t="s">
        <v>18</v>
      </c>
      <c r="S36" s="702">
        <f t="shared" si="12"/>
        <v>100</v>
      </c>
      <c r="T36" s="701" t="s">
        <v>18</v>
      </c>
      <c r="U36" s="702">
        <f t="shared" si="13"/>
        <v>100</v>
      </c>
      <c r="V36" s="701" t="s">
        <v>18</v>
      </c>
      <c r="W36" s="702">
        <f t="shared" si="14"/>
        <v>100</v>
      </c>
      <c r="X36" s="1351"/>
      <c r="Y36" s="3732"/>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782"/>
      <c r="Q37" s="1339" t="str">
        <f t="shared" si="11"/>
        <v>成新度</v>
      </c>
      <c r="R37" s="697" t="s">
        <v>18</v>
      </c>
      <c r="S37" s="698">
        <f t="shared" si="12"/>
        <v>100</v>
      </c>
      <c r="T37" s="697" t="s">
        <v>18</v>
      </c>
      <c r="U37" s="698">
        <f t="shared" si="13"/>
        <v>100</v>
      </c>
      <c r="V37" s="697" t="s">
        <v>18</v>
      </c>
      <c r="W37" s="698">
        <f t="shared" si="14"/>
        <v>100</v>
      </c>
      <c r="X37" s="699"/>
      <c r="Y37" s="3732"/>
      <c r="Z37" s="52" t="str">
        <f t="shared" si="18"/>
        <v>成新度</v>
      </c>
      <c r="AA37" s="700">
        <f t="shared" si="15"/>
        <v>1</v>
      </c>
      <c r="AB37" s="700">
        <f t="shared" si="16"/>
        <v>1</v>
      </c>
      <c r="AC37" s="700">
        <f t="shared" si="17"/>
        <v>1</v>
      </c>
    </row>
    <row r="38" spans="1:29" ht="15">
      <c r="A38" s="420"/>
      <c r="B38" s="372" t="s">
        <v>1702</v>
      </c>
      <c r="C38" s="1901" t="s">
        <v>3579</v>
      </c>
      <c r="D38" s="383">
        <v>100</v>
      </c>
      <c r="E38" s="1901" t="s">
        <v>3579</v>
      </c>
      <c r="F38" s="409">
        <f>SUMIF(114:114,E38,115:115)-SUMIF(114:114,C38,115:115)+100</f>
        <v>100</v>
      </c>
      <c r="G38" s="1901" t="s">
        <v>3579</v>
      </c>
      <c r="H38" s="383">
        <f>SUMIF(114:114,G38,115:115)-SUMIF(114:114,C38,115:115)+100</f>
        <v>100</v>
      </c>
      <c r="I38" s="1901" t="s">
        <v>3579</v>
      </c>
      <c r="J38" s="383">
        <f>SUMIF(114:114,I38,115:115)-SUMIF(114:114,C38,115:115)+100</f>
        <v>100</v>
      </c>
      <c r="K38" s="374">
        <v>2</v>
      </c>
      <c r="L38" s="2714"/>
      <c r="M38" s="2708"/>
      <c r="N38" s="2708"/>
      <c r="O38" s="2708"/>
      <c r="P38" s="3782" t="s">
        <v>1696</v>
      </c>
      <c r="Q38" s="1348" t="str">
        <f t="shared" si="11"/>
        <v>物业管理</v>
      </c>
      <c r="R38" s="701" t="s">
        <v>18</v>
      </c>
      <c r="S38" s="702">
        <f t="shared" si="12"/>
        <v>100</v>
      </c>
      <c r="T38" s="701" t="s">
        <v>18</v>
      </c>
      <c r="U38" s="702">
        <f t="shared" si="13"/>
        <v>100</v>
      </c>
      <c r="V38" s="701" t="s">
        <v>18</v>
      </c>
      <c r="W38" s="702">
        <f t="shared" si="14"/>
        <v>100</v>
      </c>
      <c r="X38" s="1351"/>
      <c r="Y38" s="3732" t="s">
        <v>1696</v>
      </c>
      <c r="Z38" s="1352" t="str">
        <f t="shared" si="18"/>
        <v>物业管理</v>
      </c>
      <c r="AA38" s="1349">
        <f t="shared" si="15"/>
        <v>1</v>
      </c>
      <c r="AB38" s="1349">
        <f t="shared" si="16"/>
        <v>1</v>
      </c>
      <c r="AC38" s="1349">
        <f t="shared" si="17"/>
        <v>1</v>
      </c>
    </row>
    <row r="39" spans="1:29" ht="15" hidden="1">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782"/>
      <c r="Q39" s="1348" t="str">
        <f t="shared" si="11"/>
        <v>市政基础设施</v>
      </c>
      <c r="R39" s="701" t="s">
        <v>18</v>
      </c>
      <c r="S39" s="702">
        <f t="shared" si="12"/>
        <v>100</v>
      </c>
      <c r="T39" s="701" t="s">
        <v>18</v>
      </c>
      <c r="U39" s="702">
        <f t="shared" si="13"/>
        <v>100</v>
      </c>
      <c r="V39" s="701" t="s">
        <v>18</v>
      </c>
      <c r="W39" s="702">
        <f t="shared" si="14"/>
        <v>100</v>
      </c>
      <c r="X39" s="1351"/>
      <c r="Y39" s="3732"/>
      <c r="Z39" s="1352" t="str">
        <f t="shared" si="18"/>
        <v>市政基础设施</v>
      </c>
      <c r="AA39" s="1349">
        <f t="shared" si="15"/>
        <v>1</v>
      </c>
      <c r="AB39" s="1349">
        <f t="shared" si="16"/>
        <v>1</v>
      </c>
      <c r="AC39" s="1349">
        <f t="shared" si="17"/>
        <v>1</v>
      </c>
    </row>
    <row r="40" spans="1:29" ht="15">
      <c r="A40" s="420"/>
      <c r="B40" s="372" t="s">
        <v>1704</v>
      </c>
      <c r="C40" s="1901" t="s">
        <v>3580</v>
      </c>
      <c r="D40" s="383">
        <v>100</v>
      </c>
      <c r="E40" s="1901" t="s">
        <v>3580</v>
      </c>
      <c r="F40" s="409">
        <f>SUMIF(118:118,E40,119:119)-SUMIF(118:118,C40,119:119)+100</f>
        <v>100</v>
      </c>
      <c r="G40" s="1901" t="s">
        <v>3580</v>
      </c>
      <c r="H40" s="383">
        <f>SUMIF(118:118,G40,119:119)-SUMIF(118:118,C40,119:119)+100</f>
        <v>100</v>
      </c>
      <c r="I40" s="1901" t="s">
        <v>3580</v>
      </c>
      <c r="J40" s="383">
        <f>SUMIF(118:118,I40,119:119)-SUMIF(118:118,C40,119:119)+100</f>
        <v>100</v>
      </c>
      <c r="K40" s="374"/>
      <c r="L40" s="2714"/>
      <c r="M40" s="2708"/>
      <c r="N40" s="2708"/>
      <c r="O40" s="2708"/>
      <c r="P40" s="3782"/>
      <c r="Q40" s="1348" t="str">
        <f t="shared" si="11"/>
        <v>房型</v>
      </c>
      <c r="R40" s="701" t="s">
        <v>18</v>
      </c>
      <c r="S40" s="702">
        <f t="shared" si="12"/>
        <v>100</v>
      </c>
      <c r="T40" s="701" t="s">
        <v>18</v>
      </c>
      <c r="U40" s="702">
        <f t="shared" si="13"/>
        <v>100</v>
      </c>
      <c r="V40" s="701" t="s">
        <v>18</v>
      </c>
      <c r="W40" s="702">
        <f t="shared" si="14"/>
        <v>100</v>
      </c>
      <c r="X40" s="1351"/>
      <c r="Y40" s="3732"/>
      <c r="Z40" s="1352" t="str">
        <f t="shared" si="18"/>
        <v>房型</v>
      </c>
      <c r="AA40" s="1349">
        <f t="shared" si="15"/>
        <v>1</v>
      </c>
      <c r="AB40" s="1349">
        <f t="shared" si="16"/>
        <v>1</v>
      </c>
      <c r="AC40" s="1349">
        <f t="shared" si="17"/>
        <v>1</v>
      </c>
    </row>
    <row r="41" spans="1:29" s="419" customFormat="1" ht="85.5">
      <c r="A41" s="416"/>
      <c r="B41" s="372" t="s">
        <v>1705</v>
      </c>
      <c r="C41" s="417" t="s">
        <v>3582</v>
      </c>
      <c r="D41" s="125">
        <v>100</v>
      </c>
      <c r="E41" s="378" t="s">
        <v>3583</v>
      </c>
      <c r="F41" s="373">
        <f>SUMIF(120:120,E41,121:121)-SUMIF(120:120,C41,121:121)+100</f>
        <v>99</v>
      </c>
      <c r="G41" s="377" t="s">
        <v>3583</v>
      </c>
      <c r="H41" s="125">
        <f>SUMIF(120:120,G41,121:121)-SUMIF(120:120,C41,121:121)+100</f>
        <v>99</v>
      </c>
      <c r="I41" s="425" t="s">
        <v>3583</v>
      </c>
      <c r="J41" s="383">
        <f>SUMIF(120:120,I41,121:121)-SUMIF(120:120,C41,121:121)+100</f>
        <v>99</v>
      </c>
      <c r="K41" s="1889"/>
      <c r="L41" s="2713"/>
      <c r="M41" s="2715"/>
      <c r="N41" s="2715"/>
      <c r="O41" s="2715"/>
      <c r="P41" s="3782"/>
      <c r="Q41" s="703" t="str">
        <f t="shared" si="11"/>
        <v>单套/主力户型建筑面积</v>
      </c>
      <c r="R41" s="704" t="s">
        <v>18</v>
      </c>
      <c r="S41" s="705">
        <f t="shared" si="12"/>
        <v>99</v>
      </c>
      <c r="T41" s="704" t="s">
        <v>18</v>
      </c>
      <c r="U41" s="705">
        <f t="shared" si="13"/>
        <v>99</v>
      </c>
      <c r="V41" s="704" t="s">
        <v>18</v>
      </c>
      <c r="W41" s="705">
        <f t="shared" si="14"/>
        <v>99</v>
      </c>
      <c r="X41" s="706"/>
      <c r="Y41" s="3732"/>
      <c r="Z41" s="707" t="str">
        <f t="shared" si="18"/>
        <v>单套/主力户型建筑面积</v>
      </c>
      <c r="AA41" s="1349">
        <f t="shared" si="15"/>
        <v>1.0101010101010102</v>
      </c>
      <c r="AB41" s="1349">
        <f t="shared" si="16"/>
        <v>1.0101010101010102</v>
      </c>
      <c r="AC41" s="1349">
        <f t="shared" si="17"/>
        <v>1.0101010101010102</v>
      </c>
    </row>
    <row r="42" spans="1:29" ht="15">
      <c r="A42" s="420"/>
      <c r="B42" s="372" t="s">
        <v>1706</v>
      </c>
      <c r="C42" s="1901" t="s">
        <v>3581</v>
      </c>
      <c r="D42" s="383">
        <v>100</v>
      </c>
      <c r="E42" s="1901" t="s">
        <v>3581</v>
      </c>
      <c r="F42" s="409">
        <f>SUMIF(122:122,E42,123:123)-SUMIF(122:122,C42,123:123)+100</f>
        <v>100</v>
      </c>
      <c r="G42" s="1901" t="s">
        <v>3581</v>
      </c>
      <c r="H42" s="383">
        <f>SUMIF(122:122,G42,123:123)-SUMIF(122:122,C42,123:123)+100</f>
        <v>100</v>
      </c>
      <c r="I42" s="1901" t="s">
        <v>3581</v>
      </c>
      <c r="J42" s="383">
        <f>SUMIF(122:122,I42,123:123)-SUMIF(122:122,C42,123:123)+100</f>
        <v>100</v>
      </c>
      <c r="K42" s="374"/>
      <c r="L42" s="2714"/>
      <c r="M42" s="2708"/>
      <c r="N42" s="2708"/>
      <c r="O42" s="2708"/>
      <c r="P42" s="3782"/>
      <c r="Q42" s="1348" t="str">
        <f t="shared" si="11"/>
        <v>内部装修</v>
      </c>
      <c r="R42" s="701" t="s">
        <v>18</v>
      </c>
      <c r="S42" s="702">
        <f t="shared" si="12"/>
        <v>100</v>
      </c>
      <c r="T42" s="701" t="s">
        <v>18</v>
      </c>
      <c r="U42" s="702">
        <f t="shared" si="13"/>
        <v>100</v>
      </c>
      <c r="V42" s="701" t="s">
        <v>18</v>
      </c>
      <c r="W42" s="702">
        <f t="shared" si="14"/>
        <v>100</v>
      </c>
      <c r="X42" s="1351"/>
      <c r="Y42" s="3732"/>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782"/>
      <c r="Q43" s="1348" t="str">
        <f t="shared" si="11"/>
        <v>内部装修维护情况</v>
      </c>
      <c r="R43" s="701" t="s">
        <v>18</v>
      </c>
      <c r="S43" s="702">
        <f t="shared" si="12"/>
        <v>100</v>
      </c>
      <c r="T43" s="701" t="s">
        <v>18</v>
      </c>
      <c r="U43" s="702">
        <f t="shared" si="13"/>
        <v>100</v>
      </c>
      <c r="V43" s="701" t="s">
        <v>18</v>
      </c>
      <c r="W43" s="702">
        <f t="shared" si="14"/>
        <v>100</v>
      </c>
      <c r="X43" s="1351"/>
      <c r="Y43" s="3732"/>
      <c r="Z43" s="1352" t="str">
        <f t="shared" si="18"/>
        <v>内部装修维护情况</v>
      </c>
      <c r="AA43" s="1349">
        <f t="shared" si="15"/>
        <v>1</v>
      </c>
      <c r="AB43" s="1349">
        <f t="shared" si="16"/>
        <v>1</v>
      </c>
      <c r="AC43" s="1349">
        <f t="shared" si="17"/>
        <v>1</v>
      </c>
    </row>
    <row r="44" spans="1:29" s="108" customFormat="1" ht="15">
      <c r="A44" s="421"/>
      <c r="B44" s="1129" t="s">
        <v>3584</v>
      </c>
      <c r="C44" s="417" t="s">
        <v>3585</v>
      </c>
      <c r="D44" s="125">
        <v>100</v>
      </c>
      <c r="E44" s="417" t="s">
        <v>3585</v>
      </c>
      <c r="F44" s="373">
        <f>SUMIF(126:126,E44,127:127)-SUMIF(126:126,C44,127:127)+100</f>
        <v>100</v>
      </c>
      <c r="G44" s="417" t="s">
        <v>3585</v>
      </c>
      <c r="H44" s="125">
        <f>SUMIF(126:126,G44,127:127)-SUMIF(126:126,C44,127:127)+100</f>
        <v>100</v>
      </c>
      <c r="I44" s="417" t="s">
        <v>3585</v>
      </c>
      <c r="J44" s="125">
        <f>SUMIF(126:126,I44,127:127)-SUMIF(126:126,C44,127:127)+100</f>
        <v>100</v>
      </c>
      <c r="K44" s="1889"/>
      <c r="L44" s="2709"/>
      <c r="M44" s="2710"/>
      <c r="N44" s="2710"/>
      <c r="O44" s="2710"/>
      <c r="P44" s="3782"/>
      <c r="Q44" s="1339" t="str">
        <f t="shared" si="11"/>
        <v>设施设备情况</v>
      </c>
      <c r="R44" s="697" t="s">
        <v>18</v>
      </c>
      <c r="S44" s="698">
        <f t="shared" si="12"/>
        <v>100</v>
      </c>
      <c r="T44" s="697" t="s">
        <v>18</v>
      </c>
      <c r="U44" s="698">
        <f t="shared" si="13"/>
        <v>100</v>
      </c>
      <c r="V44" s="697" t="s">
        <v>18</v>
      </c>
      <c r="W44" s="698">
        <f t="shared" si="14"/>
        <v>100</v>
      </c>
      <c r="X44" s="699"/>
      <c r="Y44" s="3732"/>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782"/>
      <c r="Q45" s="1348">
        <f t="shared" si="11"/>
        <v>111</v>
      </c>
      <c r="R45" s="701" t="s">
        <v>18</v>
      </c>
      <c r="S45" s="702">
        <f t="shared" si="12"/>
        <v>100</v>
      </c>
      <c r="T45" s="701" t="s">
        <v>18</v>
      </c>
      <c r="U45" s="702">
        <f t="shared" si="13"/>
        <v>100</v>
      </c>
      <c r="V45" s="701" t="s">
        <v>18</v>
      </c>
      <c r="W45" s="702">
        <f t="shared" si="14"/>
        <v>100</v>
      </c>
      <c r="X45" s="1351"/>
      <c r="Y45" s="3732"/>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783"/>
      <c r="Q46" s="1348">
        <f t="shared" si="11"/>
        <v>111</v>
      </c>
      <c r="R46" s="701" t="s">
        <v>17</v>
      </c>
      <c r="S46" s="702">
        <f t="shared" si="12"/>
        <v>100</v>
      </c>
      <c r="T46" s="701" t="s">
        <v>17</v>
      </c>
      <c r="U46" s="702">
        <f t="shared" si="13"/>
        <v>100</v>
      </c>
      <c r="V46" s="701" t="s">
        <v>17</v>
      </c>
      <c r="W46" s="702">
        <f t="shared" si="14"/>
        <v>100</v>
      </c>
      <c r="X46" s="1351"/>
      <c r="Y46" s="3784"/>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12" t="str">
        <f>A47</f>
        <v>成交单价（元/平方米）</v>
      </c>
      <c r="Q47" s="3712"/>
      <c r="R47" s="3780">
        <f>E47</f>
        <v>29000</v>
      </c>
      <c r="S47" s="3780"/>
      <c r="T47" s="3780">
        <f>G47</f>
        <v>29000</v>
      </c>
      <c r="U47" s="3780"/>
      <c r="V47" s="3780">
        <f>I47</f>
        <v>29000</v>
      </c>
      <c r="W47" s="3780"/>
      <c r="X47" s="686"/>
      <c r="Y47" s="708"/>
      <c r="Z47" s="686"/>
      <c r="AA47" s="686"/>
      <c r="AB47" s="686"/>
      <c r="AC47" s="686"/>
    </row>
    <row r="48" spans="1:29" ht="15.75" thickBot="1">
      <c r="A48" s="434" t="s">
        <v>1709</v>
      </c>
      <c r="B48" s="435"/>
      <c r="C48" s="1156">
        <f>R49</f>
        <v>29690</v>
      </c>
      <c r="D48" s="2310" t="s">
        <v>2138</v>
      </c>
      <c r="E48" s="1157">
        <f>R48</f>
        <v>30039</v>
      </c>
      <c r="F48" s="2311"/>
      <c r="G48" s="1156">
        <f>T48</f>
        <v>29738</v>
      </c>
      <c r="H48" s="2311"/>
      <c r="I48" s="1157">
        <f>V48</f>
        <v>29293</v>
      </c>
      <c r="J48" s="2311"/>
      <c r="K48" s="2312">
        <f>F48+H48+J48</f>
        <v>0</v>
      </c>
      <c r="L48" s="2716"/>
      <c r="M48" s="2717"/>
      <c r="N48" s="2717"/>
      <c r="O48" s="2717"/>
      <c r="P48" s="3712" t="str">
        <f>A48</f>
        <v>比较价值（元/平方米）</v>
      </c>
      <c r="Q48" s="3712"/>
      <c r="R48" s="3780">
        <f>IF(F1="售价",ROUND(PRODUCT(R47,AA7:AA46),0),ROUND(PRODUCT(R47,AA7:AA46),1))</f>
        <v>30039</v>
      </c>
      <c r="S48" s="3780"/>
      <c r="T48" s="3780">
        <f>IF(F1="售价",ROUND(PRODUCT(T47,AB7:AB46),0),ROUND(PRODUCT(T47,AB7:AB46),1))</f>
        <v>29738</v>
      </c>
      <c r="U48" s="3780"/>
      <c r="V48" s="3780">
        <f>IF(F1="售价",ROUND(PRODUCT(V47,AC7:AC46),0),ROUND(PRODUCT(V47,AC7:AC46),1))</f>
        <v>29293</v>
      </c>
      <c r="W48" s="3780"/>
      <c r="X48" s="686"/>
      <c r="Y48" s="686"/>
      <c r="Z48" s="686"/>
      <c r="AA48" s="686"/>
      <c r="AB48" s="686"/>
      <c r="AC48" s="686"/>
    </row>
    <row r="49" spans="1:29" ht="15.75" thickBot="1">
      <c r="A49" s="438" t="s">
        <v>1710</v>
      </c>
      <c r="B49" s="439"/>
      <c r="C49" s="1158">
        <f>R49</f>
        <v>29690</v>
      </c>
      <c r="D49" s="1159"/>
      <c r="E49" s="1159"/>
      <c r="F49" s="1159"/>
      <c r="G49" s="1159"/>
      <c r="H49" s="1159"/>
      <c r="I49" s="1159"/>
      <c r="J49" s="1159"/>
      <c r="K49" s="1908"/>
      <c r="L49" s="2716"/>
      <c r="M49" s="2717"/>
      <c r="N49" s="2717"/>
      <c r="O49" s="2717"/>
      <c r="P49" s="3734" t="str">
        <f>A49</f>
        <v>估价对象XX用房的比较价值（楼面单价，元/平方米）</v>
      </c>
      <c r="Q49" s="3735"/>
      <c r="R49" s="3779">
        <f>IF(F1="售价",ROUND(IF(D48="简单平均",AVERAGE(R48:V48),R48*F48+T48*H48+V48*J48),0),ROUND(IF(D48="简单平均",AVERAGE(R48:V48),R48*F48+T48*H48+V48*J48),1))</f>
        <v>29690</v>
      </c>
      <c r="S49" s="3779"/>
      <c r="T49" s="3779"/>
      <c r="U49" s="3779"/>
      <c r="V49" s="3779"/>
      <c r="W49" s="3779"/>
      <c r="X49" s="686"/>
      <c r="Y49" s="686"/>
      <c r="Z49" s="686"/>
      <c r="AA49" s="686"/>
      <c r="AB49" s="686"/>
      <c r="AC49" s="686"/>
    </row>
    <row r="50" spans="1:29">
      <c r="A50" s="2717"/>
      <c r="B50" s="2717"/>
      <c r="C50" s="2717"/>
      <c r="D50" s="2717"/>
      <c r="E50" s="2717">
        <f>E48/E47</f>
        <v>1.0358275862068966</v>
      </c>
      <c r="F50" s="2717"/>
      <c r="G50" s="2717">
        <f>G48/G47</f>
        <v>1.0254482758620689</v>
      </c>
      <c r="H50" s="2717"/>
      <c r="I50" s="2717">
        <f>I48/I47</f>
        <v>1.010103448275862</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3.5827586206896633E-2</v>
      </c>
      <c r="F52" s="446" t="str">
        <f>IF(OR(E52&gt;=0.3,E52&lt;=-0.3),"超过30%","")</f>
        <v/>
      </c>
      <c r="G52" s="445">
        <f>IF(G47&lt;G48,G48/G47-1,G47/G48-1)</f>
        <v>2.5448275862068881E-2</v>
      </c>
      <c r="H52" s="446" t="str">
        <f>IF(OR(G52&gt;=0.3,G52&lt;=-0.3),"超过30%","")</f>
        <v/>
      </c>
      <c r="I52" s="445">
        <f>IF(I47&lt;I48,I48/I47-1,I47/I48-1)</f>
        <v>1.0103448275861959E-2</v>
      </c>
      <c r="J52" s="446" t="str">
        <f>IF(OR(I52&gt;=0.3,I52&lt;=-0.3),"超过30%","")</f>
        <v/>
      </c>
      <c r="K52" s="2722"/>
      <c r="L52" s="2718"/>
      <c r="M52" s="2717"/>
      <c r="N52" s="2717"/>
      <c r="O52" s="2717"/>
    </row>
    <row r="53" spans="1:29" ht="13.5" customHeight="1">
      <c r="A53" s="2717"/>
      <c r="B53" s="2717"/>
      <c r="C53" s="443" t="s">
        <v>1712</v>
      </c>
      <c r="D53" s="447"/>
      <c r="E53" s="445">
        <f>IF(E48&lt;G48,G48/E48-1,E48/G48-1)</f>
        <v>1.0121729773354016E-2</v>
      </c>
      <c r="F53" s="446" t="str">
        <f>IF(OR(E53&gt;=0.2,E53&lt;=-0.2),"超过20%","")</f>
        <v/>
      </c>
      <c r="G53" s="445">
        <f>IF(G48&lt;I48,I48/G48-1,G48/I48-1)</f>
        <v>1.5191342641586836E-2</v>
      </c>
      <c r="H53" s="446" t="str">
        <f>IF(OR(G53&gt;=0.2,G53&lt;=-0.2),"超过20%","")</f>
        <v/>
      </c>
      <c r="I53" s="445">
        <f>IF(I48&lt;E48,E48/I48-1,I48/E48-1)</f>
        <v>2.5466835080053318E-2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2023-2</v>
      </c>
      <c r="D58" s="1181">
        <f>EDATE(C58,-1)</f>
        <v>44927</v>
      </c>
      <c r="E58" s="1181">
        <f>EDATE(D58,-1)</f>
        <v>44896</v>
      </c>
      <c r="F58" s="1181">
        <f t="shared" ref="F58:O58" si="19">EDATE(E58,-1)</f>
        <v>44866</v>
      </c>
      <c r="G58" s="1181">
        <f t="shared" si="19"/>
        <v>44835</v>
      </c>
      <c r="H58" s="1181">
        <f t="shared" si="19"/>
        <v>44805</v>
      </c>
      <c r="I58" s="1181">
        <f t="shared" si="19"/>
        <v>44774</v>
      </c>
      <c r="J58" s="1181">
        <f t="shared" si="19"/>
        <v>44743</v>
      </c>
      <c r="K58" s="1181">
        <f t="shared" si="19"/>
        <v>44713</v>
      </c>
      <c r="L58" s="1181">
        <f t="shared" si="19"/>
        <v>44682</v>
      </c>
      <c r="M58" s="1181">
        <f t="shared" si="19"/>
        <v>44652</v>
      </c>
      <c r="N58" s="1181">
        <f t="shared" si="19"/>
        <v>44621</v>
      </c>
      <c r="O58" s="1181">
        <f t="shared" si="19"/>
        <v>44593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3561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3562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3556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3557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3563</v>
      </c>
      <c r="D94" s="3461" t="s">
        <v>3564</v>
      </c>
      <c r="E94" s="3461" t="s">
        <v>3565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3568</v>
      </c>
      <c r="D100" s="3475" t="s">
        <v>3566</v>
      </c>
      <c r="E100" s="3475" t="s">
        <v>3567</v>
      </c>
      <c r="F100" s="476" t="s">
        <v>3569</v>
      </c>
      <c r="G100" s="476" t="s">
        <v>3570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3578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3571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3522</v>
      </c>
      <c r="D116" s="3461" t="s">
        <v>3523</v>
      </c>
      <c r="E116" s="3461" t="s">
        <v>3524</v>
      </c>
      <c r="F116" s="3461" t="s">
        <v>3525</v>
      </c>
      <c r="G116" s="3461" t="s">
        <v>3526</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3572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3573</v>
      </c>
      <c r="D120" s="500" t="s">
        <v>3583</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99</v>
      </c>
      <c r="E121" s="482"/>
      <c r="F121" s="482"/>
      <c r="G121" s="482"/>
      <c r="H121" s="482"/>
      <c r="I121" s="482"/>
      <c r="J121" s="482"/>
      <c r="K121" s="482"/>
      <c r="L121" s="482"/>
      <c r="M121" s="482"/>
      <c r="N121" s="931"/>
      <c r="O121" s="931"/>
      <c r="P121" s="1916"/>
      <c r="Q121" s="505"/>
    </row>
    <row r="122" spans="1:17" ht="15" thickTop="1">
      <c r="A122" s="545"/>
      <c r="B122" s="484" t="s">
        <v>1744</v>
      </c>
      <c r="C122" s="3461" t="s">
        <v>3574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3575</v>
      </c>
      <c r="D126" s="3477" t="s">
        <v>3576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M10" sqref="M10"/>
    </sheetView>
  </sheetViews>
  <sheetFormatPr defaultColWidth="11" defaultRowHeight="14.25"/>
  <sheetData>
    <row r="1" spans="7:11">
      <c r="G1" s="3488" t="s">
        <v>4270</v>
      </c>
      <c r="H1" s="3488" t="s">
        <v>4271</v>
      </c>
      <c r="I1" s="3488" t="s">
        <v>4272</v>
      </c>
      <c r="J1" s="3488" t="s">
        <v>4273</v>
      </c>
      <c r="K1" s="3488" t="s">
        <v>4274</v>
      </c>
    </row>
    <row r="2" spans="7:11">
      <c r="G2" s="3488" t="s">
        <v>4258</v>
      </c>
      <c r="H2" s="3488">
        <v>999</v>
      </c>
      <c r="I2" s="3488">
        <v>29000</v>
      </c>
      <c r="J2" s="3489">
        <v>0.6</v>
      </c>
      <c r="K2" s="3490"/>
    </row>
    <row r="3" spans="7:11" ht="28.5">
      <c r="G3" s="3488" t="s">
        <v>4259</v>
      </c>
      <c r="H3" s="3488">
        <v>171</v>
      </c>
      <c r="I3" s="3488">
        <v>17500</v>
      </c>
      <c r="J3" s="3489">
        <v>0.4</v>
      </c>
      <c r="K3" s="3491"/>
    </row>
    <row r="4" spans="7:11" ht="42.75">
      <c r="G4" s="3488" t="s">
        <v>4260</v>
      </c>
      <c r="H4" s="3488">
        <v>584</v>
      </c>
      <c r="I4" s="3488">
        <v>29000</v>
      </c>
      <c r="J4" s="3489">
        <v>0.6</v>
      </c>
      <c r="K4" s="3491"/>
    </row>
    <row r="5" spans="7:11" ht="42.75">
      <c r="G5" s="3488" t="s">
        <v>4261</v>
      </c>
      <c r="H5" s="3488">
        <v>2224</v>
      </c>
      <c r="I5" s="3488">
        <v>29000</v>
      </c>
      <c r="J5" s="3489">
        <v>0.8</v>
      </c>
      <c r="K5" s="3491"/>
    </row>
    <row r="6" spans="7:11" ht="28.5">
      <c r="G6" s="3488" t="s">
        <v>4262</v>
      </c>
      <c r="H6" s="3488">
        <v>360</v>
      </c>
      <c r="I6" s="3488">
        <v>30000</v>
      </c>
      <c r="J6" s="3489">
        <v>0.7</v>
      </c>
      <c r="K6" s="3490"/>
    </row>
    <row r="7" spans="7:11">
      <c r="G7" s="3492" t="s">
        <v>4263</v>
      </c>
      <c r="H7" s="3492">
        <v>1508</v>
      </c>
      <c r="I7" s="3492">
        <v>29000</v>
      </c>
      <c r="J7" s="3493">
        <v>0.7</v>
      </c>
      <c r="K7" s="3494" t="s">
        <v>4266</v>
      </c>
    </row>
    <row r="8" spans="7:11" ht="28.5">
      <c r="G8" s="3492" t="s">
        <v>4264</v>
      </c>
      <c r="H8" s="3492">
        <v>1101</v>
      </c>
      <c r="I8" s="3492">
        <v>29000</v>
      </c>
      <c r="J8" s="3493">
        <v>0.7</v>
      </c>
      <c r="K8" s="3494" t="s">
        <v>4266</v>
      </c>
    </row>
    <row r="9" spans="7:11">
      <c r="G9" s="3492" t="s">
        <v>4265</v>
      </c>
      <c r="H9" s="3492">
        <v>1130</v>
      </c>
      <c r="I9" s="3492">
        <v>29000</v>
      </c>
      <c r="J9" s="3493">
        <v>0.7</v>
      </c>
      <c r="K9" s="3494" t="s">
        <v>4266</v>
      </c>
    </row>
    <row r="10" spans="7:11">
      <c r="G10" s="3488" t="s">
        <v>4267</v>
      </c>
      <c r="H10" s="3488">
        <v>348</v>
      </c>
      <c r="I10" s="3488" t="s">
        <v>4268</v>
      </c>
      <c r="J10" s="3489">
        <v>0.79</v>
      </c>
      <c r="K10" s="3490" t="s">
        <v>4269</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607-1269-46E2-8AA6-83D66D43B84A}">
  <dimension ref="P2:S7"/>
  <sheetViews>
    <sheetView workbookViewId="0">
      <selection activeCell="P16" sqref="P16"/>
    </sheetView>
  </sheetViews>
  <sheetFormatPr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4276</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6B3A-535F-470A-9313-4ABB269A5435}">
  <sheetPr>
    <tabColor rgb="FF92D050"/>
  </sheetPr>
  <dimension ref="O4:Q7"/>
  <sheetViews>
    <sheetView workbookViewId="0">
      <selection activeCell="O4" sqref="O4:O7"/>
    </sheetView>
  </sheetViews>
  <sheetFormatPr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6E9F3-CBC5-4F1F-B6A5-8E78C452DF1A}">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322984.55200000003</v>
      </c>
      <c r="C1" s="2678"/>
      <c r="D1" s="2678"/>
      <c r="E1" s="2678"/>
      <c r="F1" s="2678"/>
      <c r="G1" s="2679"/>
      <c r="H1" s="2680"/>
      <c r="I1" s="2680"/>
      <c r="J1" s="2680"/>
      <c r="K1" s="2680"/>
    </row>
    <row r="2" spans="1:11" ht="16.5">
      <c r="A2" s="2504" t="s">
        <v>653</v>
      </c>
      <c r="B2" s="2504">
        <f>SUM(C14:C23)</f>
        <v>146811.16</v>
      </c>
      <c r="C2" s="2678"/>
      <c r="D2" s="2678"/>
      <c r="E2" s="2678"/>
      <c r="F2" s="2678"/>
      <c r="G2" s="2679"/>
      <c r="H2" s="2680"/>
      <c r="I2" s="2680"/>
      <c r="J2" s="2680"/>
      <c r="K2" s="2680"/>
    </row>
    <row r="3" spans="1:11" ht="16.5">
      <c r="A3" s="2504" t="s">
        <v>662</v>
      </c>
      <c r="B3" s="2506">
        <f>项目基本情况!D3</f>
        <v>44970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939755.85249920003</v>
      </c>
      <c r="C5" s="2504">
        <f ca="1">IF(B5=D14,结果表!H102,ROUND(B5*10000/$B$1,0))</f>
        <v>29096</v>
      </c>
      <c r="D5" s="2504">
        <f ca="1">ROUND(B5*10000/$B$2,0)</f>
        <v>64011</v>
      </c>
      <c r="E5" s="2678"/>
      <c r="F5" s="2679"/>
      <c r="G5" s="2679"/>
      <c r="H5" s="2680"/>
      <c r="I5" s="2680"/>
      <c r="J5" s="2680"/>
      <c r="K5" s="2680"/>
    </row>
    <row r="6" spans="1:11" ht="16.5">
      <c r="A6" s="2504" t="s">
        <v>656</v>
      </c>
      <c r="B6" s="2504">
        <f>SUM(G14:G23)</f>
        <v>0</v>
      </c>
      <c r="C6" s="2504">
        <f ca="1">IF(B6=G14,结果表!H108,ROUND(B6*10000/$B$1,0))</f>
        <v>29096</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多规!E8</f>
        <v>322984.55200000003</v>
      </c>
      <c r="C14" s="2510">
        <f>多规!D8</f>
        <v>146811.16</v>
      </c>
      <c r="D14" s="2510">
        <f ca="1">B14*E14/10000</f>
        <v>939755.85249920003</v>
      </c>
      <c r="E14" s="2510">
        <f ca="1">C6</f>
        <v>29096</v>
      </c>
      <c r="F14" s="2510">
        <f ca="1">ROUND(D14*10000/C14,0)</f>
        <v>64011</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B1C4B-0EAE-4BC0-8417-4A0684E548FD}">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787" t="s">
        <v>3409</v>
      </c>
      <c r="B1" s="3787" t="s">
        <v>4257</v>
      </c>
      <c r="C1" s="3787" t="s">
        <v>3383</v>
      </c>
      <c r="D1" s="3787" t="s">
        <v>4256</v>
      </c>
      <c r="E1" s="3787" t="s">
        <v>4255</v>
      </c>
      <c r="F1" s="3787" t="s">
        <v>4254</v>
      </c>
      <c r="G1" s="3787" t="s">
        <v>4253</v>
      </c>
      <c r="H1" s="3787" t="s">
        <v>3410</v>
      </c>
      <c r="I1" s="3787" t="s">
        <v>3411</v>
      </c>
      <c r="J1" s="3787" t="s">
        <v>3412</v>
      </c>
      <c r="K1" s="3787" t="s">
        <v>3413</v>
      </c>
      <c r="L1" s="3787" t="s">
        <v>3414</v>
      </c>
      <c r="M1" s="3787" t="s">
        <v>3415</v>
      </c>
      <c r="N1" s="3787" t="s">
        <v>3416</v>
      </c>
      <c r="O1" s="3787" t="s">
        <v>4252</v>
      </c>
      <c r="P1" s="3787" t="s">
        <v>4251</v>
      </c>
      <c r="Q1" s="3787" t="s">
        <v>4250</v>
      </c>
      <c r="R1" s="3787" t="s">
        <v>4249</v>
      </c>
      <c r="S1" s="3787" t="s">
        <v>4248</v>
      </c>
      <c r="T1" s="3787" t="s">
        <v>4247</v>
      </c>
      <c r="U1" s="3787" t="s">
        <v>4246</v>
      </c>
      <c r="V1" s="3787" t="s">
        <v>4245</v>
      </c>
      <c r="W1" s="3787" t="s">
        <v>4244</v>
      </c>
      <c r="X1" s="3787" t="s">
        <v>4243</v>
      </c>
      <c r="Y1" s="3787" t="s">
        <v>4242</v>
      </c>
      <c r="Z1" s="3787" t="s">
        <v>4241</v>
      </c>
      <c r="AA1" s="3787" t="s">
        <v>4240</v>
      </c>
      <c r="AB1" s="3787" t="s">
        <v>3417</v>
      </c>
      <c r="AC1" s="3789" t="s">
        <v>3418</v>
      </c>
      <c r="AD1" s="3787" t="s">
        <v>4239</v>
      </c>
      <c r="AE1" s="3787" t="s">
        <v>3419</v>
      </c>
      <c r="AF1" s="3787" t="s">
        <v>3420</v>
      </c>
      <c r="AG1" s="3787" t="s">
        <v>4238</v>
      </c>
      <c r="AH1" s="3787" t="s">
        <v>4237</v>
      </c>
      <c r="AI1" s="3787" t="s">
        <v>3421</v>
      </c>
      <c r="AJ1" s="3787" t="s">
        <v>3422</v>
      </c>
      <c r="AK1" s="3787" t="s">
        <v>3423</v>
      </c>
      <c r="AL1" s="3787" t="s">
        <v>3424</v>
      </c>
      <c r="AM1" s="3787" t="s">
        <v>4236</v>
      </c>
      <c r="AN1" s="3787" t="s">
        <v>4235</v>
      </c>
      <c r="AO1" s="3787" t="s">
        <v>4234</v>
      </c>
      <c r="AP1" s="3789" t="s">
        <v>3425</v>
      </c>
      <c r="AQ1" s="3787" t="s">
        <v>4233</v>
      </c>
      <c r="AR1" s="3787" t="s">
        <v>4232</v>
      </c>
      <c r="AS1" s="3787" t="s">
        <v>3426</v>
      </c>
      <c r="AT1" s="3787" t="s">
        <v>4231</v>
      </c>
      <c r="AU1" s="3787" t="s">
        <v>4230</v>
      </c>
      <c r="AV1" s="3787" t="s">
        <v>4229</v>
      </c>
      <c r="AW1" s="3787" t="s">
        <v>4228</v>
      </c>
      <c r="AX1" s="3787" t="s">
        <v>4227</v>
      </c>
      <c r="AY1" s="3787" t="s">
        <v>4226</v>
      </c>
      <c r="AZ1" s="3787" t="s">
        <v>4225</v>
      </c>
    </row>
    <row r="2" spans="1:52" hidden="1">
      <c r="A2" s="3787" t="s">
        <v>4224</v>
      </c>
      <c r="B2" s="3787" t="s">
        <v>3378</v>
      </c>
      <c r="C2" s="3787" t="s">
        <v>4223</v>
      </c>
      <c r="D2" s="3787" t="s">
        <v>3600</v>
      </c>
      <c r="E2" s="3787" t="s">
        <v>3739</v>
      </c>
      <c r="F2" s="3787" t="s">
        <v>3738</v>
      </c>
      <c r="G2" s="3787" t="s">
        <v>4222</v>
      </c>
      <c r="H2" s="3787" t="s">
        <v>3430</v>
      </c>
      <c r="I2" s="3787">
        <v>31231.38</v>
      </c>
      <c r="J2" s="3787">
        <v>78078.45</v>
      </c>
      <c r="K2" s="3787">
        <v>2.5</v>
      </c>
      <c r="L2" s="3787" t="s">
        <v>3431</v>
      </c>
      <c r="M2" s="3787" t="s">
        <v>3632</v>
      </c>
      <c r="N2" s="3787" t="s">
        <v>4213</v>
      </c>
      <c r="O2" s="3787" t="s">
        <v>3472</v>
      </c>
      <c r="P2" s="3787">
        <v>0.3</v>
      </c>
      <c r="Q2" s="3787" t="s">
        <v>4221</v>
      </c>
      <c r="R2" s="3787" t="s">
        <v>4135</v>
      </c>
      <c r="S2" s="3787" t="s">
        <v>3591</v>
      </c>
      <c r="T2" s="3787" t="s">
        <v>3470</v>
      </c>
      <c r="U2" s="3787" t="s">
        <v>3470</v>
      </c>
      <c r="V2" s="3787" t="s">
        <v>3470</v>
      </c>
      <c r="W2" s="3787" t="s">
        <v>3470</v>
      </c>
      <c r="X2" s="3787">
        <v>0</v>
      </c>
      <c r="Y2" s="3787">
        <v>0</v>
      </c>
      <c r="Z2" s="3790">
        <v>44925.000497685185</v>
      </c>
      <c r="AA2" s="3790">
        <v>44945.000497685185</v>
      </c>
      <c r="AB2" s="3790">
        <v>44964.000497685185</v>
      </c>
      <c r="AC2" s="3788">
        <v>44964.000497685185</v>
      </c>
      <c r="AD2" s="3787" t="s">
        <v>4220</v>
      </c>
      <c r="AE2" s="3787" t="s">
        <v>3434</v>
      </c>
      <c r="AF2" s="3787" t="s">
        <v>4003</v>
      </c>
      <c r="AG2" s="3787" t="s">
        <v>3844</v>
      </c>
      <c r="AH2" s="3787" t="s">
        <v>3616</v>
      </c>
      <c r="AI2" s="3787">
        <v>172000</v>
      </c>
      <c r="AJ2" s="3787">
        <v>35000</v>
      </c>
      <c r="AK2" s="3787" t="s">
        <v>4219</v>
      </c>
      <c r="AL2" s="3787">
        <v>172000</v>
      </c>
      <c r="AM2" s="3787">
        <v>3671.52</v>
      </c>
      <c r="AN2" s="3787">
        <v>3671.52</v>
      </c>
      <c r="AO2" s="3787">
        <v>22029</v>
      </c>
      <c r="AP2" s="3789">
        <v>22029</v>
      </c>
      <c r="AQ2" s="3787" t="s">
        <v>3470</v>
      </c>
      <c r="AR2" s="3787" t="s">
        <v>3470</v>
      </c>
      <c r="AS2" s="3787">
        <v>0</v>
      </c>
      <c r="AT2" s="3787" t="s">
        <v>4145</v>
      </c>
      <c r="AU2" s="3787">
        <v>197800</v>
      </c>
      <c r="AV2" s="3787" t="s">
        <v>3918</v>
      </c>
      <c r="AW2" s="3787">
        <v>45000</v>
      </c>
      <c r="AX2" s="3787">
        <v>25333</v>
      </c>
      <c r="AY2" s="3787">
        <v>15</v>
      </c>
      <c r="AZ2" s="3787">
        <v>22971</v>
      </c>
    </row>
    <row r="3" spans="1:52" hidden="1">
      <c r="A3" s="3787" t="s">
        <v>4218</v>
      </c>
      <c r="B3" s="3787" t="s">
        <v>3378</v>
      </c>
      <c r="C3" s="3787" t="s">
        <v>4217</v>
      </c>
      <c r="D3" s="3787" t="s">
        <v>3600</v>
      </c>
      <c r="E3" s="3787" t="s">
        <v>3613</v>
      </c>
      <c r="F3" s="3787" t="s">
        <v>3720</v>
      </c>
      <c r="G3" s="3787" t="s">
        <v>4216</v>
      </c>
      <c r="H3" s="3787" t="s">
        <v>3447</v>
      </c>
      <c r="I3" s="3787">
        <v>71668</v>
      </c>
      <c r="J3" s="3787">
        <v>194641.99</v>
      </c>
      <c r="K3" s="3787" t="s">
        <v>4215</v>
      </c>
      <c r="L3" s="3787" t="s">
        <v>3431</v>
      </c>
      <c r="M3" s="3787" t="s">
        <v>4214</v>
      </c>
      <c r="N3" s="3787" t="s">
        <v>4213</v>
      </c>
      <c r="O3" s="3787" t="s">
        <v>3472</v>
      </c>
      <c r="P3" s="3787" t="s">
        <v>4212</v>
      </c>
      <c r="Q3" s="3787" t="s">
        <v>4211</v>
      </c>
      <c r="R3" s="3787" t="s">
        <v>4210</v>
      </c>
      <c r="S3" s="3787" t="s">
        <v>3591</v>
      </c>
      <c r="T3" s="3787" t="s">
        <v>3470</v>
      </c>
      <c r="U3" s="3787" t="s">
        <v>3470</v>
      </c>
      <c r="V3" s="3787" t="s">
        <v>3470</v>
      </c>
      <c r="W3" s="3787" t="s">
        <v>3470</v>
      </c>
      <c r="X3" s="3787">
        <v>0</v>
      </c>
      <c r="Y3" s="3787">
        <v>0</v>
      </c>
      <c r="Z3" s="3790">
        <v>44925.000497685185</v>
      </c>
      <c r="AA3" s="3790">
        <v>44945.000497685185</v>
      </c>
      <c r="AB3" s="3790">
        <v>44964.000497685185</v>
      </c>
      <c r="AC3" s="3788">
        <v>44964.000497685185</v>
      </c>
      <c r="AD3" s="3787" t="s">
        <v>4209</v>
      </c>
      <c r="AE3" s="3787" t="s">
        <v>3434</v>
      </c>
      <c r="AF3" s="3787" t="s">
        <v>4208</v>
      </c>
      <c r="AG3" s="3787" t="s">
        <v>4207</v>
      </c>
      <c r="AH3" s="3787" t="s">
        <v>3636</v>
      </c>
      <c r="AI3" s="3787">
        <v>311200</v>
      </c>
      <c r="AJ3" s="3787">
        <v>63000</v>
      </c>
      <c r="AK3" s="3787" t="s">
        <v>633</v>
      </c>
      <c r="AL3" s="3787">
        <v>311200</v>
      </c>
      <c r="AM3" s="3787">
        <v>2894.83</v>
      </c>
      <c r="AN3" s="3787">
        <v>2894.83</v>
      </c>
      <c r="AO3" s="3787">
        <v>15988</v>
      </c>
      <c r="AP3" s="3789">
        <v>15988</v>
      </c>
      <c r="AQ3" s="3787" t="s">
        <v>3470</v>
      </c>
      <c r="AR3" s="3787" t="s">
        <v>3470</v>
      </c>
      <c r="AS3" s="3787">
        <v>0</v>
      </c>
      <c r="AT3" s="3787" t="s">
        <v>4206</v>
      </c>
      <c r="AU3" s="3787">
        <v>357880</v>
      </c>
      <c r="AV3" s="3787" t="s">
        <v>3918</v>
      </c>
      <c r="AW3" s="3787">
        <v>58000</v>
      </c>
      <c r="AX3" s="3787">
        <v>18387</v>
      </c>
      <c r="AY3" s="3787">
        <v>15</v>
      </c>
      <c r="AZ3" s="3787">
        <v>42012</v>
      </c>
    </row>
    <row r="4" spans="1:52" hidden="1">
      <c r="A4" s="3787" t="s">
        <v>4205</v>
      </c>
      <c r="B4" s="3787" t="s">
        <v>3378</v>
      </c>
      <c r="C4" s="3787" t="s">
        <v>4204</v>
      </c>
      <c r="D4" s="3787" t="s">
        <v>3600</v>
      </c>
      <c r="E4" s="3787" t="s">
        <v>3739</v>
      </c>
      <c r="F4" s="3787" t="s">
        <v>3738</v>
      </c>
      <c r="G4" s="3787" t="s">
        <v>3909</v>
      </c>
      <c r="H4" s="3787" t="s">
        <v>3447</v>
      </c>
      <c r="I4" s="3787">
        <v>17779.03</v>
      </c>
      <c r="J4" s="3787">
        <v>18677</v>
      </c>
      <c r="K4" s="3787" t="s">
        <v>4203</v>
      </c>
      <c r="L4" s="3787" t="s">
        <v>3431</v>
      </c>
      <c r="M4" s="3787" t="s">
        <v>3595</v>
      </c>
      <c r="N4" s="3787" t="s">
        <v>4150</v>
      </c>
      <c r="O4" s="3787" t="s">
        <v>3472</v>
      </c>
      <c r="P4" s="3787" t="s">
        <v>4202</v>
      </c>
      <c r="Q4" s="3787" t="s">
        <v>4201</v>
      </c>
      <c r="R4" s="3787" t="s">
        <v>4200</v>
      </c>
      <c r="S4" s="3787" t="s">
        <v>3644</v>
      </c>
      <c r="T4" s="3787" t="s">
        <v>3470</v>
      </c>
      <c r="U4" s="3787" t="s">
        <v>3470</v>
      </c>
      <c r="V4" s="3787" t="s">
        <v>3470</v>
      </c>
      <c r="W4" s="3787" t="s">
        <v>3470</v>
      </c>
      <c r="X4" s="3787">
        <v>0</v>
      </c>
      <c r="Y4" s="3787">
        <v>0</v>
      </c>
      <c r="Z4" s="3790">
        <v>44791.000497685185</v>
      </c>
      <c r="AA4" s="3790">
        <v>44811.000497685185</v>
      </c>
      <c r="AB4" s="3790">
        <v>44826.000497685185</v>
      </c>
      <c r="AC4" s="3788">
        <v>44826.000497685185</v>
      </c>
      <c r="AD4" s="3787" t="s">
        <v>4199</v>
      </c>
      <c r="AE4" s="3787" t="s">
        <v>3434</v>
      </c>
      <c r="AF4" s="3787" t="s">
        <v>4198</v>
      </c>
      <c r="AG4" s="3787" t="s">
        <v>4197</v>
      </c>
      <c r="AH4" s="3787" t="s">
        <v>3654</v>
      </c>
      <c r="AI4" s="3787">
        <v>43000</v>
      </c>
      <c r="AJ4" s="3787">
        <v>8600</v>
      </c>
      <c r="AK4" s="3787" t="s">
        <v>4146</v>
      </c>
      <c r="AL4" s="3787">
        <v>43000</v>
      </c>
      <c r="AM4" s="3787">
        <v>1612.39</v>
      </c>
      <c r="AN4" s="3787">
        <v>1612.39</v>
      </c>
      <c r="AO4" s="3787">
        <v>23023</v>
      </c>
      <c r="AP4" s="3789">
        <v>23023</v>
      </c>
      <c r="AQ4" s="3787" t="s">
        <v>3470</v>
      </c>
      <c r="AR4" s="3787" t="s">
        <v>3470</v>
      </c>
      <c r="AS4" s="3787">
        <v>0</v>
      </c>
      <c r="AT4" s="3787" t="s">
        <v>4179</v>
      </c>
      <c r="AU4" s="3787">
        <v>49450</v>
      </c>
      <c r="AV4" s="3787" t="s">
        <v>3918</v>
      </c>
      <c r="AW4" s="3787" t="s">
        <v>3472</v>
      </c>
      <c r="AX4" s="3787">
        <v>26476</v>
      </c>
      <c r="AY4" s="3787">
        <v>15</v>
      </c>
      <c r="AZ4" s="3787" t="s">
        <v>3470</v>
      </c>
    </row>
    <row r="5" spans="1:52" hidden="1">
      <c r="A5" s="3787" t="s">
        <v>4196</v>
      </c>
      <c r="B5" s="3787" t="s">
        <v>3378</v>
      </c>
      <c r="C5" s="3787" t="s">
        <v>4195</v>
      </c>
      <c r="D5" s="3787" t="s">
        <v>3600</v>
      </c>
      <c r="E5" s="3787" t="s">
        <v>3613</v>
      </c>
      <c r="F5" s="3787" t="s">
        <v>3720</v>
      </c>
      <c r="G5" s="3787" t="s">
        <v>4194</v>
      </c>
      <c r="H5" s="3787" t="s">
        <v>3430</v>
      </c>
      <c r="I5" s="3787">
        <v>21625</v>
      </c>
      <c r="J5" s="3787">
        <v>43250</v>
      </c>
      <c r="K5" s="3787" t="s">
        <v>3480</v>
      </c>
      <c r="L5" s="3787" t="s">
        <v>3431</v>
      </c>
      <c r="M5" s="3787" t="s">
        <v>3632</v>
      </c>
      <c r="N5" s="3787" t="s">
        <v>4150</v>
      </c>
      <c r="O5" s="3787" t="s">
        <v>3472</v>
      </c>
      <c r="P5" s="3787">
        <v>0.3</v>
      </c>
      <c r="Q5" s="3787" t="s">
        <v>3898</v>
      </c>
      <c r="R5" s="3787" t="s">
        <v>4193</v>
      </c>
      <c r="S5" s="3787" t="s">
        <v>4192</v>
      </c>
      <c r="T5" s="3787" t="s">
        <v>3470</v>
      </c>
      <c r="U5" s="3787" t="s">
        <v>3470</v>
      </c>
      <c r="V5" s="3787" t="s">
        <v>3470</v>
      </c>
      <c r="W5" s="3787" t="s">
        <v>3470</v>
      </c>
      <c r="X5" s="3787">
        <v>0</v>
      </c>
      <c r="Y5" s="3787">
        <v>0</v>
      </c>
      <c r="Z5" s="3790">
        <v>44791.000497685185</v>
      </c>
      <c r="AA5" s="3790">
        <v>44811.000497685185</v>
      </c>
      <c r="AB5" s="3790">
        <v>44826.000497685185</v>
      </c>
      <c r="AC5" s="3788">
        <v>44826.000497685185</v>
      </c>
      <c r="AD5" s="3787" t="s">
        <v>4191</v>
      </c>
      <c r="AE5" s="3787" t="s">
        <v>3434</v>
      </c>
      <c r="AF5" s="3787" t="s">
        <v>4190</v>
      </c>
      <c r="AG5" s="3787" t="s">
        <v>4189</v>
      </c>
      <c r="AH5" s="3787" t="s">
        <v>3654</v>
      </c>
      <c r="AI5" s="3787">
        <v>143000</v>
      </c>
      <c r="AJ5" s="3787">
        <v>29000</v>
      </c>
      <c r="AK5" s="3787" t="s">
        <v>4146</v>
      </c>
      <c r="AL5" s="3787">
        <v>143000</v>
      </c>
      <c r="AM5" s="3787">
        <v>4408.4799999999996</v>
      </c>
      <c r="AN5" s="3787">
        <v>4408.4799999999996</v>
      </c>
      <c r="AO5" s="3787">
        <v>33064</v>
      </c>
      <c r="AP5" s="3789">
        <v>33064</v>
      </c>
      <c r="AQ5" s="3787" t="s">
        <v>3470</v>
      </c>
      <c r="AR5" s="3787" t="s">
        <v>3470</v>
      </c>
      <c r="AS5" s="3787">
        <v>0</v>
      </c>
      <c r="AT5" s="3787" t="s">
        <v>4145</v>
      </c>
      <c r="AU5" s="3787">
        <v>164450</v>
      </c>
      <c r="AV5" s="3787" t="s">
        <v>3918</v>
      </c>
      <c r="AW5" s="3787" t="s">
        <v>3472</v>
      </c>
      <c r="AX5" s="3787">
        <v>38023</v>
      </c>
      <c r="AY5" s="3787">
        <v>15</v>
      </c>
      <c r="AZ5" s="3787" t="s">
        <v>3470</v>
      </c>
    </row>
    <row r="6" spans="1:52" hidden="1">
      <c r="A6" s="3787" t="s">
        <v>4188</v>
      </c>
      <c r="B6" s="3787" t="s">
        <v>3378</v>
      </c>
      <c r="C6" s="3787" t="s">
        <v>4187</v>
      </c>
      <c r="D6" s="3787" t="s">
        <v>3600</v>
      </c>
      <c r="E6" s="3787" t="s">
        <v>3739</v>
      </c>
      <c r="F6" s="3787" t="s">
        <v>3761</v>
      </c>
      <c r="G6" s="3787" t="s">
        <v>4186</v>
      </c>
      <c r="H6" s="3787" t="s">
        <v>3447</v>
      </c>
      <c r="I6" s="3787">
        <v>48701.2</v>
      </c>
      <c r="J6" s="3787">
        <v>111831</v>
      </c>
      <c r="K6" s="3787" t="s">
        <v>4185</v>
      </c>
      <c r="L6" s="3787" t="s">
        <v>3431</v>
      </c>
      <c r="M6" s="3787" t="s">
        <v>3595</v>
      </c>
      <c r="N6" s="3787" t="s">
        <v>4150</v>
      </c>
      <c r="O6" s="3787" t="s">
        <v>3472</v>
      </c>
      <c r="P6" s="3787" t="s">
        <v>4184</v>
      </c>
      <c r="Q6" s="3787" t="s">
        <v>4183</v>
      </c>
      <c r="R6" s="3787" t="s">
        <v>4149</v>
      </c>
      <c r="S6" s="3787" t="s">
        <v>3644</v>
      </c>
      <c r="T6" s="3787" t="s">
        <v>3470</v>
      </c>
      <c r="U6" s="3787" t="s">
        <v>3470</v>
      </c>
      <c r="V6" s="3787" t="s">
        <v>3470</v>
      </c>
      <c r="W6" s="3787" t="s">
        <v>3470</v>
      </c>
      <c r="X6" s="3787">
        <v>0</v>
      </c>
      <c r="Y6" s="3787">
        <v>0</v>
      </c>
      <c r="Z6" s="3790">
        <v>44791.000497685185</v>
      </c>
      <c r="AA6" s="3790">
        <v>44811.000497685185</v>
      </c>
      <c r="AB6" s="3790">
        <v>44826.000497685185</v>
      </c>
      <c r="AC6" s="3788">
        <v>44826.000497685185</v>
      </c>
      <c r="AD6" s="3787" t="s">
        <v>4182</v>
      </c>
      <c r="AE6" s="3787" t="s">
        <v>3434</v>
      </c>
      <c r="AF6" s="3787" t="s">
        <v>4181</v>
      </c>
      <c r="AG6" s="3787" t="s">
        <v>4180</v>
      </c>
      <c r="AH6" s="3787" t="s">
        <v>3654</v>
      </c>
      <c r="AI6" s="3787">
        <v>167000</v>
      </c>
      <c r="AJ6" s="3787">
        <v>34000</v>
      </c>
      <c r="AK6" s="3787" t="s">
        <v>4146</v>
      </c>
      <c r="AL6" s="3787">
        <v>167000</v>
      </c>
      <c r="AM6" s="3787">
        <v>2286.0500000000002</v>
      </c>
      <c r="AN6" s="3787">
        <v>2286.0500000000002</v>
      </c>
      <c r="AO6" s="3787">
        <v>14933</v>
      </c>
      <c r="AP6" s="3789">
        <v>14933</v>
      </c>
      <c r="AQ6" s="3787" t="s">
        <v>3470</v>
      </c>
      <c r="AR6" s="3787" t="s">
        <v>3470</v>
      </c>
      <c r="AS6" s="3787">
        <v>0</v>
      </c>
      <c r="AT6" s="3787" t="s">
        <v>4179</v>
      </c>
      <c r="AU6" s="3787">
        <v>192050</v>
      </c>
      <c r="AV6" s="3787" t="s">
        <v>3918</v>
      </c>
      <c r="AW6" s="3787" t="s">
        <v>3472</v>
      </c>
      <c r="AX6" s="3787">
        <v>17173</v>
      </c>
      <c r="AY6" s="3787">
        <v>15</v>
      </c>
      <c r="AZ6" s="3787" t="s">
        <v>3470</v>
      </c>
    </row>
    <row r="7" spans="1:52" hidden="1">
      <c r="A7" s="3787" t="s">
        <v>4178</v>
      </c>
      <c r="B7" s="3787" t="s">
        <v>3378</v>
      </c>
      <c r="C7" s="3787" t="s">
        <v>4177</v>
      </c>
      <c r="D7" s="3787" t="s">
        <v>3600</v>
      </c>
      <c r="E7" s="3787" t="s">
        <v>3599</v>
      </c>
      <c r="F7" s="3787" t="s">
        <v>4176</v>
      </c>
      <c r="G7" s="3787" t="s">
        <v>4175</v>
      </c>
      <c r="H7" s="3787" t="s">
        <v>3430</v>
      </c>
      <c r="I7" s="3787">
        <v>32689.63</v>
      </c>
      <c r="J7" s="3787">
        <v>71917</v>
      </c>
      <c r="K7" s="3787">
        <v>2.2000000000000002</v>
      </c>
      <c r="L7" s="3787" t="s">
        <v>3431</v>
      </c>
      <c r="M7" s="3787" t="s">
        <v>3632</v>
      </c>
      <c r="N7" s="3787" t="s">
        <v>4150</v>
      </c>
      <c r="O7" s="3787" t="s">
        <v>3472</v>
      </c>
      <c r="P7" s="3787" t="s">
        <v>3470</v>
      </c>
      <c r="Q7" s="3787" t="s">
        <v>3898</v>
      </c>
      <c r="R7" s="3787" t="s">
        <v>4149</v>
      </c>
      <c r="S7" s="3787" t="s">
        <v>3644</v>
      </c>
      <c r="T7" s="3787" t="s">
        <v>3470</v>
      </c>
      <c r="U7" s="3787" t="s">
        <v>3470</v>
      </c>
      <c r="V7" s="3787" t="s">
        <v>3470</v>
      </c>
      <c r="W7" s="3787" t="s">
        <v>3470</v>
      </c>
      <c r="X7" s="3787">
        <v>0</v>
      </c>
      <c r="Y7" s="3787">
        <v>0</v>
      </c>
      <c r="Z7" s="3790">
        <v>44791.000497685185</v>
      </c>
      <c r="AA7" s="3790">
        <v>44811.000497685185</v>
      </c>
      <c r="AB7" s="3790">
        <v>44826.000497685185</v>
      </c>
      <c r="AC7" s="3788">
        <v>44827.000497685185</v>
      </c>
      <c r="AD7" s="3787" t="s">
        <v>4174</v>
      </c>
      <c r="AE7" s="3787" t="s">
        <v>3434</v>
      </c>
      <c r="AF7" s="3787" t="s">
        <v>4173</v>
      </c>
      <c r="AG7" s="3787" t="s">
        <v>4172</v>
      </c>
      <c r="AH7" s="3787" t="s">
        <v>3654</v>
      </c>
      <c r="AI7" s="3787">
        <v>294000</v>
      </c>
      <c r="AJ7" s="3787">
        <v>60000</v>
      </c>
      <c r="AK7" s="3787" t="s">
        <v>4146</v>
      </c>
      <c r="AL7" s="3787">
        <v>338100</v>
      </c>
      <c r="AM7" s="3787">
        <v>5995.79</v>
      </c>
      <c r="AN7" s="3787">
        <v>6895.15</v>
      </c>
      <c r="AO7" s="3787">
        <v>40880</v>
      </c>
      <c r="AP7" s="3789">
        <v>47013</v>
      </c>
      <c r="AQ7" s="3787" t="s">
        <v>3470</v>
      </c>
      <c r="AR7" s="3787" t="s">
        <v>3470</v>
      </c>
      <c r="AS7" s="3787">
        <v>15</v>
      </c>
      <c r="AT7" s="3787" t="s">
        <v>4145</v>
      </c>
      <c r="AU7" s="3787">
        <v>338100</v>
      </c>
      <c r="AV7" s="3787" t="s">
        <v>3954</v>
      </c>
      <c r="AW7" s="3787" t="s">
        <v>3472</v>
      </c>
      <c r="AX7" s="3787">
        <v>47013</v>
      </c>
      <c r="AY7" s="3787">
        <v>15</v>
      </c>
      <c r="AZ7" s="3787" t="s">
        <v>3470</v>
      </c>
    </row>
    <row r="8" spans="1:52" hidden="1">
      <c r="A8" s="3787" t="s">
        <v>4171</v>
      </c>
      <c r="B8" s="3787" t="s">
        <v>3378</v>
      </c>
      <c r="C8" s="3787" t="s">
        <v>4170</v>
      </c>
      <c r="D8" s="3787" t="s">
        <v>3600</v>
      </c>
      <c r="E8" s="3787" t="s">
        <v>3613</v>
      </c>
      <c r="F8" s="3787" t="s">
        <v>3817</v>
      </c>
      <c r="G8" s="3787" t="s">
        <v>3816</v>
      </c>
      <c r="H8" s="3787" t="s">
        <v>3447</v>
      </c>
      <c r="I8" s="3787">
        <v>27876.52</v>
      </c>
      <c r="J8" s="3787">
        <v>69691.3</v>
      </c>
      <c r="K8" s="3787">
        <v>2.5</v>
      </c>
      <c r="L8" s="3787" t="s">
        <v>3431</v>
      </c>
      <c r="M8" s="3787" t="s">
        <v>4169</v>
      </c>
      <c r="N8" s="3787" t="s">
        <v>4150</v>
      </c>
      <c r="O8" s="3787">
        <v>5.74</v>
      </c>
      <c r="P8" s="3787" t="s">
        <v>3470</v>
      </c>
      <c r="Q8" s="3787">
        <v>45</v>
      </c>
      <c r="R8" s="3787" t="s">
        <v>4149</v>
      </c>
      <c r="S8" s="3787" t="s">
        <v>3644</v>
      </c>
      <c r="T8" s="3787" t="s">
        <v>3470</v>
      </c>
      <c r="U8" s="3787" t="s">
        <v>3470</v>
      </c>
      <c r="V8" s="3787">
        <v>0</v>
      </c>
      <c r="W8" s="3787" t="s">
        <v>3470</v>
      </c>
      <c r="X8" s="3787">
        <v>0</v>
      </c>
      <c r="Y8" s="3787">
        <v>0</v>
      </c>
      <c r="Z8" s="3790">
        <v>44791.000497685185</v>
      </c>
      <c r="AA8" s="3790">
        <v>44811.000497685185</v>
      </c>
      <c r="AB8" s="3790">
        <v>44826.000497685185</v>
      </c>
      <c r="AC8" s="3788">
        <v>44826.000497685185</v>
      </c>
      <c r="AD8" s="3787" t="s">
        <v>4168</v>
      </c>
      <c r="AE8" s="3787" t="s">
        <v>3434</v>
      </c>
      <c r="AF8" s="3787" t="s">
        <v>4167</v>
      </c>
      <c r="AG8" s="3787" t="s">
        <v>4166</v>
      </c>
      <c r="AH8" s="3787" t="s">
        <v>4165</v>
      </c>
      <c r="AI8" s="3787">
        <v>250000</v>
      </c>
      <c r="AJ8" s="3787">
        <v>50000</v>
      </c>
      <c r="AK8" s="3787" t="s">
        <v>4146</v>
      </c>
      <c r="AL8" s="3787">
        <v>250000</v>
      </c>
      <c r="AM8" s="3787">
        <v>5978.75</v>
      </c>
      <c r="AN8" s="3787">
        <v>5978.75</v>
      </c>
      <c r="AO8" s="3787">
        <v>35872</v>
      </c>
      <c r="AP8" s="3789">
        <v>35872</v>
      </c>
      <c r="AQ8" s="3787" t="s">
        <v>3470</v>
      </c>
      <c r="AR8" s="3787" t="s">
        <v>3470</v>
      </c>
      <c r="AS8" s="3787">
        <v>0</v>
      </c>
      <c r="AT8" s="3787" t="s">
        <v>4164</v>
      </c>
      <c r="AU8" s="3787">
        <v>287500</v>
      </c>
      <c r="AV8" s="3787" t="s">
        <v>3918</v>
      </c>
      <c r="AW8" s="3787" t="s">
        <v>3472</v>
      </c>
      <c r="AX8" s="3787">
        <v>41253</v>
      </c>
      <c r="AY8" s="3787">
        <v>15</v>
      </c>
      <c r="AZ8" s="3787" t="s">
        <v>3470</v>
      </c>
    </row>
    <row r="9" spans="1:52" hidden="1">
      <c r="A9" s="3787" t="s">
        <v>4163</v>
      </c>
      <c r="B9" s="3787" t="s">
        <v>3378</v>
      </c>
      <c r="C9" s="3787" t="s">
        <v>4162</v>
      </c>
      <c r="D9" s="3787" t="s">
        <v>3600</v>
      </c>
      <c r="E9" s="3787" t="s">
        <v>3599</v>
      </c>
      <c r="F9" s="3787" t="s">
        <v>4158</v>
      </c>
      <c r="G9" s="3787" t="s">
        <v>4157</v>
      </c>
      <c r="H9" s="3787" t="s">
        <v>3430</v>
      </c>
      <c r="I9" s="3787">
        <v>39419.43</v>
      </c>
      <c r="J9" s="3787">
        <v>94607</v>
      </c>
      <c r="K9" s="3787">
        <v>2.4</v>
      </c>
      <c r="L9" s="3787" t="s">
        <v>3431</v>
      </c>
      <c r="M9" s="3787" t="s">
        <v>3632</v>
      </c>
      <c r="N9" s="3787" t="s">
        <v>4150</v>
      </c>
      <c r="O9" s="3787" t="s">
        <v>3472</v>
      </c>
      <c r="P9" s="3787" t="s">
        <v>3470</v>
      </c>
      <c r="Q9" s="3787" t="s">
        <v>3898</v>
      </c>
      <c r="R9" s="3787" t="s">
        <v>4149</v>
      </c>
      <c r="S9" s="3787" t="s">
        <v>3644</v>
      </c>
      <c r="T9" s="3787" t="s">
        <v>3470</v>
      </c>
      <c r="U9" s="3787" t="s">
        <v>3470</v>
      </c>
      <c r="V9" s="3787" t="s">
        <v>3470</v>
      </c>
      <c r="W9" s="3787" t="s">
        <v>3470</v>
      </c>
      <c r="X9" s="3787">
        <v>0</v>
      </c>
      <c r="Y9" s="3787">
        <v>0</v>
      </c>
      <c r="Z9" s="3790">
        <v>44791.000497685185</v>
      </c>
      <c r="AA9" s="3790">
        <v>44811.000497685185</v>
      </c>
      <c r="AB9" s="3790">
        <v>44826.000497685185</v>
      </c>
      <c r="AC9" s="3788">
        <v>44827.000497685185</v>
      </c>
      <c r="AD9" s="3787" t="s">
        <v>4161</v>
      </c>
      <c r="AE9" s="3787" t="s">
        <v>3434</v>
      </c>
      <c r="AF9" s="3787" t="s">
        <v>3618</v>
      </c>
      <c r="AG9" s="3787" t="s">
        <v>3617</v>
      </c>
      <c r="AH9" s="3787" t="s">
        <v>3616</v>
      </c>
      <c r="AI9" s="3787">
        <v>480000</v>
      </c>
      <c r="AJ9" s="3787">
        <v>96000</v>
      </c>
      <c r="AK9" s="3787" t="s">
        <v>4146</v>
      </c>
      <c r="AL9" s="3787">
        <v>497000</v>
      </c>
      <c r="AM9" s="3787">
        <v>8117.82</v>
      </c>
      <c r="AN9" s="3787">
        <v>8405.33</v>
      </c>
      <c r="AO9" s="3787">
        <v>50736</v>
      </c>
      <c r="AP9" s="3789">
        <v>52533</v>
      </c>
      <c r="AQ9" s="3787" t="s">
        <v>3470</v>
      </c>
      <c r="AR9" s="3787" t="s">
        <v>3470</v>
      </c>
      <c r="AS9" s="3787">
        <v>3.54</v>
      </c>
      <c r="AT9" s="3787" t="s">
        <v>4145</v>
      </c>
      <c r="AU9" s="3787">
        <v>552000</v>
      </c>
      <c r="AV9" s="3787" t="s">
        <v>3918</v>
      </c>
      <c r="AW9" s="3787" t="s">
        <v>3472</v>
      </c>
      <c r="AX9" s="3787">
        <v>58347</v>
      </c>
      <c r="AY9" s="3787">
        <v>15</v>
      </c>
      <c r="AZ9" s="3787" t="s">
        <v>3470</v>
      </c>
    </row>
    <row r="10" spans="1:52" hidden="1">
      <c r="A10" s="3787" t="s">
        <v>4160</v>
      </c>
      <c r="B10" s="3787" t="s">
        <v>3378</v>
      </c>
      <c r="C10" s="3787" t="s">
        <v>4159</v>
      </c>
      <c r="D10" s="3787" t="s">
        <v>3600</v>
      </c>
      <c r="E10" s="3787" t="s">
        <v>3599</v>
      </c>
      <c r="F10" s="3787" t="s">
        <v>4158</v>
      </c>
      <c r="G10" s="3787" t="s">
        <v>4157</v>
      </c>
      <c r="H10" s="3787" t="s">
        <v>3430</v>
      </c>
      <c r="I10" s="3787">
        <v>26171.64</v>
      </c>
      <c r="J10" s="3787">
        <v>68046</v>
      </c>
      <c r="K10" s="3787">
        <v>2.6</v>
      </c>
      <c r="L10" s="3787" t="s">
        <v>3431</v>
      </c>
      <c r="M10" s="3787" t="s">
        <v>3632</v>
      </c>
      <c r="N10" s="3787" t="s">
        <v>4150</v>
      </c>
      <c r="O10" s="3787" t="s">
        <v>3472</v>
      </c>
      <c r="P10" s="3787" t="s">
        <v>3470</v>
      </c>
      <c r="Q10" s="3787" t="s">
        <v>4156</v>
      </c>
      <c r="R10" s="3787" t="s">
        <v>4149</v>
      </c>
      <c r="S10" s="3787" t="s">
        <v>3644</v>
      </c>
      <c r="T10" s="3787" t="s">
        <v>3470</v>
      </c>
      <c r="U10" s="3787" t="s">
        <v>3470</v>
      </c>
      <c r="V10" s="3787" t="s">
        <v>3470</v>
      </c>
      <c r="W10" s="3787" t="s">
        <v>3470</v>
      </c>
      <c r="X10" s="3787">
        <v>0</v>
      </c>
      <c r="Y10" s="3787">
        <v>0</v>
      </c>
      <c r="Z10" s="3790">
        <v>44791.000497685185</v>
      </c>
      <c r="AA10" s="3790">
        <v>44811.000497685185</v>
      </c>
      <c r="AB10" s="3790">
        <v>44826.000497685185</v>
      </c>
      <c r="AC10" s="3788">
        <v>44827.000497685185</v>
      </c>
      <c r="AD10" s="3787" t="s">
        <v>4155</v>
      </c>
      <c r="AE10" s="3787" t="s">
        <v>3434</v>
      </c>
      <c r="AF10" s="3787" t="s">
        <v>4154</v>
      </c>
      <c r="AG10" s="3787" t="s">
        <v>3930</v>
      </c>
      <c r="AH10" s="3787" t="s">
        <v>3616</v>
      </c>
      <c r="AI10" s="3787">
        <v>366000</v>
      </c>
      <c r="AJ10" s="3787">
        <v>74000</v>
      </c>
      <c r="AK10" s="3787" t="s">
        <v>4146</v>
      </c>
      <c r="AL10" s="3787">
        <v>381000</v>
      </c>
      <c r="AM10" s="3787">
        <v>9323.07</v>
      </c>
      <c r="AN10" s="3787">
        <v>9705.16</v>
      </c>
      <c r="AO10" s="3787">
        <v>53787</v>
      </c>
      <c r="AP10" s="3789">
        <v>55992</v>
      </c>
      <c r="AQ10" s="3787" t="s">
        <v>3470</v>
      </c>
      <c r="AR10" s="3787" t="s">
        <v>3470</v>
      </c>
      <c r="AS10" s="3787">
        <v>4.0999999999999996</v>
      </c>
      <c r="AT10" s="3787" t="s">
        <v>3586</v>
      </c>
      <c r="AU10" s="3787">
        <v>420900</v>
      </c>
      <c r="AV10" s="3787" t="s">
        <v>3918</v>
      </c>
      <c r="AW10" s="3787" t="s">
        <v>3472</v>
      </c>
      <c r="AX10" s="3787">
        <v>61855</v>
      </c>
      <c r="AY10" s="3787">
        <v>15</v>
      </c>
      <c r="AZ10" s="3787" t="s">
        <v>3470</v>
      </c>
    </row>
    <row r="11" spans="1:52" hidden="1">
      <c r="A11" s="3787" t="s">
        <v>4153</v>
      </c>
      <c r="B11" s="3787" t="s">
        <v>3378</v>
      </c>
      <c r="C11" s="3787" t="s">
        <v>4152</v>
      </c>
      <c r="D11" s="3787" t="s">
        <v>3600</v>
      </c>
      <c r="E11" s="3787" t="s">
        <v>3599</v>
      </c>
      <c r="F11" s="3787" t="s">
        <v>3651</v>
      </c>
      <c r="G11" s="3787" t="s">
        <v>4151</v>
      </c>
      <c r="H11" s="3787" t="s">
        <v>3430</v>
      </c>
      <c r="I11" s="3787">
        <v>23125</v>
      </c>
      <c r="J11" s="3787">
        <v>55500</v>
      </c>
      <c r="K11" s="3787">
        <v>2.4</v>
      </c>
      <c r="L11" s="3787" t="s">
        <v>3431</v>
      </c>
      <c r="M11" s="3787" t="s">
        <v>3632</v>
      </c>
      <c r="N11" s="3787" t="s">
        <v>4150</v>
      </c>
      <c r="O11" s="3787" t="s">
        <v>3472</v>
      </c>
      <c r="P11" s="3787" t="s">
        <v>3470</v>
      </c>
      <c r="Q11" s="3787">
        <v>45</v>
      </c>
      <c r="R11" s="3787" t="s">
        <v>4149</v>
      </c>
      <c r="S11" s="3787" t="s">
        <v>4148</v>
      </c>
      <c r="T11" s="3787" t="s">
        <v>3470</v>
      </c>
      <c r="U11" s="3787" t="s">
        <v>3470</v>
      </c>
      <c r="V11" s="3787" t="s">
        <v>3470</v>
      </c>
      <c r="W11" s="3787" t="s">
        <v>3470</v>
      </c>
      <c r="X11" s="3787">
        <v>0</v>
      </c>
      <c r="Y11" s="3787">
        <v>0</v>
      </c>
      <c r="Z11" s="3790">
        <v>44791.000497685185</v>
      </c>
      <c r="AA11" s="3790">
        <v>44811.000497685185</v>
      </c>
      <c r="AB11" s="3790">
        <v>44826.000497685185</v>
      </c>
      <c r="AC11" s="3788">
        <v>44827.000497685185</v>
      </c>
      <c r="AD11" s="3787" t="s">
        <v>4147</v>
      </c>
      <c r="AE11" s="3787" t="s">
        <v>3434</v>
      </c>
      <c r="AF11" s="3787" t="s">
        <v>3984</v>
      </c>
      <c r="AG11" s="3787" t="s">
        <v>3955</v>
      </c>
      <c r="AH11" s="3787" t="s">
        <v>3654</v>
      </c>
      <c r="AI11" s="3787">
        <v>333000</v>
      </c>
      <c r="AJ11" s="3787">
        <v>67000</v>
      </c>
      <c r="AK11" s="3787" t="s">
        <v>4146</v>
      </c>
      <c r="AL11" s="3787">
        <v>382950</v>
      </c>
      <c r="AM11" s="3787">
        <v>9600</v>
      </c>
      <c r="AN11" s="3787">
        <v>11040</v>
      </c>
      <c r="AO11" s="3787">
        <v>60000</v>
      </c>
      <c r="AP11" s="3789">
        <v>69000</v>
      </c>
      <c r="AQ11" s="3787" t="s">
        <v>3470</v>
      </c>
      <c r="AR11" s="3787" t="s">
        <v>3470</v>
      </c>
      <c r="AS11" s="3787">
        <v>15</v>
      </c>
      <c r="AT11" s="3787" t="s">
        <v>4145</v>
      </c>
      <c r="AU11" s="3787">
        <v>382950</v>
      </c>
      <c r="AV11" s="3787" t="s">
        <v>3954</v>
      </c>
      <c r="AW11" s="3787" t="s">
        <v>3472</v>
      </c>
      <c r="AX11" s="3787">
        <v>69000</v>
      </c>
      <c r="AY11" s="3787">
        <v>15</v>
      </c>
      <c r="AZ11" s="3787" t="s">
        <v>3470</v>
      </c>
    </row>
    <row r="12" spans="1:52" hidden="1">
      <c r="A12" s="3787" t="s">
        <v>4144</v>
      </c>
      <c r="B12" s="3787" t="s">
        <v>3378</v>
      </c>
      <c r="C12" s="3787" t="s">
        <v>4143</v>
      </c>
      <c r="D12" s="3787" t="s">
        <v>3600</v>
      </c>
      <c r="E12" s="3787" t="s">
        <v>3599</v>
      </c>
      <c r="F12" s="3787" t="s">
        <v>4019</v>
      </c>
      <c r="G12" s="3787" t="s">
        <v>4142</v>
      </c>
      <c r="H12" s="3787" t="s">
        <v>3447</v>
      </c>
      <c r="I12" s="3787">
        <v>59541.89</v>
      </c>
      <c r="J12" s="3787">
        <v>201892</v>
      </c>
      <c r="K12" s="3787" t="s">
        <v>4141</v>
      </c>
      <c r="L12" s="3787" t="s">
        <v>3431</v>
      </c>
      <c r="M12" s="3787" t="s">
        <v>4140</v>
      </c>
      <c r="N12" s="3787" t="s">
        <v>4125</v>
      </c>
      <c r="O12" s="3787" t="s">
        <v>3472</v>
      </c>
      <c r="P12" s="3787" t="s">
        <v>3470</v>
      </c>
      <c r="Q12" s="3787" t="s">
        <v>4139</v>
      </c>
      <c r="R12" s="3787" t="s">
        <v>4079</v>
      </c>
      <c r="S12" s="3787" t="s">
        <v>3986</v>
      </c>
      <c r="T12" s="3787" t="s">
        <v>3945</v>
      </c>
      <c r="U12" s="3787" t="s">
        <v>4033</v>
      </c>
      <c r="V12" s="3787">
        <v>33188</v>
      </c>
      <c r="W12" s="3787" t="s">
        <v>3470</v>
      </c>
      <c r="X12" s="3787">
        <v>0</v>
      </c>
      <c r="Y12" s="3787">
        <v>0</v>
      </c>
      <c r="Z12" s="3790">
        <v>44670.000497685185</v>
      </c>
      <c r="AA12" s="3790">
        <v>44691.000497685185</v>
      </c>
      <c r="AB12" s="3790">
        <v>44712.000497685185</v>
      </c>
      <c r="AC12" s="3788">
        <v>44712.000497685185</v>
      </c>
      <c r="AD12" s="3787" t="s">
        <v>4138</v>
      </c>
      <c r="AE12" s="3787" t="s">
        <v>3434</v>
      </c>
      <c r="AF12" s="3787" t="s">
        <v>4077</v>
      </c>
      <c r="AG12" s="3787" t="s">
        <v>4076</v>
      </c>
      <c r="AH12" s="3787" t="s">
        <v>3616</v>
      </c>
      <c r="AI12" s="3787">
        <v>747000</v>
      </c>
      <c r="AJ12" s="3787">
        <v>150000</v>
      </c>
      <c r="AK12" s="3787" t="s">
        <v>4121</v>
      </c>
      <c r="AL12" s="3787">
        <v>747000</v>
      </c>
      <c r="AM12" s="3787">
        <v>8363.86</v>
      </c>
      <c r="AN12" s="3787">
        <v>8363.86</v>
      </c>
      <c r="AO12" s="3787">
        <v>37000</v>
      </c>
      <c r="AP12" s="3789">
        <v>37000</v>
      </c>
      <c r="AQ12" s="3787">
        <v>44279</v>
      </c>
      <c r="AR12" s="3787" t="s">
        <v>3470</v>
      </c>
      <c r="AS12" s="3787">
        <v>0</v>
      </c>
      <c r="AT12" s="3787" t="s">
        <v>3586</v>
      </c>
      <c r="AU12" s="3787">
        <v>859050</v>
      </c>
      <c r="AV12" s="3787" t="s">
        <v>3918</v>
      </c>
      <c r="AW12" s="3787" t="s">
        <v>3472</v>
      </c>
      <c r="AX12" s="3787">
        <v>42550</v>
      </c>
      <c r="AY12" s="3787">
        <v>15</v>
      </c>
      <c r="AZ12" s="3787" t="s">
        <v>3470</v>
      </c>
    </row>
    <row r="13" spans="1:52" hidden="1">
      <c r="A13" s="3787" t="s">
        <v>4137</v>
      </c>
      <c r="B13" s="3787" t="s">
        <v>3378</v>
      </c>
      <c r="C13" s="3787" t="s">
        <v>4136</v>
      </c>
      <c r="D13" s="3787" t="s">
        <v>3600</v>
      </c>
      <c r="E13" s="3787" t="s">
        <v>3599</v>
      </c>
      <c r="F13" s="3787" t="s">
        <v>3749</v>
      </c>
      <c r="G13" s="3787" t="s">
        <v>4101</v>
      </c>
      <c r="H13" s="3787" t="s">
        <v>3430</v>
      </c>
      <c r="I13" s="3787">
        <v>21200</v>
      </c>
      <c r="J13" s="3787">
        <v>59360</v>
      </c>
      <c r="K13" s="3787" t="s">
        <v>3718</v>
      </c>
      <c r="L13" s="3787" t="s">
        <v>3431</v>
      </c>
      <c r="M13" s="3787" t="s">
        <v>3632</v>
      </c>
      <c r="N13" s="3787" t="s">
        <v>4125</v>
      </c>
      <c r="O13" s="3787" t="s">
        <v>3472</v>
      </c>
      <c r="P13" s="3787" t="s">
        <v>3470</v>
      </c>
      <c r="Q13" s="3787">
        <v>80</v>
      </c>
      <c r="R13" s="3787" t="s">
        <v>4135</v>
      </c>
      <c r="S13" s="3787" t="s">
        <v>4134</v>
      </c>
      <c r="T13" s="3787" t="s">
        <v>3470</v>
      </c>
      <c r="U13" s="3787" t="s">
        <v>3470</v>
      </c>
      <c r="V13" s="3787" t="s">
        <v>3470</v>
      </c>
      <c r="W13" s="3787" t="s">
        <v>3470</v>
      </c>
      <c r="X13" s="3787">
        <v>0</v>
      </c>
      <c r="Y13" s="3787">
        <v>0</v>
      </c>
      <c r="Z13" s="3790">
        <v>44670.000497685185</v>
      </c>
      <c r="AA13" s="3790">
        <v>44691.000497685185</v>
      </c>
      <c r="AB13" s="3790">
        <v>44712.000497685185</v>
      </c>
      <c r="AC13" s="3788">
        <v>44713.000497685185</v>
      </c>
      <c r="AD13" s="3787" t="s">
        <v>4133</v>
      </c>
      <c r="AE13" s="3787" t="s">
        <v>3434</v>
      </c>
      <c r="AF13" s="3787" t="s">
        <v>4132</v>
      </c>
      <c r="AG13" s="3787" t="s">
        <v>4131</v>
      </c>
      <c r="AH13" s="3787" t="s">
        <v>4130</v>
      </c>
      <c r="AI13" s="3787">
        <v>230000</v>
      </c>
      <c r="AJ13" s="3787">
        <v>46000</v>
      </c>
      <c r="AK13" s="3787" t="s">
        <v>4121</v>
      </c>
      <c r="AL13" s="3787">
        <v>264500</v>
      </c>
      <c r="AM13" s="3787">
        <v>7232.7</v>
      </c>
      <c r="AN13" s="3787">
        <v>8317.61</v>
      </c>
      <c r="AO13" s="3787">
        <v>38747</v>
      </c>
      <c r="AP13" s="3789">
        <v>44559</v>
      </c>
      <c r="AQ13" s="3787" t="s">
        <v>3470</v>
      </c>
      <c r="AR13" s="3787" t="s">
        <v>3470</v>
      </c>
      <c r="AS13" s="3787">
        <v>15</v>
      </c>
      <c r="AT13" s="3787" t="s">
        <v>3807</v>
      </c>
      <c r="AU13" s="3787">
        <v>264500</v>
      </c>
      <c r="AV13" s="3787" t="s">
        <v>3954</v>
      </c>
      <c r="AW13" s="3787" t="s">
        <v>3472</v>
      </c>
      <c r="AX13" s="3787">
        <v>44559</v>
      </c>
      <c r="AY13" s="3787">
        <v>15</v>
      </c>
      <c r="AZ13" s="3787" t="s">
        <v>3470</v>
      </c>
    </row>
    <row r="14" spans="1:52" hidden="1">
      <c r="A14" s="3787" t="s">
        <v>4129</v>
      </c>
      <c r="B14" s="3787" t="s">
        <v>3378</v>
      </c>
      <c r="C14" s="3787" t="s">
        <v>4128</v>
      </c>
      <c r="D14" s="3787" t="s">
        <v>3600</v>
      </c>
      <c r="E14" s="3787" t="s">
        <v>3599</v>
      </c>
      <c r="F14" s="3787" t="s">
        <v>3749</v>
      </c>
      <c r="G14" s="3787" t="s">
        <v>4127</v>
      </c>
      <c r="H14" s="3787" t="s">
        <v>3430</v>
      </c>
      <c r="I14" s="3787">
        <v>43909.52</v>
      </c>
      <c r="J14" s="3787">
        <v>74646</v>
      </c>
      <c r="K14" s="3787" t="s">
        <v>4126</v>
      </c>
      <c r="L14" s="3787" t="s">
        <v>3431</v>
      </c>
      <c r="M14" s="3787" t="s">
        <v>3632</v>
      </c>
      <c r="N14" s="3787" t="s">
        <v>4125</v>
      </c>
      <c r="O14" s="3787" t="s">
        <v>3472</v>
      </c>
      <c r="P14" s="3787" t="s">
        <v>3470</v>
      </c>
      <c r="Q14" s="3787">
        <v>30</v>
      </c>
      <c r="R14" s="3787" t="s">
        <v>4042</v>
      </c>
      <c r="S14" s="3787" t="s">
        <v>3986</v>
      </c>
      <c r="T14" s="3787" t="s">
        <v>3470</v>
      </c>
      <c r="U14" s="3787" t="s">
        <v>3470</v>
      </c>
      <c r="V14" s="3787" t="s">
        <v>3470</v>
      </c>
      <c r="W14" s="3787" t="s">
        <v>3470</v>
      </c>
      <c r="X14" s="3787">
        <v>0</v>
      </c>
      <c r="Y14" s="3787">
        <v>0</v>
      </c>
      <c r="Z14" s="3790">
        <v>44670.000497685185</v>
      </c>
      <c r="AA14" s="3790">
        <v>44691.000497685185</v>
      </c>
      <c r="AB14" s="3790">
        <v>44712.000497685185</v>
      </c>
      <c r="AC14" s="3788">
        <v>44712.000497685185</v>
      </c>
      <c r="AD14" s="3787" t="s">
        <v>4124</v>
      </c>
      <c r="AE14" s="3787" t="s">
        <v>3434</v>
      </c>
      <c r="AF14" s="3787" t="s">
        <v>4123</v>
      </c>
      <c r="AG14" s="3787" t="s">
        <v>4122</v>
      </c>
      <c r="AH14" s="3787" t="s">
        <v>3820</v>
      </c>
      <c r="AI14" s="3787">
        <v>244000</v>
      </c>
      <c r="AJ14" s="3787">
        <v>49000</v>
      </c>
      <c r="AK14" s="3787" t="s">
        <v>4121</v>
      </c>
      <c r="AL14" s="3787">
        <v>244000</v>
      </c>
      <c r="AM14" s="3787">
        <v>3704.59</v>
      </c>
      <c r="AN14" s="3787">
        <v>3704.59</v>
      </c>
      <c r="AO14" s="3787">
        <v>32688</v>
      </c>
      <c r="AP14" s="3789">
        <v>32688</v>
      </c>
      <c r="AQ14" s="3787" t="s">
        <v>3470</v>
      </c>
      <c r="AR14" s="3787" t="s">
        <v>3470</v>
      </c>
      <c r="AS14" s="3787">
        <v>0</v>
      </c>
      <c r="AT14" s="3787" t="s">
        <v>3807</v>
      </c>
      <c r="AU14" s="3787">
        <v>280600</v>
      </c>
      <c r="AV14" s="3787" t="s">
        <v>3918</v>
      </c>
      <c r="AW14" s="3787" t="s">
        <v>3472</v>
      </c>
      <c r="AX14" s="3787">
        <v>37591</v>
      </c>
      <c r="AY14" s="3787">
        <v>15</v>
      </c>
      <c r="AZ14" s="3787" t="s">
        <v>3470</v>
      </c>
    </row>
    <row r="15" spans="1:52" hidden="1">
      <c r="A15" s="3787" t="s">
        <v>4120</v>
      </c>
      <c r="B15" s="3787" t="s">
        <v>3378</v>
      </c>
      <c r="C15" s="3787" t="s">
        <v>4119</v>
      </c>
      <c r="D15" s="3787" t="s">
        <v>3600</v>
      </c>
      <c r="E15" s="3787" t="s">
        <v>3613</v>
      </c>
      <c r="F15" s="3787" t="s">
        <v>3720</v>
      </c>
      <c r="G15" s="3787" t="s">
        <v>4118</v>
      </c>
      <c r="H15" s="3787" t="s">
        <v>3430</v>
      </c>
      <c r="I15" s="3787">
        <v>22115.200000000001</v>
      </c>
      <c r="J15" s="3787">
        <v>44230.400000000001</v>
      </c>
      <c r="K15" s="3787">
        <v>2</v>
      </c>
      <c r="L15" s="3787" t="s">
        <v>3431</v>
      </c>
      <c r="M15" s="3787" t="s">
        <v>3632</v>
      </c>
      <c r="N15" s="3787" t="s">
        <v>4070</v>
      </c>
      <c r="O15" s="3787" t="s">
        <v>3472</v>
      </c>
      <c r="P15" s="3787">
        <v>0.3</v>
      </c>
      <c r="Q15" s="3787">
        <v>45</v>
      </c>
      <c r="R15" s="3787" t="s">
        <v>4117</v>
      </c>
      <c r="S15" s="3787" t="s">
        <v>3812</v>
      </c>
      <c r="T15" s="3787" t="s">
        <v>3470</v>
      </c>
      <c r="U15" s="3787" t="s">
        <v>3470</v>
      </c>
      <c r="V15" s="3787">
        <v>0</v>
      </c>
      <c r="W15" s="3787" t="s">
        <v>3470</v>
      </c>
      <c r="X15" s="3787">
        <v>0</v>
      </c>
      <c r="Y15" s="3787">
        <v>0</v>
      </c>
      <c r="Z15" s="3790">
        <v>44568.000497685185</v>
      </c>
      <c r="AA15" s="3790">
        <v>44589.000497685185</v>
      </c>
      <c r="AB15" s="3790">
        <v>44608.000497685185</v>
      </c>
      <c r="AC15" s="3788">
        <v>44609.000497685185</v>
      </c>
      <c r="AD15" s="3787" t="s">
        <v>4116</v>
      </c>
      <c r="AE15" s="3787" t="s">
        <v>3434</v>
      </c>
      <c r="AF15" s="3787" t="s">
        <v>4115</v>
      </c>
      <c r="AG15" s="3787" t="s">
        <v>4114</v>
      </c>
      <c r="AH15" s="3787" t="s">
        <v>3587</v>
      </c>
      <c r="AI15" s="3787">
        <v>146000</v>
      </c>
      <c r="AJ15" s="3787">
        <v>30000</v>
      </c>
      <c r="AK15" s="3787" t="s">
        <v>4063</v>
      </c>
      <c r="AL15" s="3787">
        <v>147600</v>
      </c>
      <c r="AM15" s="3787">
        <v>4401.2</v>
      </c>
      <c r="AN15" s="3787">
        <v>4449.43</v>
      </c>
      <c r="AO15" s="3787">
        <v>33009</v>
      </c>
      <c r="AP15" s="3789">
        <v>33371</v>
      </c>
      <c r="AQ15" s="3787" t="s">
        <v>3470</v>
      </c>
      <c r="AR15" s="3787" t="s">
        <v>3470</v>
      </c>
      <c r="AS15" s="3787">
        <v>1.1000000000000001</v>
      </c>
      <c r="AT15" s="3787" t="s">
        <v>3991</v>
      </c>
      <c r="AU15" s="3787">
        <v>153300</v>
      </c>
      <c r="AV15" s="3787" t="s">
        <v>3918</v>
      </c>
      <c r="AW15" s="3787">
        <v>58000</v>
      </c>
      <c r="AX15" s="3787">
        <v>34659</v>
      </c>
      <c r="AY15" s="3787">
        <v>5</v>
      </c>
      <c r="AZ15" s="3787">
        <v>24991</v>
      </c>
    </row>
    <row r="16" spans="1:52" hidden="1">
      <c r="A16" s="3787" t="s">
        <v>4113</v>
      </c>
      <c r="B16" s="3787" t="s">
        <v>3378</v>
      </c>
      <c r="C16" s="3787" t="s">
        <v>4112</v>
      </c>
      <c r="D16" s="3787" t="s">
        <v>3600</v>
      </c>
      <c r="E16" s="3787" t="s">
        <v>3739</v>
      </c>
      <c r="F16" s="3787" t="s">
        <v>3738</v>
      </c>
      <c r="G16" s="3787" t="s">
        <v>3737</v>
      </c>
      <c r="H16" s="3787" t="s">
        <v>3430</v>
      </c>
      <c r="I16" s="3787">
        <v>32057.19</v>
      </c>
      <c r="J16" s="3787">
        <v>51292</v>
      </c>
      <c r="K16" s="3787">
        <v>1.6</v>
      </c>
      <c r="L16" s="3787" t="s">
        <v>3431</v>
      </c>
      <c r="M16" s="3787" t="s">
        <v>3632</v>
      </c>
      <c r="N16" s="3787" t="s">
        <v>4070</v>
      </c>
      <c r="O16" s="3787" t="s">
        <v>3472</v>
      </c>
      <c r="P16" s="3787">
        <v>0.3</v>
      </c>
      <c r="Q16" s="3787">
        <v>18</v>
      </c>
      <c r="R16" s="3787" t="s">
        <v>4042</v>
      </c>
      <c r="S16" s="3787" t="s">
        <v>3986</v>
      </c>
      <c r="T16" s="3787" t="s">
        <v>3470</v>
      </c>
      <c r="U16" s="3787" t="s">
        <v>3470</v>
      </c>
      <c r="V16" s="3787">
        <v>0</v>
      </c>
      <c r="W16" s="3787">
        <v>0</v>
      </c>
      <c r="X16" s="3787">
        <v>0</v>
      </c>
      <c r="Y16" s="3787">
        <v>0</v>
      </c>
      <c r="Z16" s="3790">
        <v>44568.000497685185</v>
      </c>
      <c r="AA16" s="3790">
        <v>44589.000497685185</v>
      </c>
      <c r="AB16" s="3790">
        <v>44608.000497685185</v>
      </c>
      <c r="AC16" s="3788">
        <v>44608.000497685185</v>
      </c>
      <c r="AD16" s="3787" t="s">
        <v>4111</v>
      </c>
      <c r="AE16" s="3787" t="s">
        <v>3434</v>
      </c>
      <c r="AF16" s="3787" t="s">
        <v>4003</v>
      </c>
      <c r="AG16" s="3787" t="s">
        <v>3844</v>
      </c>
      <c r="AH16" s="3787" t="s">
        <v>3616</v>
      </c>
      <c r="AI16" s="3787">
        <v>81000</v>
      </c>
      <c r="AJ16" s="3787">
        <v>17000</v>
      </c>
      <c r="AK16" s="3787" t="s">
        <v>4063</v>
      </c>
      <c r="AL16" s="3787">
        <v>81000</v>
      </c>
      <c r="AM16" s="3787">
        <v>1684.49</v>
      </c>
      <c r="AN16" s="3787">
        <v>1684.49</v>
      </c>
      <c r="AO16" s="3787">
        <v>15792</v>
      </c>
      <c r="AP16" s="3789">
        <v>15792</v>
      </c>
      <c r="AQ16" s="3787" t="s">
        <v>3470</v>
      </c>
      <c r="AR16" s="3787" t="s">
        <v>3470</v>
      </c>
      <c r="AS16" s="3787">
        <v>0</v>
      </c>
      <c r="AT16" s="3787" t="s">
        <v>3991</v>
      </c>
      <c r="AU16" s="3787">
        <v>93150</v>
      </c>
      <c r="AV16" s="3787" t="s">
        <v>3918</v>
      </c>
      <c r="AW16" s="3787">
        <v>45000</v>
      </c>
      <c r="AX16" s="3787">
        <v>18161</v>
      </c>
      <c r="AY16" s="3787">
        <v>15</v>
      </c>
      <c r="AZ16" s="3787">
        <v>29208</v>
      </c>
    </row>
    <row r="17" spans="1:52" hidden="1">
      <c r="A17" s="3787" t="s">
        <v>4110</v>
      </c>
      <c r="B17" s="3787" t="s">
        <v>3378</v>
      </c>
      <c r="C17" s="3787" t="s">
        <v>4109</v>
      </c>
      <c r="D17" s="3787" t="s">
        <v>3600</v>
      </c>
      <c r="E17" s="3787" t="s">
        <v>3613</v>
      </c>
      <c r="F17" s="3787" t="s">
        <v>4108</v>
      </c>
      <c r="G17" s="3787" t="s">
        <v>3701</v>
      </c>
      <c r="H17" s="3787" t="s">
        <v>3430</v>
      </c>
      <c r="I17" s="3787">
        <v>23519.8</v>
      </c>
      <c r="J17" s="3787">
        <v>58799.5</v>
      </c>
      <c r="K17" s="3787">
        <v>2.5</v>
      </c>
      <c r="L17" s="3787" t="s">
        <v>3431</v>
      </c>
      <c r="M17" s="3787" t="s">
        <v>3632</v>
      </c>
      <c r="N17" s="3787" t="s">
        <v>4070</v>
      </c>
      <c r="O17" s="3787">
        <v>0</v>
      </c>
      <c r="P17" s="3787" t="s">
        <v>3470</v>
      </c>
      <c r="Q17" s="3787">
        <v>60</v>
      </c>
      <c r="R17" s="3787" t="s">
        <v>4107</v>
      </c>
      <c r="S17" s="3787" t="s">
        <v>3986</v>
      </c>
      <c r="T17" s="3787" t="s">
        <v>3470</v>
      </c>
      <c r="U17" s="3787" t="s">
        <v>3470</v>
      </c>
      <c r="V17" s="3787" t="s">
        <v>3470</v>
      </c>
      <c r="W17" s="3787">
        <v>0</v>
      </c>
      <c r="X17" s="3787">
        <v>0</v>
      </c>
      <c r="Y17" s="3787">
        <v>0</v>
      </c>
      <c r="Z17" s="3790">
        <v>44568.000497685185</v>
      </c>
      <c r="AA17" s="3790">
        <v>44589.000497685185</v>
      </c>
      <c r="AB17" s="3790">
        <v>44608.000497685185</v>
      </c>
      <c r="AC17" s="3788">
        <v>44609.000497685185</v>
      </c>
      <c r="AD17" s="3787" t="s">
        <v>4106</v>
      </c>
      <c r="AE17" s="3787" t="s">
        <v>3434</v>
      </c>
      <c r="AF17" s="3787" t="s">
        <v>4105</v>
      </c>
      <c r="AG17" s="3787" t="s">
        <v>3617</v>
      </c>
      <c r="AH17" s="3787" t="s">
        <v>3616</v>
      </c>
      <c r="AI17" s="3787">
        <v>223000</v>
      </c>
      <c r="AJ17" s="3787">
        <v>45000</v>
      </c>
      <c r="AK17" s="3787" t="s">
        <v>4063</v>
      </c>
      <c r="AL17" s="3787">
        <v>248000</v>
      </c>
      <c r="AM17" s="3787">
        <v>6320.92</v>
      </c>
      <c r="AN17" s="3787">
        <v>7029.54</v>
      </c>
      <c r="AO17" s="3787">
        <v>37925</v>
      </c>
      <c r="AP17" s="3789">
        <v>42177</v>
      </c>
      <c r="AQ17" s="3787" t="s">
        <v>3470</v>
      </c>
      <c r="AR17" s="3787" t="s">
        <v>3470</v>
      </c>
      <c r="AS17" s="3787">
        <v>11.21</v>
      </c>
      <c r="AT17" s="3787" t="s">
        <v>3991</v>
      </c>
      <c r="AU17" s="3787">
        <v>256450</v>
      </c>
      <c r="AV17" s="3787" t="s">
        <v>3918</v>
      </c>
      <c r="AW17" s="3787">
        <v>73000</v>
      </c>
      <c r="AX17" s="3787">
        <v>43614</v>
      </c>
      <c r="AY17" s="3787">
        <v>15</v>
      </c>
      <c r="AZ17" s="3787">
        <v>35075</v>
      </c>
    </row>
    <row r="18" spans="1:52" hidden="1">
      <c r="A18" s="3787" t="s">
        <v>4104</v>
      </c>
      <c r="B18" s="3787" t="s">
        <v>3378</v>
      </c>
      <c r="C18" s="3787" t="s">
        <v>4103</v>
      </c>
      <c r="D18" s="3787" t="s">
        <v>3600</v>
      </c>
      <c r="E18" s="3787" t="s">
        <v>3599</v>
      </c>
      <c r="F18" s="3787" t="s">
        <v>4102</v>
      </c>
      <c r="G18" s="3787" t="s">
        <v>4101</v>
      </c>
      <c r="H18" s="3787" t="s">
        <v>3447</v>
      </c>
      <c r="I18" s="3787">
        <v>47200</v>
      </c>
      <c r="J18" s="3787">
        <v>119500</v>
      </c>
      <c r="K18" s="3787" t="s">
        <v>4100</v>
      </c>
      <c r="L18" s="3787" t="s">
        <v>3431</v>
      </c>
      <c r="M18" s="3787" t="s">
        <v>4099</v>
      </c>
      <c r="N18" s="3787" t="s">
        <v>4070</v>
      </c>
      <c r="O18" s="3787" t="s">
        <v>3472</v>
      </c>
      <c r="P18" s="3787" t="s">
        <v>3470</v>
      </c>
      <c r="Q18" s="3787" t="s">
        <v>4098</v>
      </c>
      <c r="R18" s="3787" t="s">
        <v>4097</v>
      </c>
      <c r="S18" s="3787" t="s">
        <v>3986</v>
      </c>
      <c r="T18" s="3787" t="s">
        <v>4006</v>
      </c>
      <c r="U18" s="3787" t="s">
        <v>4005</v>
      </c>
      <c r="V18" s="3787" t="s">
        <v>3470</v>
      </c>
      <c r="W18" s="3787" t="s">
        <v>3470</v>
      </c>
      <c r="X18" s="3787">
        <v>0</v>
      </c>
      <c r="Y18" s="3787">
        <v>0</v>
      </c>
      <c r="Z18" s="3790">
        <v>44568.000497685185</v>
      </c>
      <c r="AA18" s="3790">
        <v>44589.000497685185</v>
      </c>
      <c r="AB18" s="3790">
        <v>44608.000497685185</v>
      </c>
      <c r="AC18" s="3788">
        <v>44608.000497685185</v>
      </c>
      <c r="AD18" s="3787" t="s">
        <v>4096</v>
      </c>
      <c r="AE18" s="3787" t="s">
        <v>3434</v>
      </c>
      <c r="AF18" s="3787" t="s">
        <v>4095</v>
      </c>
      <c r="AG18" s="3787" t="s">
        <v>3993</v>
      </c>
      <c r="AH18" s="3787" t="s">
        <v>3654</v>
      </c>
      <c r="AI18" s="3787">
        <v>263000</v>
      </c>
      <c r="AJ18" s="3787">
        <v>53000</v>
      </c>
      <c r="AK18" s="3787" t="s">
        <v>4063</v>
      </c>
      <c r="AL18" s="3787">
        <v>263000</v>
      </c>
      <c r="AM18" s="3787">
        <v>3714.69</v>
      </c>
      <c r="AN18" s="3787">
        <v>3714.69</v>
      </c>
      <c r="AO18" s="3787">
        <v>22008</v>
      </c>
      <c r="AP18" s="3789">
        <v>22008</v>
      </c>
      <c r="AQ18" s="3787" t="s">
        <v>3470</v>
      </c>
      <c r="AR18" s="3787" t="s">
        <v>3470</v>
      </c>
      <c r="AS18" s="3787">
        <v>0</v>
      </c>
      <c r="AT18" s="3787" t="s">
        <v>4094</v>
      </c>
      <c r="AU18" s="3787">
        <v>302450</v>
      </c>
      <c r="AV18" s="3787" t="s">
        <v>3918</v>
      </c>
      <c r="AW18" s="3787">
        <v>85000</v>
      </c>
      <c r="AX18" s="3787">
        <v>25310</v>
      </c>
      <c r="AY18" s="3787">
        <v>15</v>
      </c>
      <c r="AZ18" s="3787">
        <v>62992</v>
      </c>
    </row>
    <row r="19" spans="1:52" hidden="1">
      <c r="A19" s="3787" t="s">
        <v>4093</v>
      </c>
      <c r="B19" s="3787" t="s">
        <v>3378</v>
      </c>
      <c r="C19" s="3787" t="s">
        <v>4092</v>
      </c>
      <c r="D19" s="3787" t="s">
        <v>3600</v>
      </c>
      <c r="E19" s="3787" t="s">
        <v>3613</v>
      </c>
      <c r="F19" s="3787" t="s">
        <v>3612</v>
      </c>
      <c r="G19" s="3787" t="s">
        <v>3710</v>
      </c>
      <c r="H19" s="3787" t="s">
        <v>3447</v>
      </c>
      <c r="I19" s="3787">
        <v>78176.460000000006</v>
      </c>
      <c r="J19" s="3787">
        <v>178342.9</v>
      </c>
      <c r="K19" s="3787" t="s">
        <v>4091</v>
      </c>
      <c r="L19" s="3787" t="s">
        <v>3431</v>
      </c>
      <c r="M19" s="3787" t="s">
        <v>4090</v>
      </c>
      <c r="N19" s="3787" t="s">
        <v>4070</v>
      </c>
      <c r="O19" s="3787">
        <v>0</v>
      </c>
      <c r="P19" s="3787">
        <v>0.3</v>
      </c>
      <c r="Q19" s="3787" t="s">
        <v>4089</v>
      </c>
      <c r="R19" s="3787" t="s">
        <v>4067</v>
      </c>
      <c r="S19" s="3787" t="s">
        <v>3986</v>
      </c>
      <c r="T19" s="3787" t="s">
        <v>3470</v>
      </c>
      <c r="U19" s="3787" t="s">
        <v>3470</v>
      </c>
      <c r="V19" s="3787" t="s">
        <v>3470</v>
      </c>
      <c r="W19" s="3787">
        <v>0</v>
      </c>
      <c r="X19" s="3787">
        <v>0</v>
      </c>
      <c r="Y19" s="3787">
        <v>0</v>
      </c>
      <c r="Z19" s="3790">
        <v>44568.000497685185</v>
      </c>
      <c r="AA19" s="3790">
        <v>44589.000497685185</v>
      </c>
      <c r="AB19" s="3790">
        <v>44608.000497685185</v>
      </c>
      <c r="AC19" s="3788">
        <v>44608.000497685185</v>
      </c>
      <c r="AD19" s="3787" t="s">
        <v>4088</v>
      </c>
      <c r="AE19" s="3787" t="s">
        <v>3434</v>
      </c>
      <c r="AF19" s="3787" t="s">
        <v>4087</v>
      </c>
      <c r="AG19" s="3787" t="s">
        <v>4086</v>
      </c>
      <c r="AH19" s="3787" t="s">
        <v>3790</v>
      </c>
      <c r="AI19" s="3787">
        <v>482000</v>
      </c>
      <c r="AJ19" s="3787">
        <v>97000</v>
      </c>
      <c r="AK19" s="3787" t="s">
        <v>4063</v>
      </c>
      <c r="AL19" s="3787">
        <v>482000</v>
      </c>
      <c r="AM19" s="3787">
        <v>4110.3599999999997</v>
      </c>
      <c r="AN19" s="3787">
        <v>4110.3599999999997</v>
      </c>
      <c r="AO19" s="3787">
        <v>27027</v>
      </c>
      <c r="AP19" s="3789">
        <v>27027</v>
      </c>
      <c r="AQ19" s="3787" t="s">
        <v>3470</v>
      </c>
      <c r="AR19" s="3787" t="s">
        <v>3470</v>
      </c>
      <c r="AS19" s="3787">
        <v>0</v>
      </c>
      <c r="AT19" s="3787" t="s">
        <v>4085</v>
      </c>
      <c r="AU19" s="3787">
        <v>554300</v>
      </c>
      <c r="AV19" s="3787" t="s">
        <v>3918</v>
      </c>
      <c r="AW19" s="3787">
        <v>59000</v>
      </c>
      <c r="AX19" s="3787">
        <v>31081</v>
      </c>
      <c r="AY19" s="3787">
        <v>15</v>
      </c>
      <c r="AZ19" s="3787">
        <v>31973</v>
      </c>
    </row>
    <row r="20" spans="1:52" hidden="1">
      <c r="A20" s="3787" t="s">
        <v>4084</v>
      </c>
      <c r="B20" s="3787" t="s">
        <v>3378</v>
      </c>
      <c r="C20" s="3787" t="s">
        <v>4083</v>
      </c>
      <c r="D20" s="3787" t="s">
        <v>3600</v>
      </c>
      <c r="E20" s="3787" t="s">
        <v>3599</v>
      </c>
      <c r="F20" s="3787" t="s">
        <v>4019</v>
      </c>
      <c r="G20" s="3787" t="s">
        <v>4082</v>
      </c>
      <c r="H20" s="3787" t="s">
        <v>3447</v>
      </c>
      <c r="I20" s="3787">
        <v>33500</v>
      </c>
      <c r="J20" s="3787">
        <v>85400</v>
      </c>
      <c r="K20" s="3787" t="s">
        <v>4081</v>
      </c>
      <c r="L20" s="3787" t="s">
        <v>3431</v>
      </c>
      <c r="M20" s="3787" t="s">
        <v>3595</v>
      </c>
      <c r="N20" s="3787" t="s">
        <v>4070</v>
      </c>
      <c r="O20" s="3787" t="s">
        <v>3472</v>
      </c>
      <c r="P20" s="3787" t="s">
        <v>3470</v>
      </c>
      <c r="Q20" s="3787" t="s">
        <v>4080</v>
      </c>
      <c r="R20" s="3787" t="s">
        <v>4079</v>
      </c>
      <c r="S20" s="3787" t="s">
        <v>3986</v>
      </c>
      <c r="T20" s="3787" t="s">
        <v>3470</v>
      </c>
      <c r="U20" s="3787" t="s">
        <v>3470</v>
      </c>
      <c r="V20" s="3787" t="s">
        <v>3470</v>
      </c>
      <c r="W20" s="3787" t="s">
        <v>3470</v>
      </c>
      <c r="X20" s="3787">
        <v>0</v>
      </c>
      <c r="Y20" s="3787">
        <v>0</v>
      </c>
      <c r="Z20" s="3790">
        <v>44568.000497685185</v>
      </c>
      <c r="AA20" s="3790">
        <v>44589.000497685185</v>
      </c>
      <c r="AB20" s="3790">
        <v>44608.000497685185</v>
      </c>
      <c r="AC20" s="3788">
        <v>44609.000497685185</v>
      </c>
      <c r="AD20" s="3787" t="s">
        <v>4078</v>
      </c>
      <c r="AE20" s="3787" t="s">
        <v>3434</v>
      </c>
      <c r="AF20" s="3787" t="s">
        <v>4077</v>
      </c>
      <c r="AG20" s="3787" t="s">
        <v>4076</v>
      </c>
      <c r="AH20" s="3787" t="s">
        <v>3616</v>
      </c>
      <c r="AI20" s="3787">
        <v>544000</v>
      </c>
      <c r="AJ20" s="3787">
        <v>109000</v>
      </c>
      <c r="AK20" s="3787" t="s">
        <v>4063</v>
      </c>
      <c r="AL20" s="3787">
        <v>571200</v>
      </c>
      <c r="AM20" s="3787">
        <v>10825.87</v>
      </c>
      <c r="AN20" s="3787">
        <v>11367.16</v>
      </c>
      <c r="AO20" s="3787">
        <v>63700</v>
      </c>
      <c r="AP20" s="3789">
        <v>66885</v>
      </c>
      <c r="AQ20" s="3787" t="s">
        <v>3470</v>
      </c>
      <c r="AR20" s="3787" t="s">
        <v>3470</v>
      </c>
      <c r="AS20" s="3787">
        <v>5</v>
      </c>
      <c r="AT20" s="3787" t="s">
        <v>4075</v>
      </c>
      <c r="AU20" s="3787">
        <v>571200</v>
      </c>
      <c r="AV20" s="3787" t="s">
        <v>3954</v>
      </c>
      <c r="AW20" s="3787">
        <v>109000</v>
      </c>
      <c r="AX20" s="3787">
        <v>66885</v>
      </c>
      <c r="AY20" s="3787">
        <v>5</v>
      </c>
      <c r="AZ20" s="3787">
        <v>45300</v>
      </c>
    </row>
    <row r="21" spans="1:52" hidden="1">
      <c r="A21" s="3787" t="s">
        <v>4074</v>
      </c>
      <c r="B21" s="3787" t="s">
        <v>3378</v>
      </c>
      <c r="C21" s="3787" t="s">
        <v>4073</v>
      </c>
      <c r="D21" s="3787" t="s">
        <v>3600</v>
      </c>
      <c r="E21" s="3787" t="s">
        <v>3613</v>
      </c>
      <c r="F21" s="3787" t="s">
        <v>3817</v>
      </c>
      <c r="G21" s="3787" t="s">
        <v>3816</v>
      </c>
      <c r="H21" s="3787" t="s">
        <v>3447</v>
      </c>
      <c r="I21" s="3787">
        <v>104108.28</v>
      </c>
      <c r="J21" s="3787">
        <v>211367.4</v>
      </c>
      <c r="K21" s="3787" t="s">
        <v>4072</v>
      </c>
      <c r="L21" s="3787" t="s">
        <v>3431</v>
      </c>
      <c r="M21" s="3787" t="s">
        <v>4071</v>
      </c>
      <c r="N21" s="3787" t="s">
        <v>4070</v>
      </c>
      <c r="O21" s="3787" t="s">
        <v>3472</v>
      </c>
      <c r="P21" s="3787" t="s">
        <v>4069</v>
      </c>
      <c r="Q21" s="3787" t="s">
        <v>4068</v>
      </c>
      <c r="R21" s="3787" t="s">
        <v>4067</v>
      </c>
      <c r="S21" s="3787" t="s">
        <v>3986</v>
      </c>
      <c r="T21" s="3787" t="s">
        <v>3470</v>
      </c>
      <c r="U21" s="3787" t="s">
        <v>3470</v>
      </c>
      <c r="V21" s="3787">
        <v>0</v>
      </c>
      <c r="W21" s="3787">
        <v>0</v>
      </c>
      <c r="X21" s="3787">
        <v>0</v>
      </c>
      <c r="Y21" s="3787">
        <v>0</v>
      </c>
      <c r="Z21" s="3790">
        <v>44568.000497685185</v>
      </c>
      <c r="AA21" s="3790">
        <v>44589.000497685185</v>
      </c>
      <c r="AB21" s="3790">
        <v>44608.000497685185</v>
      </c>
      <c r="AC21" s="3788">
        <v>44608.000497685185</v>
      </c>
      <c r="AD21" s="3787" t="s">
        <v>4066</v>
      </c>
      <c r="AE21" s="3787" t="s">
        <v>3434</v>
      </c>
      <c r="AF21" s="3787" t="s">
        <v>4065</v>
      </c>
      <c r="AG21" s="3787" t="s">
        <v>4064</v>
      </c>
      <c r="AH21" s="3787" t="s">
        <v>3694</v>
      </c>
      <c r="AI21" s="3787">
        <v>357000</v>
      </c>
      <c r="AJ21" s="3787">
        <v>72000</v>
      </c>
      <c r="AK21" s="3787" t="s">
        <v>4063</v>
      </c>
      <c r="AL21" s="3787">
        <v>357000</v>
      </c>
      <c r="AM21" s="3787">
        <v>2286.08</v>
      </c>
      <c r="AN21" s="3787">
        <v>2286.08</v>
      </c>
      <c r="AO21" s="3787">
        <v>16890</v>
      </c>
      <c r="AP21" s="3789">
        <v>16890</v>
      </c>
      <c r="AQ21" s="3787" t="s">
        <v>3470</v>
      </c>
      <c r="AR21" s="3787" t="s">
        <v>3470</v>
      </c>
      <c r="AS21" s="3787">
        <v>0</v>
      </c>
      <c r="AT21" s="3787" t="s">
        <v>4062</v>
      </c>
      <c r="AU21" s="3787">
        <v>410550</v>
      </c>
      <c r="AV21" s="3787" t="s">
        <v>3918</v>
      </c>
      <c r="AW21" s="3787">
        <v>66000</v>
      </c>
      <c r="AX21" s="3787">
        <v>19424</v>
      </c>
      <c r="AY21" s="3787">
        <v>15</v>
      </c>
      <c r="AZ21" s="3787">
        <v>49110</v>
      </c>
    </row>
    <row r="22" spans="1:52" hidden="1">
      <c r="A22" s="3787" t="s">
        <v>4061</v>
      </c>
      <c r="B22" s="3787" t="s">
        <v>3378</v>
      </c>
      <c r="C22" s="3787" t="s">
        <v>4060</v>
      </c>
      <c r="D22" s="3787" t="s">
        <v>3600</v>
      </c>
      <c r="E22" s="3787" t="s">
        <v>3739</v>
      </c>
      <c r="F22" s="3787" t="s">
        <v>3738</v>
      </c>
      <c r="G22" s="3787" t="s">
        <v>4059</v>
      </c>
      <c r="H22" s="3787" t="s">
        <v>3430</v>
      </c>
      <c r="I22" s="3787">
        <v>45509.77</v>
      </c>
      <c r="J22" s="3787">
        <v>113774</v>
      </c>
      <c r="K22" s="3787">
        <v>2.5</v>
      </c>
      <c r="L22" s="3787" t="s">
        <v>3431</v>
      </c>
      <c r="M22" s="3787" t="s">
        <v>3632</v>
      </c>
      <c r="N22" s="3787" t="s">
        <v>4058</v>
      </c>
      <c r="O22" s="3787" t="s">
        <v>3472</v>
      </c>
      <c r="P22" s="3787">
        <v>0.25</v>
      </c>
      <c r="Q22" s="3787">
        <v>45</v>
      </c>
      <c r="R22" s="3787" t="s">
        <v>4042</v>
      </c>
      <c r="S22" s="3787" t="s">
        <v>3996</v>
      </c>
      <c r="T22" s="3787" t="s">
        <v>4057</v>
      </c>
      <c r="U22" s="3787" t="s">
        <v>4005</v>
      </c>
      <c r="V22" s="3787" t="s">
        <v>3470</v>
      </c>
      <c r="W22" s="3787" t="s">
        <v>3470</v>
      </c>
      <c r="X22" s="3787">
        <v>0</v>
      </c>
      <c r="Y22" s="3787">
        <v>0</v>
      </c>
      <c r="Z22" s="3790">
        <v>44519.000497685185</v>
      </c>
      <c r="AA22" s="3790">
        <v>44540.000497685185</v>
      </c>
      <c r="AB22" s="3790">
        <v>44554.000497685185</v>
      </c>
      <c r="AC22" s="3788">
        <v>44557.000497685185</v>
      </c>
      <c r="AD22" s="3787" t="s">
        <v>4056</v>
      </c>
      <c r="AE22" s="3787" t="s">
        <v>3434</v>
      </c>
      <c r="AF22" s="3787" t="s">
        <v>4003</v>
      </c>
      <c r="AG22" s="3787" t="s">
        <v>3844</v>
      </c>
      <c r="AH22" s="3787" t="s">
        <v>3616</v>
      </c>
      <c r="AI22" s="3787">
        <v>162000</v>
      </c>
      <c r="AJ22" s="3787">
        <v>33000</v>
      </c>
      <c r="AK22" s="3787" t="s">
        <v>4055</v>
      </c>
      <c r="AL22" s="3787">
        <v>186300</v>
      </c>
      <c r="AM22" s="3787">
        <v>2373.12</v>
      </c>
      <c r="AN22" s="3787">
        <v>2729.08</v>
      </c>
      <c r="AO22" s="3787">
        <v>14239</v>
      </c>
      <c r="AP22" s="3789">
        <v>16375</v>
      </c>
      <c r="AQ22" s="3787" t="s">
        <v>3470</v>
      </c>
      <c r="AR22" s="3787" t="s">
        <v>3470</v>
      </c>
      <c r="AS22" s="3787">
        <v>15</v>
      </c>
      <c r="AT22" s="3787" t="s">
        <v>4054</v>
      </c>
      <c r="AU22" s="3787">
        <v>186300</v>
      </c>
      <c r="AV22" s="3787" t="s">
        <v>3954</v>
      </c>
      <c r="AW22" s="3787">
        <v>45000</v>
      </c>
      <c r="AX22" s="3787">
        <v>16375</v>
      </c>
      <c r="AY22" s="3787">
        <v>15</v>
      </c>
      <c r="AZ22" s="3787">
        <v>30761</v>
      </c>
    </row>
    <row r="23" spans="1:52" s="3482" customFormat="1">
      <c r="A23" s="3791" t="s">
        <v>4053</v>
      </c>
      <c r="B23" s="3791" t="s">
        <v>3378</v>
      </c>
      <c r="C23" s="3791" t="s">
        <v>3429</v>
      </c>
      <c r="D23" s="3791" t="s">
        <v>3600</v>
      </c>
      <c r="E23" s="3791" t="s">
        <v>3613</v>
      </c>
      <c r="F23" s="3791" t="s">
        <v>3624</v>
      </c>
      <c r="G23" s="3791" t="s">
        <v>4052</v>
      </c>
      <c r="H23" s="3791" t="s">
        <v>3430</v>
      </c>
      <c r="I23" s="3791">
        <v>40082.199999999997</v>
      </c>
      <c r="J23" s="3791">
        <v>60123.3</v>
      </c>
      <c r="K23" s="3791">
        <v>1.5</v>
      </c>
      <c r="L23" s="3791" t="s">
        <v>3431</v>
      </c>
      <c r="M23" s="3791" t="s">
        <v>4051</v>
      </c>
      <c r="N23" s="3791" t="s">
        <v>3433</v>
      </c>
      <c r="O23" s="3791" t="s">
        <v>3472</v>
      </c>
      <c r="P23" s="3791">
        <v>30</v>
      </c>
      <c r="Q23" s="3791" t="s">
        <v>3470</v>
      </c>
      <c r="R23" s="3791" t="s">
        <v>3470</v>
      </c>
      <c r="S23" s="3791" t="s">
        <v>3470</v>
      </c>
      <c r="T23" s="3791" t="s">
        <v>3470</v>
      </c>
      <c r="U23" s="3791" t="s">
        <v>3470</v>
      </c>
      <c r="V23" s="3791" t="s">
        <v>3470</v>
      </c>
      <c r="W23" s="3791" t="s">
        <v>3470</v>
      </c>
      <c r="X23" s="3791">
        <v>0</v>
      </c>
      <c r="Y23" s="3791">
        <v>0</v>
      </c>
      <c r="Z23" s="3792">
        <v>44516.000497685185</v>
      </c>
      <c r="AA23" s="3792">
        <v>44536.000497685185</v>
      </c>
      <c r="AB23" s="3792">
        <v>44550.000497685185</v>
      </c>
      <c r="AC23" s="3794">
        <v>44550.000497685185</v>
      </c>
      <c r="AD23" s="3791" t="s">
        <v>4050</v>
      </c>
      <c r="AE23" s="3791" t="s">
        <v>3434</v>
      </c>
      <c r="AF23" s="3791" t="s">
        <v>3435</v>
      </c>
      <c r="AG23" s="3791" t="s">
        <v>4049</v>
      </c>
      <c r="AH23" s="3791" t="s">
        <v>3654</v>
      </c>
      <c r="AI23" s="3791">
        <v>81924.009999999995</v>
      </c>
      <c r="AJ23" s="3791">
        <v>16400</v>
      </c>
      <c r="AK23" s="3791" t="s">
        <v>633</v>
      </c>
      <c r="AL23" s="3791">
        <v>81924.009999999995</v>
      </c>
      <c r="AM23" s="3791">
        <v>1362.6</v>
      </c>
      <c r="AN23" s="3791">
        <v>1362.6</v>
      </c>
      <c r="AO23" s="3791">
        <v>13626</v>
      </c>
      <c r="AP23" s="3793">
        <v>13626</v>
      </c>
      <c r="AQ23" s="3791" t="s">
        <v>3470</v>
      </c>
      <c r="AR23" s="3791" t="s">
        <v>3470</v>
      </c>
      <c r="AS23" s="3791">
        <v>0</v>
      </c>
      <c r="AT23" s="3791">
        <v>50</v>
      </c>
      <c r="AU23" s="3791" t="s">
        <v>3472</v>
      </c>
      <c r="AV23" s="3791" t="s">
        <v>3470</v>
      </c>
      <c r="AW23" s="3791" t="s">
        <v>3472</v>
      </c>
      <c r="AX23" s="3791" t="s">
        <v>3470</v>
      </c>
      <c r="AY23" s="3791" t="s">
        <v>3470</v>
      </c>
      <c r="AZ23" s="3791" t="s">
        <v>3470</v>
      </c>
    </row>
    <row r="24" spans="1:52" hidden="1">
      <c r="A24" s="3787" t="s">
        <v>4048</v>
      </c>
      <c r="B24" s="3787" t="s">
        <v>3378</v>
      </c>
      <c r="C24" s="3787" t="s">
        <v>4047</v>
      </c>
      <c r="D24" s="3787" t="s">
        <v>3600</v>
      </c>
      <c r="E24" s="3787" t="s">
        <v>3613</v>
      </c>
      <c r="F24" s="3787" t="s">
        <v>4046</v>
      </c>
      <c r="G24" s="3787" t="s">
        <v>3710</v>
      </c>
      <c r="H24" s="3787" t="s">
        <v>3447</v>
      </c>
      <c r="I24" s="3787">
        <v>54389.09</v>
      </c>
      <c r="J24" s="3787">
        <v>123172</v>
      </c>
      <c r="K24" s="3787" t="s">
        <v>4045</v>
      </c>
      <c r="L24" s="3787" t="s">
        <v>3431</v>
      </c>
      <c r="M24" s="3787" t="s">
        <v>4044</v>
      </c>
      <c r="N24" s="3787" t="s">
        <v>3997</v>
      </c>
      <c r="O24" s="3787">
        <v>1.79</v>
      </c>
      <c r="P24" s="3787" t="s">
        <v>4026</v>
      </c>
      <c r="Q24" s="3787" t="s">
        <v>4043</v>
      </c>
      <c r="R24" s="3787" t="s">
        <v>4042</v>
      </c>
      <c r="S24" s="3787" t="s">
        <v>4041</v>
      </c>
      <c r="T24" s="3787" t="s">
        <v>3470</v>
      </c>
      <c r="U24" s="3787" t="s">
        <v>3470</v>
      </c>
      <c r="V24" s="3787" t="s">
        <v>3470</v>
      </c>
      <c r="W24" s="3787" t="s">
        <v>3470</v>
      </c>
      <c r="X24" s="3787">
        <v>0</v>
      </c>
      <c r="Y24" s="3787">
        <v>0</v>
      </c>
      <c r="Z24" s="3790">
        <v>44438.000497685185</v>
      </c>
      <c r="AA24" s="3790">
        <v>44462.000497685185</v>
      </c>
      <c r="AB24" s="3790">
        <v>44482.000497685185</v>
      </c>
      <c r="AC24" s="3788">
        <v>44482.000497685185</v>
      </c>
      <c r="AD24" s="3787" t="s">
        <v>4040</v>
      </c>
      <c r="AE24" s="3787" t="s">
        <v>3434</v>
      </c>
      <c r="AF24" s="3787" t="s">
        <v>4039</v>
      </c>
      <c r="AG24" s="3787" t="s">
        <v>4038</v>
      </c>
      <c r="AH24" s="3787" t="s">
        <v>3616</v>
      </c>
      <c r="AI24" s="3787">
        <v>344000</v>
      </c>
      <c r="AJ24" s="3787">
        <v>69000</v>
      </c>
      <c r="AK24" s="3787" t="s">
        <v>3992</v>
      </c>
      <c r="AL24" s="3787">
        <v>378400</v>
      </c>
      <c r="AM24" s="3787">
        <v>4216.53</v>
      </c>
      <c r="AN24" s="3787">
        <v>4638.1899999999996</v>
      </c>
      <c r="AO24" s="3787">
        <v>27928</v>
      </c>
      <c r="AP24" s="3789">
        <v>30721</v>
      </c>
      <c r="AQ24" s="3787" t="s">
        <v>3470</v>
      </c>
      <c r="AR24" s="3787" t="s">
        <v>3470</v>
      </c>
      <c r="AS24" s="3787">
        <v>10</v>
      </c>
      <c r="AT24" s="3787" t="s">
        <v>3603</v>
      </c>
      <c r="AU24" s="3787">
        <v>378400</v>
      </c>
      <c r="AV24" s="3787" t="s">
        <v>3954</v>
      </c>
      <c r="AW24" s="3787">
        <v>59000</v>
      </c>
      <c r="AX24" s="3787">
        <v>30721</v>
      </c>
      <c r="AY24" s="3787">
        <v>10</v>
      </c>
      <c r="AZ24" s="3787">
        <v>31072</v>
      </c>
    </row>
    <row r="25" spans="1:52" hidden="1">
      <c r="A25" s="3787" t="s">
        <v>4037</v>
      </c>
      <c r="B25" s="3787" t="s">
        <v>3378</v>
      </c>
      <c r="C25" s="3787" t="s">
        <v>4036</v>
      </c>
      <c r="D25" s="3787" t="s">
        <v>3600</v>
      </c>
      <c r="E25" s="3787" t="s">
        <v>3599</v>
      </c>
      <c r="F25" s="3787" t="s">
        <v>3651</v>
      </c>
      <c r="G25" s="3787" t="s">
        <v>4018</v>
      </c>
      <c r="H25" s="3787" t="s">
        <v>3447</v>
      </c>
      <c r="I25" s="3787">
        <v>81852.240000000005</v>
      </c>
      <c r="J25" s="3787">
        <v>229603.29</v>
      </c>
      <c r="K25" s="3787">
        <v>2.81</v>
      </c>
      <c r="L25" s="3787" t="s">
        <v>3431</v>
      </c>
      <c r="M25" s="3787" t="s">
        <v>4035</v>
      </c>
      <c r="N25" s="3787" t="s">
        <v>3997</v>
      </c>
      <c r="O25" s="3787" t="s">
        <v>3472</v>
      </c>
      <c r="P25" s="3787">
        <v>0.3</v>
      </c>
      <c r="Q25" s="3787" t="s">
        <v>4034</v>
      </c>
      <c r="R25" s="3787" t="s">
        <v>3996</v>
      </c>
      <c r="S25" s="3787" t="s">
        <v>3986</v>
      </c>
      <c r="T25" s="3787" t="s">
        <v>3470</v>
      </c>
      <c r="U25" s="3787" t="s">
        <v>4033</v>
      </c>
      <c r="V25" s="3787">
        <v>128400</v>
      </c>
      <c r="W25" s="3787" t="s">
        <v>3470</v>
      </c>
      <c r="X25" s="3787">
        <v>0</v>
      </c>
      <c r="Y25" s="3787">
        <v>0</v>
      </c>
      <c r="Z25" s="3790">
        <v>44438.000497685185</v>
      </c>
      <c r="AA25" s="3790">
        <v>44462.000497685185</v>
      </c>
      <c r="AB25" s="3790">
        <v>44482.000497685185</v>
      </c>
      <c r="AC25" s="3788">
        <v>44482.000497685185</v>
      </c>
      <c r="AD25" s="3787" t="s">
        <v>4032</v>
      </c>
      <c r="AE25" s="3787" t="s">
        <v>3434</v>
      </c>
      <c r="AF25" s="3787" t="s">
        <v>4031</v>
      </c>
      <c r="AG25" s="3787" t="s">
        <v>4030</v>
      </c>
      <c r="AH25" s="3787" t="s">
        <v>3636</v>
      </c>
      <c r="AI25" s="3787">
        <v>429000</v>
      </c>
      <c r="AJ25" s="3787">
        <v>86000</v>
      </c>
      <c r="AK25" s="3787" t="s">
        <v>3992</v>
      </c>
      <c r="AL25" s="3787">
        <v>433400</v>
      </c>
      <c r="AM25" s="3787">
        <v>3494.1</v>
      </c>
      <c r="AN25" s="3787">
        <v>3529.94</v>
      </c>
      <c r="AO25" s="3787">
        <v>18684</v>
      </c>
      <c r="AP25" s="3789">
        <v>18876</v>
      </c>
      <c r="AQ25" s="3787">
        <v>42390</v>
      </c>
      <c r="AR25" s="3787" t="s">
        <v>3470</v>
      </c>
      <c r="AS25" s="3787">
        <v>1.03</v>
      </c>
      <c r="AT25" s="3787" t="s">
        <v>3991</v>
      </c>
      <c r="AU25" s="3787">
        <v>493350</v>
      </c>
      <c r="AV25" s="3787" t="s">
        <v>3918</v>
      </c>
      <c r="AW25" s="3787">
        <v>106000</v>
      </c>
      <c r="AX25" s="3787">
        <v>21487</v>
      </c>
      <c r="AY25" s="3787">
        <v>15</v>
      </c>
      <c r="AZ25" s="3787">
        <v>87316</v>
      </c>
    </row>
    <row r="26" spans="1:52" hidden="1">
      <c r="A26" s="3787" t="s">
        <v>4029</v>
      </c>
      <c r="B26" s="3787" t="s">
        <v>3378</v>
      </c>
      <c r="C26" s="3787" t="s">
        <v>4028</v>
      </c>
      <c r="D26" s="3787" t="s">
        <v>3600</v>
      </c>
      <c r="E26" s="3787" t="s">
        <v>3613</v>
      </c>
      <c r="F26" s="3787" t="s">
        <v>3817</v>
      </c>
      <c r="G26" s="3787" t="s">
        <v>3816</v>
      </c>
      <c r="H26" s="3787" t="s">
        <v>3430</v>
      </c>
      <c r="I26" s="3787">
        <v>71316.899999999994</v>
      </c>
      <c r="J26" s="3787">
        <v>178292.25</v>
      </c>
      <c r="K26" s="3787" t="s">
        <v>4027</v>
      </c>
      <c r="L26" s="3787" t="s">
        <v>3431</v>
      </c>
      <c r="M26" s="3787" t="s">
        <v>3632</v>
      </c>
      <c r="N26" s="3787" t="s">
        <v>3997</v>
      </c>
      <c r="O26" s="3787" t="s">
        <v>3472</v>
      </c>
      <c r="P26" s="3787" t="s">
        <v>4026</v>
      </c>
      <c r="Q26" s="3787" t="s">
        <v>3631</v>
      </c>
      <c r="R26" s="3787" t="s">
        <v>3996</v>
      </c>
      <c r="S26" s="3787" t="s">
        <v>3986</v>
      </c>
      <c r="T26" s="3787" t="s">
        <v>4006</v>
      </c>
      <c r="U26" s="3787" t="s">
        <v>4005</v>
      </c>
      <c r="V26" s="3787" t="s">
        <v>3470</v>
      </c>
      <c r="W26" s="3787" t="s">
        <v>3470</v>
      </c>
      <c r="X26" s="3787">
        <v>0</v>
      </c>
      <c r="Y26" s="3787">
        <v>0</v>
      </c>
      <c r="Z26" s="3790">
        <v>44438.000497685185</v>
      </c>
      <c r="AA26" s="3790">
        <v>44462.000497685185</v>
      </c>
      <c r="AB26" s="3790">
        <v>44481.000497685185</v>
      </c>
      <c r="AC26" s="3788">
        <v>44481.000497685185</v>
      </c>
      <c r="AD26" s="3787" t="s">
        <v>4025</v>
      </c>
      <c r="AE26" s="3787" t="s">
        <v>3434</v>
      </c>
      <c r="AF26" s="3787" t="s">
        <v>4024</v>
      </c>
      <c r="AG26" s="3787" t="s">
        <v>4023</v>
      </c>
      <c r="AH26" s="3787" t="s">
        <v>4022</v>
      </c>
      <c r="AI26" s="3787">
        <v>685000</v>
      </c>
      <c r="AJ26" s="3787">
        <v>137000</v>
      </c>
      <c r="AK26" s="3787" t="s">
        <v>3992</v>
      </c>
      <c r="AL26" s="3787">
        <v>685000</v>
      </c>
      <c r="AM26" s="3787">
        <v>6403.34</v>
      </c>
      <c r="AN26" s="3787">
        <v>6403.34</v>
      </c>
      <c r="AO26" s="3787">
        <v>38420</v>
      </c>
      <c r="AP26" s="3789">
        <v>38420</v>
      </c>
      <c r="AQ26" s="3787" t="s">
        <v>3470</v>
      </c>
      <c r="AR26" s="3787" t="s">
        <v>3470</v>
      </c>
      <c r="AS26" s="3787">
        <v>0</v>
      </c>
      <c r="AT26" s="3787" t="s">
        <v>3807</v>
      </c>
      <c r="AU26" s="3787">
        <v>787750</v>
      </c>
      <c r="AV26" s="3787" t="s">
        <v>3918</v>
      </c>
      <c r="AW26" s="3787">
        <v>66000</v>
      </c>
      <c r="AX26" s="3787">
        <v>44183</v>
      </c>
      <c r="AY26" s="3787">
        <v>15</v>
      </c>
      <c r="AZ26" s="3787">
        <v>27580</v>
      </c>
    </row>
    <row r="27" spans="1:52" hidden="1">
      <c r="A27" s="3787" t="s">
        <v>4021</v>
      </c>
      <c r="B27" s="3787" t="s">
        <v>3378</v>
      </c>
      <c r="C27" s="3787" t="s">
        <v>4020</v>
      </c>
      <c r="D27" s="3787" t="s">
        <v>3600</v>
      </c>
      <c r="E27" s="3787" t="s">
        <v>3599</v>
      </c>
      <c r="F27" s="3787" t="s">
        <v>4019</v>
      </c>
      <c r="G27" s="3787" t="s">
        <v>4018</v>
      </c>
      <c r="H27" s="3787" t="s">
        <v>3447</v>
      </c>
      <c r="I27" s="3787">
        <v>43632.26</v>
      </c>
      <c r="J27" s="3787">
        <v>101601</v>
      </c>
      <c r="K27" s="3787">
        <v>2.33</v>
      </c>
      <c r="L27" s="3787" t="s">
        <v>3431</v>
      </c>
      <c r="M27" s="3787" t="s">
        <v>4017</v>
      </c>
      <c r="N27" s="3787" t="s">
        <v>3997</v>
      </c>
      <c r="O27" s="3787">
        <v>12.48</v>
      </c>
      <c r="P27" s="3787" t="s">
        <v>3470</v>
      </c>
      <c r="Q27" s="3787" t="s">
        <v>3470</v>
      </c>
      <c r="R27" s="3787" t="s">
        <v>3996</v>
      </c>
      <c r="S27" s="3787" t="s">
        <v>3986</v>
      </c>
      <c r="T27" s="3787" t="s">
        <v>3470</v>
      </c>
      <c r="U27" s="3787" t="s">
        <v>3944</v>
      </c>
      <c r="V27" s="3787">
        <v>25700</v>
      </c>
      <c r="W27" s="3787" t="s">
        <v>3470</v>
      </c>
      <c r="X27" s="3787">
        <v>0</v>
      </c>
      <c r="Y27" s="3787">
        <v>0</v>
      </c>
      <c r="Z27" s="3790">
        <v>44438.000497685185</v>
      </c>
      <c r="AA27" s="3790">
        <v>44462.000497685185</v>
      </c>
      <c r="AB27" s="3790">
        <v>44482.000497685185</v>
      </c>
      <c r="AC27" s="3788">
        <v>44482.000497685185</v>
      </c>
      <c r="AD27" s="3787" t="s">
        <v>4016</v>
      </c>
      <c r="AE27" s="3787" t="s">
        <v>3434</v>
      </c>
      <c r="AF27" s="3787" t="s">
        <v>4015</v>
      </c>
      <c r="AG27" s="3787" t="s">
        <v>4014</v>
      </c>
      <c r="AH27" s="3787" t="s">
        <v>3790</v>
      </c>
      <c r="AI27" s="3787">
        <v>390000</v>
      </c>
      <c r="AJ27" s="3787">
        <v>78000</v>
      </c>
      <c r="AK27" s="3787" t="s">
        <v>3992</v>
      </c>
      <c r="AL27" s="3787">
        <v>418000</v>
      </c>
      <c r="AM27" s="3787">
        <v>5958.89</v>
      </c>
      <c r="AN27" s="3787">
        <v>6386.71</v>
      </c>
      <c r="AO27" s="3787">
        <v>38385</v>
      </c>
      <c r="AP27" s="3789">
        <v>41141</v>
      </c>
      <c r="AQ27" s="3787">
        <v>51383</v>
      </c>
      <c r="AR27" s="3787" t="s">
        <v>3470</v>
      </c>
      <c r="AS27" s="3787">
        <v>7.18</v>
      </c>
      <c r="AT27" s="3787" t="s">
        <v>4013</v>
      </c>
      <c r="AU27" s="3787">
        <v>448500</v>
      </c>
      <c r="AV27" s="3787" t="s">
        <v>3918</v>
      </c>
      <c r="AW27" s="3787">
        <v>112000</v>
      </c>
      <c r="AX27" s="3787">
        <v>44143</v>
      </c>
      <c r="AY27" s="3787">
        <v>15</v>
      </c>
      <c r="AZ27" s="3787">
        <v>73615</v>
      </c>
    </row>
    <row r="28" spans="1:52" hidden="1">
      <c r="A28" s="3787" t="s">
        <v>4012</v>
      </c>
      <c r="B28" s="3787" t="s">
        <v>3378</v>
      </c>
      <c r="C28" s="3787" t="s">
        <v>4011</v>
      </c>
      <c r="D28" s="3787" t="s">
        <v>3600</v>
      </c>
      <c r="E28" s="3787" t="s">
        <v>3739</v>
      </c>
      <c r="F28" s="3787" t="s">
        <v>3738</v>
      </c>
      <c r="G28" s="3787" t="s">
        <v>3909</v>
      </c>
      <c r="H28" s="3787" t="s">
        <v>3447</v>
      </c>
      <c r="I28" s="3787">
        <v>41530.480000000003</v>
      </c>
      <c r="J28" s="3787">
        <v>90206</v>
      </c>
      <c r="K28" s="3787" t="s">
        <v>4010</v>
      </c>
      <c r="L28" s="3787" t="s">
        <v>3431</v>
      </c>
      <c r="M28" s="3787" t="s">
        <v>4009</v>
      </c>
      <c r="N28" s="3787" t="s">
        <v>3997</v>
      </c>
      <c r="O28" s="3787" t="s">
        <v>3472</v>
      </c>
      <c r="P28" s="3787" t="s">
        <v>4008</v>
      </c>
      <c r="Q28" s="3787" t="s">
        <v>4007</v>
      </c>
      <c r="R28" s="3787" t="s">
        <v>3996</v>
      </c>
      <c r="S28" s="3787" t="s">
        <v>3986</v>
      </c>
      <c r="T28" s="3787" t="s">
        <v>4006</v>
      </c>
      <c r="U28" s="3787" t="s">
        <v>4005</v>
      </c>
      <c r="V28" s="3787" t="s">
        <v>3470</v>
      </c>
      <c r="W28" s="3787" t="s">
        <v>3470</v>
      </c>
      <c r="X28" s="3787">
        <v>0</v>
      </c>
      <c r="Y28" s="3787">
        <v>0</v>
      </c>
      <c r="Z28" s="3790">
        <v>44438.000497685185</v>
      </c>
      <c r="AA28" s="3790">
        <v>44462.000497685185</v>
      </c>
      <c r="AB28" s="3790">
        <v>44482.000497685185</v>
      </c>
      <c r="AC28" s="3788">
        <v>44482.000497685185</v>
      </c>
      <c r="AD28" s="3787" t="s">
        <v>4004</v>
      </c>
      <c r="AE28" s="3787" t="s">
        <v>3434</v>
      </c>
      <c r="AF28" s="3787" t="s">
        <v>4003</v>
      </c>
      <c r="AG28" s="3787" t="s">
        <v>3844</v>
      </c>
      <c r="AH28" s="3787" t="s">
        <v>3616</v>
      </c>
      <c r="AI28" s="3787">
        <v>135000</v>
      </c>
      <c r="AJ28" s="3787">
        <v>27000</v>
      </c>
      <c r="AK28" s="3787" t="s">
        <v>3992</v>
      </c>
      <c r="AL28" s="3787">
        <v>146000</v>
      </c>
      <c r="AM28" s="3787">
        <v>2167.08</v>
      </c>
      <c r="AN28" s="3787">
        <v>2343.66</v>
      </c>
      <c r="AO28" s="3787">
        <v>14966</v>
      </c>
      <c r="AP28" s="3789">
        <v>16185</v>
      </c>
      <c r="AQ28" s="3787" t="s">
        <v>3470</v>
      </c>
      <c r="AR28" s="3787" t="s">
        <v>3470</v>
      </c>
      <c r="AS28" s="3787">
        <v>8.15</v>
      </c>
      <c r="AT28" s="3787" t="s">
        <v>4002</v>
      </c>
      <c r="AU28" s="3787">
        <v>155250</v>
      </c>
      <c r="AV28" s="3787" t="s">
        <v>3918</v>
      </c>
      <c r="AW28" s="3787">
        <v>45000</v>
      </c>
      <c r="AX28" s="3787">
        <v>17211</v>
      </c>
      <c r="AY28" s="3787">
        <v>15</v>
      </c>
      <c r="AZ28" s="3787">
        <v>30034</v>
      </c>
    </row>
    <row r="29" spans="1:52" hidden="1">
      <c r="A29" s="3787" t="s">
        <v>4001</v>
      </c>
      <c r="B29" s="3787" t="s">
        <v>3378</v>
      </c>
      <c r="C29" s="3787" t="s">
        <v>4000</v>
      </c>
      <c r="D29" s="3787" t="s">
        <v>3600</v>
      </c>
      <c r="E29" s="3787" t="s">
        <v>3739</v>
      </c>
      <c r="F29" s="3787" t="s">
        <v>3999</v>
      </c>
      <c r="G29" s="3787" t="s">
        <v>3998</v>
      </c>
      <c r="H29" s="3787" t="s">
        <v>3430</v>
      </c>
      <c r="I29" s="3787">
        <v>72250</v>
      </c>
      <c r="J29" s="3787">
        <v>79475</v>
      </c>
      <c r="K29" s="3787">
        <v>1.1000000000000001</v>
      </c>
      <c r="L29" s="3787" t="s">
        <v>3431</v>
      </c>
      <c r="M29" s="3787" t="s">
        <v>3632</v>
      </c>
      <c r="N29" s="3787" t="s">
        <v>3997</v>
      </c>
      <c r="O29" s="3787" t="s">
        <v>3472</v>
      </c>
      <c r="P29" s="3787" t="s">
        <v>3470</v>
      </c>
      <c r="Q29" s="3787" t="s">
        <v>3470</v>
      </c>
      <c r="R29" s="3787" t="s">
        <v>3996</v>
      </c>
      <c r="S29" s="3787" t="s">
        <v>3986</v>
      </c>
      <c r="T29" s="3787" t="s">
        <v>3470</v>
      </c>
      <c r="U29" s="3787" t="s">
        <v>3470</v>
      </c>
      <c r="V29" s="3787" t="s">
        <v>3470</v>
      </c>
      <c r="W29" s="3787" t="s">
        <v>3470</v>
      </c>
      <c r="X29" s="3787">
        <v>0</v>
      </c>
      <c r="Y29" s="3787">
        <v>0</v>
      </c>
      <c r="Z29" s="3790">
        <v>44438.000497685185</v>
      </c>
      <c r="AA29" s="3790">
        <v>44462.000497685185</v>
      </c>
      <c r="AB29" s="3790">
        <v>44481.000497685185</v>
      </c>
      <c r="AC29" s="3788">
        <v>44481.000497685185</v>
      </c>
      <c r="AD29" s="3787" t="s">
        <v>3995</v>
      </c>
      <c r="AE29" s="3787" t="s">
        <v>3434</v>
      </c>
      <c r="AF29" s="3787" t="s">
        <v>3994</v>
      </c>
      <c r="AG29" s="3787" t="s">
        <v>3993</v>
      </c>
      <c r="AH29" s="3787" t="s">
        <v>3654</v>
      </c>
      <c r="AI29" s="3787">
        <v>98300</v>
      </c>
      <c r="AJ29" s="3787">
        <v>20000</v>
      </c>
      <c r="AK29" s="3787" t="s">
        <v>3992</v>
      </c>
      <c r="AL29" s="3787">
        <v>98300</v>
      </c>
      <c r="AM29" s="3787">
        <v>907.04</v>
      </c>
      <c r="AN29" s="3787">
        <v>907.04</v>
      </c>
      <c r="AO29" s="3787">
        <v>12369</v>
      </c>
      <c r="AP29" s="3789">
        <v>12369</v>
      </c>
      <c r="AQ29" s="3787" t="s">
        <v>3470</v>
      </c>
      <c r="AR29" s="3787" t="s">
        <v>3470</v>
      </c>
      <c r="AS29" s="3787">
        <v>0</v>
      </c>
      <c r="AT29" s="3787" t="s">
        <v>3991</v>
      </c>
      <c r="AU29" s="3787">
        <v>103215</v>
      </c>
      <c r="AV29" s="3787" t="s">
        <v>3918</v>
      </c>
      <c r="AW29" s="3787">
        <v>27000</v>
      </c>
      <c r="AX29" s="3787">
        <v>12987</v>
      </c>
      <c r="AY29" s="3787">
        <v>5</v>
      </c>
      <c r="AZ29" s="3787">
        <v>14631</v>
      </c>
    </row>
    <row r="30" spans="1:52" hidden="1">
      <c r="A30" s="3787" t="s">
        <v>3990</v>
      </c>
      <c r="B30" s="3787" t="s">
        <v>3378</v>
      </c>
      <c r="C30" s="3787" t="s">
        <v>3989</v>
      </c>
      <c r="D30" s="3787" t="s">
        <v>3600</v>
      </c>
      <c r="E30" s="3787" t="s">
        <v>3739</v>
      </c>
      <c r="F30" s="3787" t="s">
        <v>3863</v>
      </c>
      <c r="G30" s="3787" t="s">
        <v>3862</v>
      </c>
      <c r="H30" s="3787" t="s">
        <v>3447</v>
      </c>
      <c r="I30" s="3787">
        <v>40514.839999999997</v>
      </c>
      <c r="J30" s="3787">
        <v>92680</v>
      </c>
      <c r="K30" s="3787" t="s">
        <v>3988</v>
      </c>
      <c r="L30" s="3787" t="s">
        <v>3767</v>
      </c>
      <c r="M30" s="3787" t="s">
        <v>3973</v>
      </c>
      <c r="N30" s="3787" t="s">
        <v>3925</v>
      </c>
      <c r="O30" s="3787" t="s">
        <v>3472</v>
      </c>
      <c r="P30" s="3787" t="s">
        <v>3594</v>
      </c>
      <c r="Q30" s="3787" t="s">
        <v>3987</v>
      </c>
      <c r="R30" s="3787" t="s">
        <v>3986</v>
      </c>
      <c r="S30" s="3787" t="s">
        <v>3659</v>
      </c>
      <c r="T30" s="3787" t="s">
        <v>3945</v>
      </c>
      <c r="U30" s="3787" t="s">
        <v>3944</v>
      </c>
      <c r="V30" s="3787">
        <v>25775.56</v>
      </c>
      <c r="W30" s="3787">
        <v>0</v>
      </c>
      <c r="X30" s="3787">
        <v>0</v>
      </c>
      <c r="Y30" s="3787">
        <v>25775.56</v>
      </c>
      <c r="Z30" s="3790">
        <v>44286.000497685185</v>
      </c>
      <c r="AA30" s="3790">
        <v>44308.000497685185</v>
      </c>
      <c r="AB30" s="3790">
        <v>44308.000497685185</v>
      </c>
      <c r="AC30" s="3788">
        <v>44308.000497685185</v>
      </c>
      <c r="AD30" s="3787" t="s">
        <v>3985</v>
      </c>
      <c r="AE30" s="3787" t="s">
        <v>3434</v>
      </c>
      <c r="AF30" s="3787" t="s">
        <v>3984</v>
      </c>
      <c r="AG30" s="3787" t="s">
        <v>3955</v>
      </c>
      <c r="AH30" s="3787" t="s">
        <v>3654</v>
      </c>
      <c r="AI30" s="3787" t="s">
        <v>3470</v>
      </c>
      <c r="AJ30" s="3787">
        <v>15000</v>
      </c>
      <c r="AK30" s="3787" t="s">
        <v>3983</v>
      </c>
      <c r="AL30" s="3787">
        <v>75000</v>
      </c>
      <c r="AM30" s="3787" t="s">
        <v>3470</v>
      </c>
      <c r="AN30" s="3787">
        <v>1234.1199999999999</v>
      </c>
      <c r="AO30" s="3787" t="s">
        <v>3470</v>
      </c>
      <c r="AP30" s="3789">
        <v>8092</v>
      </c>
      <c r="AQ30" s="3787" t="s">
        <v>3470</v>
      </c>
      <c r="AR30" s="3787" t="s">
        <v>3470</v>
      </c>
      <c r="AS30" s="3787">
        <v>0</v>
      </c>
      <c r="AT30" s="3787" t="s">
        <v>3627</v>
      </c>
      <c r="AU30" s="3787">
        <v>403700</v>
      </c>
      <c r="AV30" s="3787" t="s">
        <v>3918</v>
      </c>
      <c r="AW30" s="3787">
        <v>27000</v>
      </c>
      <c r="AX30" s="3787">
        <v>43558</v>
      </c>
      <c r="AY30" s="3787" t="s">
        <v>3470</v>
      </c>
      <c r="AZ30" s="3787" t="s">
        <v>3470</v>
      </c>
    </row>
    <row r="31" spans="1:52" hidden="1">
      <c r="A31" s="3787" t="s">
        <v>3982</v>
      </c>
      <c r="B31" s="3787" t="s">
        <v>3378</v>
      </c>
      <c r="C31" s="3787" t="s">
        <v>3981</v>
      </c>
      <c r="D31" s="3787" t="s">
        <v>3600</v>
      </c>
      <c r="E31" s="3787" t="s">
        <v>3599</v>
      </c>
      <c r="F31" s="3787" t="s">
        <v>3749</v>
      </c>
      <c r="G31" s="3787" t="s">
        <v>3980</v>
      </c>
      <c r="H31" s="3787" t="s">
        <v>3430</v>
      </c>
      <c r="I31" s="3787">
        <v>74400.31</v>
      </c>
      <c r="J31" s="3787">
        <v>171120.71</v>
      </c>
      <c r="K31" s="3787" t="s">
        <v>3915</v>
      </c>
      <c r="L31" s="3787" t="s">
        <v>3431</v>
      </c>
      <c r="M31" s="3787" t="s">
        <v>3632</v>
      </c>
      <c r="N31" s="3787" t="s">
        <v>3925</v>
      </c>
      <c r="O31" s="3787" t="s">
        <v>3472</v>
      </c>
      <c r="P31" s="3787" t="s">
        <v>3594</v>
      </c>
      <c r="Q31" s="3787" t="s">
        <v>3898</v>
      </c>
      <c r="R31" s="3787" t="s">
        <v>3959</v>
      </c>
      <c r="S31" s="3787" t="s">
        <v>3958</v>
      </c>
      <c r="T31" s="3787" t="s">
        <v>3945</v>
      </c>
      <c r="U31" s="3787" t="s">
        <v>3944</v>
      </c>
      <c r="V31" s="3787">
        <v>1000</v>
      </c>
      <c r="W31" s="3787">
        <v>33500</v>
      </c>
      <c r="X31" s="3787">
        <v>0</v>
      </c>
      <c r="Y31" s="3787">
        <v>0</v>
      </c>
      <c r="Z31" s="3790">
        <v>44286.000497685185</v>
      </c>
      <c r="AA31" s="3790">
        <v>44308.000497685185</v>
      </c>
      <c r="AB31" s="3790">
        <v>44324.000497685185</v>
      </c>
      <c r="AC31" s="3788">
        <v>44327.000497685185</v>
      </c>
      <c r="AD31" s="3787" t="s">
        <v>3979</v>
      </c>
      <c r="AE31" s="3787" t="s">
        <v>3434</v>
      </c>
      <c r="AF31" s="3787" t="s">
        <v>3978</v>
      </c>
      <c r="AG31" s="3787" t="s">
        <v>3977</v>
      </c>
      <c r="AH31" s="3787" t="s">
        <v>3976</v>
      </c>
      <c r="AI31" s="3787">
        <v>590000</v>
      </c>
      <c r="AJ31" s="3787">
        <v>120000</v>
      </c>
      <c r="AK31" s="3787" t="s">
        <v>3919</v>
      </c>
      <c r="AL31" s="3787">
        <v>620000</v>
      </c>
      <c r="AM31" s="3787">
        <v>5286.72</v>
      </c>
      <c r="AN31" s="3787">
        <v>5555.53</v>
      </c>
      <c r="AO31" s="3787">
        <v>34479</v>
      </c>
      <c r="AP31" s="3789">
        <v>36232</v>
      </c>
      <c r="AQ31" s="3787">
        <v>34681</v>
      </c>
      <c r="AR31" s="3787">
        <v>45051</v>
      </c>
      <c r="AS31" s="3787">
        <v>5.08</v>
      </c>
      <c r="AT31" s="3787" t="s">
        <v>3627</v>
      </c>
      <c r="AU31" s="3787">
        <v>620000</v>
      </c>
      <c r="AV31" s="3787" t="s">
        <v>3954</v>
      </c>
      <c r="AW31" s="3787" t="s">
        <v>3472</v>
      </c>
      <c r="AX31" s="3787">
        <v>36232</v>
      </c>
      <c r="AY31" s="3787">
        <v>5.08</v>
      </c>
      <c r="AZ31" s="3787" t="s">
        <v>3470</v>
      </c>
    </row>
    <row r="32" spans="1:52" hidden="1">
      <c r="A32" s="3787" t="s">
        <v>3975</v>
      </c>
      <c r="B32" s="3787" t="s">
        <v>3378</v>
      </c>
      <c r="C32" s="3787" t="s">
        <v>3974</v>
      </c>
      <c r="D32" s="3787" t="s">
        <v>3600</v>
      </c>
      <c r="E32" s="3787" t="s">
        <v>3613</v>
      </c>
      <c r="F32" s="3787" t="s">
        <v>3951</v>
      </c>
      <c r="G32" s="3787" t="s">
        <v>3950</v>
      </c>
      <c r="H32" s="3787" t="s">
        <v>3447</v>
      </c>
      <c r="I32" s="3787">
        <v>94973.86</v>
      </c>
      <c r="J32" s="3787">
        <v>192900</v>
      </c>
      <c r="K32" s="3787" t="s">
        <v>3480</v>
      </c>
      <c r="L32" s="3787" t="s">
        <v>3431</v>
      </c>
      <c r="M32" s="3787" t="s">
        <v>3973</v>
      </c>
      <c r="N32" s="3787" t="s">
        <v>3925</v>
      </c>
      <c r="O32" s="3787" t="s">
        <v>3472</v>
      </c>
      <c r="P32" s="3787" t="s">
        <v>3470</v>
      </c>
      <c r="Q32" s="3787" t="s">
        <v>3972</v>
      </c>
      <c r="R32" s="3787" t="s">
        <v>3971</v>
      </c>
      <c r="S32" s="3787" t="s">
        <v>3970</v>
      </c>
      <c r="T32" s="3787" t="s">
        <v>3945</v>
      </c>
      <c r="U32" s="3787" t="s">
        <v>3944</v>
      </c>
      <c r="V32" s="3787" t="s">
        <v>3470</v>
      </c>
      <c r="W32" s="3787">
        <v>1000</v>
      </c>
      <c r="X32" s="3787">
        <v>0</v>
      </c>
      <c r="Y32" s="3787">
        <v>0</v>
      </c>
      <c r="Z32" s="3790">
        <v>44286.000497685185</v>
      </c>
      <c r="AA32" s="3790">
        <v>44308.000497685185</v>
      </c>
      <c r="AB32" s="3790">
        <v>44324.000497685185</v>
      </c>
      <c r="AC32" s="3788">
        <v>44327.000497685185</v>
      </c>
      <c r="AD32" s="3787" t="s">
        <v>3969</v>
      </c>
      <c r="AE32" s="3787" t="s">
        <v>3434</v>
      </c>
      <c r="AF32" s="3787" t="s">
        <v>3968</v>
      </c>
      <c r="AG32" s="3787" t="s">
        <v>3967</v>
      </c>
      <c r="AH32" s="3787" t="s">
        <v>3616</v>
      </c>
      <c r="AI32" s="3787">
        <v>595000</v>
      </c>
      <c r="AJ32" s="3787">
        <v>119000</v>
      </c>
      <c r="AK32" s="3787" t="s">
        <v>3919</v>
      </c>
      <c r="AL32" s="3787">
        <v>625000</v>
      </c>
      <c r="AM32" s="3787">
        <v>4176.59</v>
      </c>
      <c r="AN32" s="3787">
        <v>4387.17</v>
      </c>
      <c r="AO32" s="3787">
        <v>30845</v>
      </c>
      <c r="AP32" s="3789">
        <v>32400</v>
      </c>
      <c r="AQ32" s="3787" t="s">
        <v>3470</v>
      </c>
      <c r="AR32" s="3787">
        <v>32569</v>
      </c>
      <c r="AS32" s="3787">
        <v>5.04</v>
      </c>
      <c r="AT32" s="3787" t="s">
        <v>3627</v>
      </c>
      <c r="AU32" s="3787">
        <v>625000</v>
      </c>
      <c r="AV32" s="3787" t="s">
        <v>3954</v>
      </c>
      <c r="AW32" s="3787" t="s">
        <v>3472</v>
      </c>
      <c r="AX32" s="3787">
        <v>32400</v>
      </c>
      <c r="AY32" s="3787">
        <v>5.04</v>
      </c>
      <c r="AZ32" s="3787" t="s">
        <v>3470</v>
      </c>
    </row>
    <row r="33" spans="1:52" hidden="1">
      <c r="A33" s="3787" t="s">
        <v>3966</v>
      </c>
      <c r="B33" s="3787" t="s">
        <v>3378</v>
      </c>
      <c r="C33" s="3787" t="s">
        <v>3965</v>
      </c>
      <c r="D33" s="3787" t="s">
        <v>3600</v>
      </c>
      <c r="E33" s="3787" t="s">
        <v>3613</v>
      </c>
      <c r="F33" s="3787" t="s">
        <v>3817</v>
      </c>
      <c r="G33" s="3787" t="s">
        <v>3964</v>
      </c>
      <c r="H33" s="3787" t="s">
        <v>3447</v>
      </c>
      <c r="I33" s="3787">
        <v>38598.46</v>
      </c>
      <c r="J33" s="3787">
        <v>82574</v>
      </c>
      <c r="K33" s="3787" t="s">
        <v>3963</v>
      </c>
      <c r="L33" s="3787" t="s">
        <v>3431</v>
      </c>
      <c r="M33" s="3787" t="s">
        <v>3962</v>
      </c>
      <c r="N33" s="3787" t="s">
        <v>3925</v>
      </c>
      <c r="O33" s="3787" t="s">
        <v>3472</v>
      </c>
      <c r="P33" s="3787" t="s">
        <v>3961</v>
      </c>
      <c r="Q33" s="3787" t="s">
        <v>3960</v>
      </c>
      <c r="R33" s="3787" t="s">
        <v>3959</v>
      </c>
      <c r="S33" s="3787" t="s">
        <v>3958</v>
      </c>
      <c r="T33" s="3787" t="s">
        <v>3945</v>
      </c>
      <c r="U33" s="3787" t="s">
        <v>3944</v>
      </c>
      <c r="V33" s="3787">
        <v>12810</v>
      </c>
      <c r="W33" s="3787">
        <v>28810</v>
      </c>
      <c r="X33" s="3787">
        <v>0</v>
      </c>
      <c r="Y33" s="3787">
        <v>0</v>
      </c>
      <c r="Z33" s="3790">
        <v>44286.000497685185</v>
      </c>
      <c r="AA33" s="3790">
        <v>44308.000497685185</v>
      </c>
      <c r="AB33" s="3790">
        <v>44324.000497685185</v>
      </c>
      <c r="AC33" s="3788">
        <v>44327.000497685185</v>
      </c>
      <c r="AD33" s="3787" t="s">
        <v>3957</v>
      </c>
      <c r="AE33" s="3787" t="s">
        <v>3434</v>
      </c>
      <c r="AF33" s="3787" t="s">
        <v>3956</v>
      </c>
      <c r="AG33" s="3787" t="s">
        <v>3955</v>
      </c>
      <c r="AH33" s="3787" t="s">
        <v>3654</v>
      </c>
      <c r="AI33" s="3787">
        <v>142000</v>
      </c>
      <c r="AJ33" s="3787">
        <v>29000</v>
      </c>
      <c r="AK33" s="3787" t="s">
        <v>3919</v>
      </c>
      <c r="AL33" s="3787">
        <v>163000</v>
      </c>
      <c r="AM33" s="3787">
        <v>2452.6</v>
      </c>
      <c r="AN33" s="3787">
        <v>2815.31</v>
      </c>
      <c r="AO33" s="3787">
        <v>17197</v>
      </c>
      <c r="AP33" s="3789">
        <v>19740</v>
      </c>
      <c r="AQ33" s="3787">
        <v>20354</v>
      </c>
      <c r="AR33" s="3787">
        <v>30318</v>
      </c>
      <c r="AS33" s="3787">
        <v>14.79</v>
      </c>
      <c r="AT33" s="3787" t="s">
        <v>3627</v>
      </c>
      <c r="AU33" s="3787">
        <v>163000</v>
      </c>
      <c r="AV33" s="3787" t="s">
        <v>3954</v>
      </c>
      <c r="AW33" s="3787" t="s">
        <v>3472</v>
      </c>
      <c r="AX33" s="3787">
        <v>19740</v>
      </c>
      <c r="AY33" s="3787">
        <v>14.79</v>
      </c>
      <c r="AZ33" s="3787" t="s">
        <v>3470</v>
      </c>
    </row>
    <row r="34" spans="1:52" hidden="1">
      <c r="A34" s="3787" t="s">
        <v>3953</v>
      </c>
      <c r="B34" s="3787" t="s">
        <v>3378</v>
      </c>
      <c r="C34" s="3787" t="s">
        <v>3952</v>
      </c>
      <c r="D34" s="3787" t="s">
        <v>3600</v>
      </c>
      <c r="E34" s="3787" t="s">
        <v>3613</v>
      </c>
      <c r="F34" s="3787" t="s">
        <v>3951</v>
      </c>
      <c r="G34" s="3787" t="s">
        <v>3950</v>
      </c>
      <c r="H34" s="3787" t="s">
        <v>3447</v>
      </c>
      <c r="I34" s="3787">
        <v>108243.94</v>
      </c>
      <c r="J34" s="3787">
        <v>262360.75</v>
      </c>
      <c r="K34" s="3787" t="s">
        <v>3949</v>
      </c>
      <c r="L34" s="3787" t="s">
        <v>3431</v>
      </c>
      <c r="M34" s="3787" t="s">
        <v>3948</v>
      </c>
      <c r="N34" s="3787" t="s">
        <v>3925</v>
      </c>
      <c r="O34" s="3787">
        <v>5.28</v>
      </c>
      <c r="P34" s="3787" t="s">
        <v>3470</v>
      </c>
      <c r="Q34" s="3787" t="s">
        <v>3470</v>
      </c>
      <c r="R34" s="3787" t="s">
        <v>3947</v>
      </c>
      <c r="S34" s="3787" t="s">
        <v>3946</v>
      </c>
      <c r="T34" s="3787" t="s">
        <v>3945</v>
      </c>
      <c r="U34" s="3787" t="s">
        <v>3944</v>
      </c>
      <c r="V34" s="3787" t="s">
        <v>3470</v>
      </c>
      <c r="W34" s="3787">
        <v>0</v>
      </c>
      <c r="X34" s="3787">
        <v>0</v>
      </c>
      <c r="Y34" s="3787">
        <v>0</v>
      </c>
      <c r="Z34" s="3790">
        <v>44286.000497685185</v>
      </c>
      <c r="AA34" s="3790">
        <v>44308.000497685185</v>
      </c>
      <c r="AB34" s="3790">
        <v>44324.000497685185</v>
      </c>
      <c r="AC34" s="3788">
        <v>44324.000497685185</v>
      </c>
      <c r="AD34" s="3787" t="s">
        <v>3943</v>
      </c>
      <c r="AE34" s="3787" t="s">
        <v>3434</v>
      </c>
      <c r="AF34" s="3787" t="s">
        <v>3942</v>
      </c>
      <c r="AG34" s="3787" t="s">
        <v>3941</v>
      </c>
      <c r="AH34" s="3787" t="s">
        <v>3940</v>
      </c>
      <c r="AI34" s="3787">
        <v>452000</v>
      </c>
      <c r="AJ34" s="3787">
        <v>91000</v>
      </c>
      <c r="AK34" s="3787" t="s">
        <v>3919</v>
      </c>
      <c r="AL34" s="3787">
        <v>452000</v>
      </c>
      <c r="AM34" s="3787">
        <v>2783.84</v>
      </c>
      <c r="AN34" s="3787">
        <v>2783.84</v>
      </c>
      <c r="AO34" s="3787">
        <v>17228</v>
      </c>
      <c r="AP34" s="3789">
        <v>17228</v>
      </c>
      <c r="AQ34" s="3787" t="s">
        <v>3470</v>
      </c>
      <c r="AR34" s="3787" t="s">
        <v>3470</v>
      </c>
      <c r="AS34" s="3787">
        <v>0</v>
      </c>
      <c r="AT34" s="3787" t="s">
        <v>3627</v>
      </c>
      <c r="AU34" s="3787">
        <v>497000</v>
      </c>
      <c r="AV34" s="3787" t="s">
        <v>3918</v>
      </c>
      <c r="AW34" s="3787" t="s">
        <v>3472</v>
      </c>
      <c r="AX34" s="3787">
        <v>18943</v>
      </c>
      <c r="AY34" s="3787">
        <v>9.9600000000000009</v>
      </c>
      <c r="AZ34" s="3787" t="s">
        <v>3470</v>
      </c>
    </row>
    <row r="35" spans="1:52" hidden="1">
      <c r="A35" s="3787" t="s">
        <v>3939</v>
      </c>
      <c r="B35" s="3787" t="s">
        <v>3378</v>
      </c>
      <c r="C35" s="3787" t="s">
        <v>3938</v>
      </c>
      <c r="D35" s="3787" t="s">
        <v>3600</v>
      </c>
      <c r="E35" s="3787" t="s">
        <v>3599</v>
      </c>
      <c r="F35" s="3787" t="s">
        <v>3598</v>
      </c>
      <c r="G35" s="3787" t="s">
        <v>3937</v>
      </c>
      <c r="H35" s="3787" t="s">
        <v>3430</v>
      </c>
      <c r="I35" s="3787">
        <v>90083.7</v>
      </c>
      <c r="J35" s="3787">
        <v>126117.18</v>
      </c>
      <c r="K35" s="3787" t="s">
        <v>3936</v>
      </c>
      <c r="L35" s="3787" t="s">
        <v>3431</v>
      </c>
      <c r="M35" s="3787" t="s">
        <v>3632</v>
      </c>
      <c r="N35" s="3787" t="s">
        <v>3925</v>
      </c>
      <c r="O35" s="3787" t="s">
        <v>3472</v>
      </c>
      <c r="P35" s="3787" t="s">
        <v>3935</v>
      </c>
      <c r="Q35" s="3787" t="s">
        <v>3934</v>
      </c>
      <c r="R35" s="3787" t="s">
        <v>3933</v>
      </c>
      <c r="S35" s="3787" t="s">
        <v>3591</v>
      </c>
      <c r="T35" s="3787" t="s">
        <v>3470</v>
      </c>
      <c r="U35" s="3787" t="s">
        <v>3470</v>
      </c>
      <c r="V35" s="3787">
        <v>0</v>
      </c>
      <c r="W35" s="3787">
        <v>0</v>
      </c>
      <c r="X35" s="3787">
        <v>0</v>
      </c>
      <c r="Y35" s="3787">
        <v>0</v>
      </c>
      <c r="Z35" s="3790">
        <v>44286.000497685185</v>
      </c>
      <c r="AA35" s="3790">
        <v>44308.000497685185</v>
      </c>
      <c r="AB35" s="3790">
        <v>44324.000497685185</v>
      </c>
      <c r="AC35" s="3788">
        <v>44327.000497685185</v>
      </c>
      <c r="AD35" s="3787" t="s">
        <v>3932</v>
      </c>
      <c r="AE35" s="3787" t="s">
        <v>3434</v>
      </c>
      <c r="AF35" s="3787" t="s">
        <v>3931</v>
      </c>
      <c r="AG35" s="3787" t="s">
        <v>3930</v>
      </c>
      <c r="AH35" s="3787" t="s">
        <v>3616</v>
      </c>
      <c r="AI35" s="3787">
        <v>367000</v>
      </c>
      <c r="AJ35" s="3787">
        <v>75000</v>
      </c>
      <c r="AK35" s="3787" t="s">
        <v>3919</v>
      </c>
      <c r="AL35" s="3787">
        <v>371000</v>
      </c>
      <c r="AM35" s="3787">
        <v>2715.99</v>
      </c>
      <c r="AN35" s="3787">
        <v>2745.59</v>
      </c>
      <c r="AO35" s="3787">
        <v>29100</v>
      </c>
      <c r="AP35" s="3789">
        <v>29417</v>
      </c>
      <c r="AQ35" s="3787" t="s">
        <v>3470</v>
      </c>
      <c r="AR35" s="3787" t="s">
        <v>3470</v>
      </c>
      <c r="AS35" s="3787">
        <v>1.0900000000000001</v>
      </c>
      <c r="AT35" s="3787" t="s">
        <v>3627</v>
      </c>
      <c r="AU35" s="3787">
        <v>403700</v>
      </c>
      <c r="AV35" s="3787" t="s">
        <v>3918</v>
      </c>
      <c r="AW35" s="3787" t="s">
        <v>3472</v>
      </c>
      <c r="AX35" s="3787">
        <v>32010</v>
      </c>
      <c r="AY35" s="3787">
        <v>10</v>
      </c>
      <c r="AZ35" s="3787" t="s">
        <v>3470</v>
      </c>
    </row>
    <row r="36" spans="1:52" hidden="1">
      <c r="A36" s="3787" t="s">
        <v>3929</v>
      </c>
      <c r="B36" s="3787" t="s">
        <v>3378</v>
      </c>
      <c r="C36" s="3787" t="s">
        <v>3928</v>
      </c>
      <c r="D36" s="3787" t="s">
        <v>3600</v>
      </c>
      <c r="E36" s="3787" t="s">
        <v>3613</v>
      </c>
      <c r="F36" s="3787" t="s">
        <v>3927</v>
      </c>
      <c r="G36" s="3787" t="s">
        <v>3926</v>
      </c>
      <c r="H36" s="3787" t="s">
        <v>3430</v>
      </c>
      <c r="I36" s="3787">
        <v>48407.51</v>
      </c>
      <c r="J36" s="3787">
        <v>96815.01</v>
      </c>
      <c r="K36" s="3787" t="s">
        <v>3480</v>
      </c>
      <c r="L36" s="3787" t="s">
        <v>3431</v>
      </c>
      <c r="M36" s="3787" t="s">
        <v>3632</v>
      </c>
      <c r="N36" s="3787" t="s">
        <v>3925</v>
      </c>
      <c r="O36" s="3787" t="s">
        <v>3472</v>
      </c>
      <c r="P36" s="3787" t="s">
        <v>3594</v>
      </c>
      <c r="Q36" s="3787" t="s">
        <v>3898</v>
      </c>
      <c r="R36" s="3787" t="s">
        <v>3924</v>
      </c>
      <c r="S36" s="3787" t="s">
        <v>3644</v>
      </c>
      <c r="T36" s="3787" t="s">
        <v>3470</v>
      </c>
      <c r="U36" s="3787" t="s">
        <v>3470</v>
      </c>
      <c r="V36" s="3787">
        <v>0</v>
      </c>
      <c r="W36" s="3787">
        <v>0</v>
      </c>
      <c r="X36" s="3787">
        <v>0</v>
      </c>
      <c r="Y36" s="3787">
        <v>0</v>
      </c>
      <c r="Z36" s="3790">
        <v>44286.000497685185</v>
      </c>
      <c r="AA36" s="3790">
        <v>44308.000497685185</v>
      </c>
      <c r="AB36" s="3790">
        <v>44324.000497685185</v>
      </c>
      <c r="AC36" s="3788">
        <v>44324.000497685185</v>
      </c>
      <c r="AD36" s="3787" t="s">
        <v>3923</v>
      </c>
      <c r="AE36" s="3787" t="s">
        <v>3434</v>
      </c>
      <c r="AF36" s="3787" t="s">
        <v>3922</v>
      </c>
      <c r="AG36" s="3787" t="s">
        <v>3921</v>
      </c>
      <c r="AH36" s="3787" t="s">
        <v>3920</v>
      </c>
      <c r="AI36" s="3787">
        <v>145800</v>
      </c>
      <c r="AJ36" s="3787">
        <v>30000</v>
      </c>
      <c r="AK36" s="3787" t="s">
        <v>3919</v>
      </c>
      <c r="AL36" s="3787">
        <v>145800</v>
      </c>
      <c r="AM36" s="3787">
        <v>2007.95</v>
      </c>
      <c r="AN36" s="3787">
        <v>2007.95</v>
      </c>
      <c r="AO36" s="3787">
        <v>15060</v>
      </c>
      <c r="AP36" s="3789">
        <v>15060</v>
      </c>
      <c r="AQ36" s="3787" t="s">
        <v>3470</v>
      </c>
      <c r="AR36" s="3787" t="s">
        <v>3470</v>
      </c>
      <c r="AS36" s="3787">
        <v>0</v>
      </c>
      <c r="AT36" s="3787" t="s">
        <v>3627</v>
      </c>
      <c r="AU36" s="3787">
        <v>167600</v>
      </c>
      <c r="AV36" s="3787" t="s">
        <v>3918</v>
      </c>
      <c r="AW36" s="3787" t="s">
        <v>3472</v>
      </c>
      <c r="AX36" s="3787">
        <v>17311</v>
      </c>
      <c r="AY36" s="3787">
        <v>14.95</v>
      </c>
      <c r="AZ36" s="3787" t="s">
        <v>3470</v>
      </c>
    </row>
    <row r="37" spans="1:52" hidden="1">
      <c r="A37" s="3787" t="s">
        <v>3917</v>
      </c>
      <c r="B37" s="3787" t="s">
        <v>3378</v>
      </c>
      <c r="C37" s="3787" t="s">
        <v>3916</v>
      </c>
      <c r="D37" s="3787" t="s">
        <v>3600</v>
      </c>
      <c r="E37" s="3787" t="s">
        <v>3613</v>
      </c>
      <c r="F37" s="3787" t="s">
        <v>3702</v>
      </c>
      <c r="G37" s="3787" t="s">
        <v>3701</v>
      </c>
      <c r="H37" s="3787" t="s">
        <v>3430</v>
      </c>
      <c r="I37" s="3787">
        <v>56860.73</v>
      </c>
      <c r="J37" s="3787">
        <v>133065.75</v>
      </c>
      <c r="K37" s="3787" t="s">
        <v>3915</v>
      </c>
      <c r="L37" s="3787" t="s">
        <v>3431</v>
      </c>
      <c r="M37" s="3787" t="s">
        <v>3632</v>
      </c>
      <c r="N37" s="3787" t="s">
        <v>3433</v>
      </c>
      <c r="O37" s="3787" t="s">
        <v>3472</v>
      </c>
      <c r="P37" s="3787" t="s">
        <v>3470</v>
      </c>
      <c r="Q37" s="3787" t="s">
        <v>3470</v>
      </c>
      <c r="R37" s="3787" t="s">
        <v>3645</v>
      </c>
      <c r="S37" s="3787" t="s">
        <v>3644</v>
      </c>
      <c r="T37" s="3787" t="s">
        <v>3470</v>
      </c>
      <c r="U37" s="3787" t="s">
        <v>3470</v>
      </c>
      <c r="V37" s="3787" t="s">
        <v>3470</v>
      </c>
      <c r="W37" s="3787">
        <v>0</v>
      </c>
      <c r="X37" s="3787">
        <v>0</v>
      </c>
      <c r="Y37" s="3787">
        <v>0</v>
      </c>
      <c r="Z37" s="3790">
        <v>44188.000497685185</v>
      </c>
      <c r="AA37" s="3790">
        <v>44208.000497685185</v>
      </c>
      <c r="AB37" s="3790">
        <v>44222.000497685185</v>
      </c>
      <c r="AC37" s="3788">
        <v>44222.000497685185</v>
      </c>
      <c r="AD37" s="3787" t="s">
        <v>3914</v>
      </c>
      <c r="AE37" s="3787" t="s">
        <v>3434</v>
      </c>
      <c r="AF37" s="3787" t="s">
        <v>3913</v>
      </c>
      <c r="AG37" s="3787" t="s">
        <v>3828</v>
      </c>
      <c r="AH37" s="3787" t="s">
        <v>3636</v>
      </c>
      <c r="AI37" s="3787">
        <v>420000</v>
      </c>
      <c r="AJ37" s="3787">
        <v>85000</v>
      </c>
      <c r="AK37" s="3787" t="s">
        <v>3912</v>
      </c>
      <c r="AL37" s="3787">
        <v>465700</v>
      </c>
      <c r="AM37" s="3787">
        <v>4924.3100000000004</v>
      </c>
      <c r="AN37" s="3787">
        <v>5460.12</v>
      </c>
      <c r="AO37" s="3787">
        <v>31563</v>
      </c>
      <c r="AP37" s="3789">
        <v>34998</v>
      </c>
      <c r="AQ37" s="3787" t="s">
        <v>3470</v>
      </c>
      <c r="AR37" s="3787" t="s">
        <v>3470</v>
      </c>
      <c r="AS37" s="3787">
        <v>10.88</v>
      </c>
      <c r="AT37" s="3787" t="s">
        <v>3627</v>
      </c>
      <c r="AU37" s="3787" t="s">
        <v>3472</v>
      </c>
      <c r="AV37" s="3787" t="s">
        <v>3470</v>
      </c>
      <c r="AW37" s="3787" t="s">
        <v>3472</v>
      </c>
      <c r="AX37" s="3787" t="s">
        <v>3470</v>
      </c>
      <c r="AY37" s="3787" t="s">
        <v>3470</v>
      </c>
      <c r="AZ37" s="3787" t="s">
        <v>3470</v>
      </c>
    </row>
    <row r="38" spans="1:52" hidden="1">
      <c r="A38" s="3787" t="s">
        <v>3911</v>
      </c>
      <c r="B38" s="3787" t="s">
        <v>3378</v>
      </c>
      <c r="C38" s="3787" t="s">
        <v>3910</v>
      </c>
      <c r="D38" s="3787" t="s">
        <v>3600</v>
      </c>
      <c r="E38" s="3787" t="s">
        <v>3739</v>
      </c>
      <c r="F38" s="3787" t="s">
        <v>3761</v>
      </c>
      <c r="G38" s="3787" t="s">
        <v>3909</v>
      </c>
      <c r="H38" s="3787" t="s">
        <v>3447</v>
      </c>
      <c r="I38" s="3787">
        <v>63474.94</v>
      </c>
      <c r="J38" s="3787">
        <v>97252.05</v>
      </c>
      <c r="K38" s="3787" t="s">
        <v>3908</v>
      </c>
      <c r="L38" s="3787" t="s">
        <v>3431</v>
      </c>
      <c r="M38" s="3787" t="s">
        <v>3907</v>
      </c>
      <c r="N38" s="3787" t="s">
        <v>3433</v>
      </c>
      <c r="O38" s="3787">
        <v>15.76</v>
      </c>
      <c r="P38" s="3787" t="s">
        <v>3906</v>
      </c>
      <c r="Q38" s="3787" t="s">
        <v>3905</v>
      </c>
      <c r="R38" s="3787" t="s">
        <v>3645</v>
      </c>
      <c r="S38" s="3787" t="s">
        <v>3644</v>
      </c>
      <c r="T38" s="3787" t="s">
        <v>3470</v>
      </c>
      <c r="U38" s="3787" t="s">
        <v>3470</v>
      </c>
      <c r="V38" s="3787">
        <v>0</v>
      </c>
      <c r="W38" s="3787">
        <v>0</v>
      </c>
      <c r="X38" s="3787">
        <v>0</v>
      </c>
      <c r="Y38" s="3787">
        <v>0</v>
      </c>
      <c r="Z38" s="3790">
        <v>44174.000497685185</v>
      </c>
      <c r="AA38" s="3790">
        <v>44194.000497685185</v>
      </c>
      <c r="AB38" s="3790">
        <v>44209.000497685185</v>
      </c>
      <c r="AC38" s="3788">
        <v>44209.000497685185</v>
      </c>
      <c r="AD38" s="3787" t="s">
        <v>3904</v>
      </c>
      <c r="AE38" s="3787" t="s">
        <v>3434</v>
      </c>
      <c r="AF38" s="3787" t="s">
        <v>3903</v>
      </c>
      <c r="AG38" s="3787" t="s">
        <v>3604</v>
      </c>
      <c r="AH38" s="3787" t="s">
        <v>3587</v>
      </c>
      <c r="AI38" s="3787">
        <v>167300</v>
      </c>
      <c r="AJ38" s="3787">
        <v>33500</v>
      </c>
      <c r="AK38" s="3787" t="s">
        <v>3902</v>
      </c>
      <c r="AL38" s="3787">
        <v>182800</v>
      </c>
      <c r="AM38" s="3787">
        <v>1757.12</v>
      </c>
      <c r="AN38" s="3787">
        <v>1919.92</v>
      </c>
      <c r="AO38" s="3787">
        <v>17203</v>
      </c>
      <c r="AP38" s="3789">
        <v>18797</v>
      </c>
      <c r="AQ38" s="3787" t="s">
        <v>3470</v>
      </c>
      <c r="AR38" s="3787" t="s">
        <v>3470</v>
      </c>
      <c r="AS38" s="3787">
        <v>9.26</v>
      </c>
      <c r="AT38" s="3787" t="s">
        <v>3627</v>
      </c>
      <c r="AU38" s="3787" t="s">
        <v>3472</v>
      </c>
      <c r="AV38" s="3787" t="s">
        <v>3470</v>
      </c>
      <c r="AW38" s="3787" t="s">
        <v>3472</v>
      </c>
      <c r="AX38" s="3787" t="s">
        <v>3470</v>
      </c>
      <c r="AY38" s="3787" t="s">
        <v>3470</v>
      </c>
      <c r="AZ38" s="3787" t="s">
        <v>3470</v>
      </c>
    </row>
    <row r="39" spans="1:52">
      <c r="A39" s="3787" t="s">
        <v>3901</v>
      </c>
      <c r="B39" s="3787" t="s">
        <v>3378</v>
      </c>
      <c r="C39" s="3787" t="s">
        <v>3463</v>
      </c>
      <c r="D39" s="3787" t="s">
        <v>3600</v>
      </c>
      <c r="E39" s="3787" t="s">
        <v>3613</v>
      </c>
      <c r="F39" s="3787" t="s">
        <v>3900</v>
      </c>
      <c r="G39" s="3787" t="s">
        <v>3899</v>
      </c>
      <c r="H39" s="3787" t="s">
        <v>3447</v>
      </c>
      <c r="I39" s="3787">
        <v>43870.1</v>
      </c>
      <c r="J39" s="3787">
        <v>109675.25</v>
      </c>
      <c r="K39" s="3787" t="s">
        <v>3464</v>
      </c>
      <c r="L39" s="3787" t="s">
        <v>3431</v>
      </c>
      <c r="M39" s="3787" t="s">
        <v>3441</v>
      </c>
      <c r="N39" s="3787" t="s">
        <v>3433</v>
      </c>
      <c r="O39" s="3787" t="s">
        <v>3472</v>
      </c>
      <c r="P39" s="3787" t="s">
        <v>3470</v>
      </c>
      <c r="Q39" s="3787" t="s">
        <v>3898</v>
      </c>
      <c r="R39" s="3787" t="s">
        <v>3470</v>
      </c>
      <c r="S39" s="3787" t="s">
        <v>3470</v>
      </c>
      <c r="T39" s="3787" t="s">
        <v>3897</v>
      </c>
      <c r="U39" s="3787" t="s">
        <v>3896</v>
      </c>
      <c r="V39" s="3787">
        <v>0</v>
      </c>
      <c r="W39" s="3787">
        <v>0</v>
      </c>
      <c r="X39" s="3787">
        <v>0</v>
      </c>
      <c r="Y39" s="3787">
        <v>0</v>
      </c>
      <c r="Z39" s="3790">
        <v>44151.000497685185</v>
      </c>
      <c r="AA39" s="3790">
        <v>44172.000497685185</v>
      </c>
      <c r="AB39" s="3790">
        <v>44187.000497685185</v>
      </c>
      <c r="AC39" s="3788">
        <v>44187.000497685185</v>
      </c>
      <c r="AD39" s="3787" t="s">
        <v>3895</v>
      </c>
      <c r="AE39" s="3787" t="s">
        <v>3434</v>
      </c>
      <c r="AF39" s="3787" t="s">
        <v>3466</v>
      </c>
      <c r="AG39" s="3787" t="s">
        <v>3894</v>
      </c>
      <c r="AH39" s="3787" t="s">
        <v>3636</v>
      </c>
      <c r="AI39" s="3787">
        <v>148061.57999999999</v>
      </c>
      <c r="AJ39" s="3787">
        <v>45000</v>
      </c>
      <c r="AK39" s="3787" t="s">
        <v>3467</v>
      </c>
      <c r="AL39" s="3787">
        <v>148061.57999999999</v>
      </c>
      <c r="AM39" s="3787">
        <v>2250</v>
      </c>
      <c r="AN39" s="3787">
        <v>2250</v>
      </c>
      <c r="AO39" s="3787">
        <v>13500</v>
      </c>
      <c r="AP39" s="3789">
        <v>13500</v>
      </c>
      <c r="AQ39" s="3787" t="s">
        <v>3470</v>
      </c>
      <c r="AR39" s="3787" t="s">
        <v>3470</v>
      </c>
      <c r="AS39" s="3787">
        <v>0</v>
      </c>
      <c r="AT39" s="3787" t="s">
        <v>3893</v>
      </c>
      <c r="AU39" s="3787" t="s">
        <v>3472</v>
      </c>
      <c r="AV39" s="3787" t="s">
        <v>3470</v>
      </c>
      <c r="AW39" s="3787" t="s">
        <v>3472</v>
      </c>
      <c r="AX39" s="3787" t="s">
        <v>3470</v>
      </c>
      <c r="AY39" s="3787" t="s">
        <v>3470</v>
      </c>
      <c r="AZ39" s="3787" t="s">
        <v>3470</v>
      </c>
    </row>
    <row r="40" spans="1:52" s="3482" customFormat="1" hidden="1">
      <c r="A40" s="3791" t="s">
        <v>3892</v>
      </c>
      <c r="B40" s="3791" t="s">
        <v>3378</v>
      </c>
      <c r="C40" s="3791" t="s">
        <v>3891</v>
      </c>
      <c r="D40" s="3791" t="s">
        <v>3600</v>
      </c>
      <c r="E40" s="3791" t="s">
        <v>3613</v>
      </c>
      <c r="F40" s="3791" t="s">
        <v>3624</v>
      </c>
      <c r="G40" s="3791" t="s">
        <v>3890</v>
      </c>
      <c r="H40" s="3791" t="s">
        <v>3447</v>
      </c>
      <c r="I40" s="3791">
        <v>85128.1</v>
      </c>
      <c r="J40" s="3791">
        <v>201473.8</v>
      </c>
      <c r="K40" s="3791" t="s">
        <v>3889</v>
      </c>
      <c r="L40" s="3791" t="s">
        <v>3431</v>
      </c>
      <c r="M40" s="3791" t="s">
        <v>3888</v>
      </c>
      <c r="N40" s="3791" t="s">
        <v>3433</v>
      </c>
      <c r="O40" s="3791" t="s">
        <v>3472</v>
      </c>
      <c r="P40" s="3791" t="s">
        <v>3594</v>
      </c>
      <c r="Q40" s="3791" t="s">
        <v>3726</v>
      </c>
      <c r="R40" s="3791" t="s">
        <v>3645</v>
      </c>
      <c r="S40" s="3791" t="s">
        <v>3644</v>
      </c>
      <c r="T40" s="3791" t="s">
        <v>3470</v>
      </c>
      <c r="U40" s="3791" t="s">
        <v>3470</v>
      </c>
      <c r="V40" s="3791">
        <v>0</v>
      </c>
      <c r="W40" s="3791">
        <v>0</v>
      </c>
      <c r="X40" s="3791">
        <v>0</v>
      </c>
      <c r="Y40" s="3791">
        <v>0</v>
      </c>
      <c r="Z40" s="3792">
        <v>44012.000497685185</v>
      </c>
      <c r="AA40" s="3792">
        <v>44032.000497685185</v>
      </c>
      <c r="AB40" s="3792">
        <v>44046.000497685185</v>
      </c>
      <c r="AC40" s="3794">
        <v>44046.000497685185</v>
      </c>
      <c r="AD40" s="3791" t="s">
        <v>3887</v>
      </c>
      <c r="AE40" s="3791" t="s">
        <v>3434</v>
      </c>
      <c r="AF40" s="3791" t="s">
        <v>3618</v>
      </c>
      <c r="AG40" s="3791" t="s">
        <v>3617</v>
      </c>
      <c r="AH40" s="3791" t="s">
        <v>3616</v>
      </c>
      <c r="AI40" s="3791">
        <v>640000</v>
      </c>
      <c r="AJ40" s="3791">
        <v>128000</v>
      </c>
      <c r="AK40" s="3791" t="s">
        <v>3886</v>
      </c>
      <c r="AL40" s="3791">
        <v>790000</v>
      </c>
      <c r="AM40" s="3791">
        <v>5012.05</v>
      </c>
      <c r="AN40" s="3791">
        <v>6186.75</v>
      </c>
      <c r="AO40" s="3791">
        <v>31766</v>
      </c>
      <c r="AP40" s="3793">
        <v>39211</v>
      </c>
      <c r="AQ40" s="3791" t="s">
        <v>3470</v>
      </c>
      <c r="AR40" s="3791" t="s">
        <v>3470</v>
      </c>
      <c r="AS40" s="3791">
        <v>23.44</v>
      </c>
      <c r="AT40" s="3791" t="s">
        <v>3627</v>
      </c>
      <c r="AU40" s="3791" t="s">
        <v>3472</v>
      </c>
      <c r="AV40" s="3791" t="s">
        <v>3470</v>
      </c>
      <c r="AW40" s="3791" t="s">
        <v>3472</v>
      </c>
      <c r="AX40" s="3791" t="s">
        <v>3470</v>
      </c>
      <c r="AY40" s="3791" t="s">
        <v>3470</v>
      </c>
      <c r="AZ40" s="3791" t="s">
        <v>3470</v>
      </c>
    </row>
    <row r="41" spans="1:52" hidden="1">
      <c r="A41" s="3787" t="s">
        <v>3885</v>
      </c>
      <c r="B41" s="3787" t="s">
        <v>3378</v>
      </c>
      <c r="C41" s="3787" t="s">
        <v>3884</v>
      </c>
      <c r="D41" s="3787" t="s">
        <v>3600</v>
      </c>
      <c r="E41" s="3787" t="s">
        <v>3599</v>
      </c>
      <c r="F41" s="3787" t="s">
        <v>3749</v>
      </c>
      <c r="G41" s="3787" t="s">
        <v>3883</v>
      </c>
      <c r="H41" s="3787" t="s">
        <v>3447</v>
      </c>
      <c r="I41" s="3787">
        <v>41058.97</v>
      </c>
      <c r="J41" s="3787">
        <v>103031</v>
      </c>
      <c r="K41" s="3787" t="s">
        <v>3882</v>
      </c>
      <c r="L41" s="3787" t="s">
        <v>3431</v>
      </c>
      <c r="M41" s="3787" t="s">
        <v>3872</v>
      </c>
      <c r="N41" s="3787" t="s">
        <v>3433</v>
      </c>
      <c r="O41" s="3787">
        <v>5.73</v>
      </c>
      <c r="P41" s="3787" t="s">
        <v>3594</v>
      </c>
      <c r="Q41" s="3787" t="s">
        <v>3881</v>
      </c>
      <c r="R41" s="3787" t="s">
        <v>3645</v>
      </c>
      <c r="S41" s="3787" t="s">
        <v>3644</v>
      </c>
      <c r="T41" s="3787" t="s">
        <v>3470</v>
      </c>
      <c r="U41" s="3787" t="s">
        <v>3470</v>
      </c>
      <c r="V41" s="3787">
        <v>0</v>
      </c>
      <c r="W41" s="3787">
        <v>0</v>
      </c>
      <c r="X41" s="3787">
        <v>0</v>
      </c>
      <c r="Y41" s="3787">
        <v>0</v>
      </c>
      <c r="Z41" s="3790">
        <v>44000.000497685185</v>
      </c>
      <c r="AA41" s="3790">
        <v>44020.000497685185</v>
      </c>
      <c r="AB41" s="3790">
        <v>44034.000497685185</v>
      </c>
      <c r="AC41" s="3788">
        <v>44034.000497685185</v>
      </c>
      <c r="AD41" s="3787" t="s">
        <v>3880</v>
      </c>
      <c r="AE41" s="3787" t="s">
        <v>3434</v>
      </c>
      <c r="AF41" s="3787" t="s">
        <v>3879</v>
      </c>
      <c r="AG41" s="3787" t="s">
        <v>3878</v>
      </c>
      <c r="AH41" s="3787" t="s">
        <v>3877</v>
      </c>
      <c r="AI41" s="3787">
        <v>379500</v>
      </c>
      <c r="AJ41" s="3787">
        <v>76000</v>
      </c>
      <c r="AK41" s="3787" t="s">
        <v>3866</v>
      </c>
      <c r="AL41" s="3787">
        <v>480000</v>
      </c>
      <c r="AM41" s="3787">
        <v>6161.87</v>
      </c>
      <c r="AN41" s="3787">
        <v>7793.67</v>
      </c>
      <c r="AO41" s="3787">
        <v>36834</v>
      </c>
      <c r="AP41" s="3789">
        <v>46588</v>
      </c>
      <c r="AQ41" s="3787" t="s">
        <v>3470</v>
      </c>
      <c r="AR41" s="3787" t="s">
        <v>3470</v>
      </c>
      <c r="AS41" s="3787">
        <v>26.48</v>
      </c>
      <c r="AT41" s="3787" t="s">
        <v>3627</v>
      </c>
      <c r="AU41" s="3787" t="s">
        <v>3472</v>
      </c>
      <c r="AV41" s="3787" t="s">
        <v>3470</v>
      </c>
      <c r="AW41" s="3787" t="s">
        <v>3472</v>
      </c>
      <c r="AX41" s="3787" t="s">
        <v>3470</v>
      </c>
      <c r="AY41" s="3787" t="s">
        <v>3470</v>
      </c>
      <c r="AZ41" s="3787" t="s">
        <v>3470</v>
      </c>
    </row>
    <row r="42" spans="1:52" hidden="1">
      <c r="A42" s="3787" t="s">
        <v>3876</v>
      </c>
      <c r="B42" s="3787" t="s">
        <v>3378</v>
      </c>
      <c r="C42" s="3787" t="s">
        <v>3875</v>
      </c>
      <c r="D42" s="3787" t="s">
        <v>3600</v>
      </c>
      <c r="E42" s="3787" t="s">
        <v>3599</v>
      </c>
      <c r="F42" s="3787" t="s">
        <v>3749</v>
      </c>
      <c r="G42" s="3787" t="s">
        <v>3874</v>
      </c>
      <c r="H42" s="3787" t="s">
        <v>3447</v>
      </c>
      <c r="I42" s="3787">
        <v>44670.31</v>
      </c>
      <c r="J42" s="3787">
        <v>119857</v>
      </c>
      <c r="K42" s="3787" t="s">
        <v>3873</v>
      </c>
      <c r="L42" s="3787" t="s">
        <v>3431</v>
      </c>
      <c r="M42" s="3787" t="s">
        <v>3872</v>
      </c>
      <c r="N42" s="3787" t="s">
        <v>3433</v>
      </c>
      <c r="O42" s="3787">
        <v>39.799999999999997</v>
      </c>
      <c r="P42" s="3787" t="s">
        <v>3871</v>
      </c>
      <c r="Q42" s="3787" t="s">
        <v>3870</v>
      </c>
      <c r="R42" s="3787" t="s">
        <v>3645</v>
      </c>
      <c r="S42" s="3787" t="s">
        <v>3644</v>
      </c>
      <c r="T42" s="3787" t="s">
        <v>3470</v>
      </c>
      <c r="U42" s="3787" t="s">
        <v>3470</v>
      </c>
      <c r="V42" s="3787">
        <v>0</v>
      </c>
      <c r="W42" s="3787">
        <v>0</v>
      </c>
      <c r="X42" s="3787">
        <v>0</v>
      </c>
      <c r="Y42" s="3787">
        <v>0</v>
      </c>
      <c r="Z42" s="3790">
        <v>44000.000497685185</v>
      </c>
      <c r="AA42" s="3790">
        <v>44020.000497685185</v>
      </c>
      <c r="AB42" s="3790">
        <v>44034.000497685185</v>
      </c>
      <c r="AC42" s="3788">
        <v>44034.000497685185</v>
      </c>
      <c r="AD42" s="3787" t="s">
        <v>3869</v>
      </c>
      <c r="AE42" s="3787" t="s">
        <v>3434</v>
      </c>
      <c r="AF42" s="3787" t="s">
        <v>3868</v>
      </c>
      <c r="AG42" s="3787" t="s">
        <v>3867</v>
      </c>
      <c r="AH42" s="3787" t="s">
        <v>3654</v>
      </c>
      <c r="AI42" s="3787">
        <v>250300</v>
      </c>
      <c r="AJ42" s="3787">
        <v>50100</v>
      </c>
      <c r="AK42" s="3787" t="s">
        <v>3866</v>
      </c>
      <c r="AL42" s="3787">
        <v>296000</v>
      </c>
      <c r="AM42" s="3787">
        <v>3735.52</v>
      </c>
      <c r="AN42" s="3787">
        <v>4417.55</v>
      </c>
      <c r="AO42" s="3787">
        <v>20883</v>
      </c>
      <c r="AP42" s="3789">
        <v>24696</v>
      </c>
      <c r="AQ42" s="3787" t="s">
        <v>3470</v>
      </c>
      <c r="AR42" s="3787" t="s">
        <v>3470</v>
      </c>
      <c r="AS42" s="3787">
        <v>18.260000000000002</v>
      </c>
      <c r="AT42" s="3787" t="s">
        <v>3627</v>
      </c>
      <c r="AU42" s="3787" t="s">
        <v>3472</v>
      </c>
      <c r="AV42" s="3787" t="s">
        <v>3470</v>
      </c>
      <c r="AW42" s="3787" t="s">
        <v>3472</v>
      </c>
      <c r="AX42" s="3787" t="s">
        <v>3470</v>
      </c>
      <c r="AY42" s="3787" t="s">
        <v>3470</v>
      </c>
      <c r="AZ42" s="3787" t="s">
        <v>3470</v>
      </c>
    </row>
    <row r="43" spans="1:52" hidden="1">
      <c r="A43" s="3787" t="s">
        <v>3865</v>
      </c>
      <c r="B43" s="3787" t="s">
        <v>3378</v>
      </c>
      <c r="C43" s="3787" t="s">
        <v>3864</v>
      </c>
      <c r="D43" s="3787" t="s">
        <v>3600</v>
      </c>
      <c r="E43" s="3787" t="s">
        <v>3739</v>
      </c>
      <c r="F43" s="3787" t="s">
        <v>3863</v>
      </c>
      <c r="G43" s="3787" t="s">
        <v>3862</v>
      </c>
      <c r="H43" s="3787" t="s">
        <v>3430</v>
      </c>
      <c r="I43" s="3787">
        <v>47054</v>
      </c>
      <c r="J43" s="3787">
        <v>112930</v>
      </c>
      <c r="K43" s="3787" t="s">
        <v>3861</v>
      </c>
      <c r="L43" s="3787" t="s">
        <v>3431</v>
      </c>
      <c r="M43" s="3787" t="s">
        <v>3632</v>
      </c>
      <c r="N43" s="3787" t="s">
        <v>3433</v>
      </c>
      <c r="O43" s="3787" t="s">
        <v>3472</v>
      </c>
      <c r="P43" s="3787" t="s">
        <v>3594</v>
      </c>
      <c r="Q43" s="3787" t="s">
        <v>3794</v>
      </c>
      <c r="R43" s="3787" t="s">
        <v>3645</v>
      </c>
      <c r="S43" s="3787" t="s">
        <v>3644</v>
      </c>
      <c r="T43" s="3787" t="s">
        <v>3470</v>
      </c>
      <c r="U43" s="3787" t="s">
        <v>3470</v>
      </c>
      <c r="V43" s="3787">
        <v>0</v>
      </c>
      <c r="W43" s="3787">
        <v>0</v>
      </c>
      <c r="X43" s="3787">
        <v>0</v>
      </c>
      <c r="Y43" s="3787">
        <v>0</v>
      </c>
      <c r="Z43" s="3790">
        <v>43992.000497685185</v>
      </c>
      <c r="AA43" s="3790">
        <v>44012.000497685185</v>
      </c>
      <c r="AB43" s="3790">
        <v>44026.000497685185</v>
      </c>
      <c r="AC43" s="3788">
        <v>44026.000497685185</v>
      </c>
      <c r="AD43" s="3787" t="s">
        <v>3860</v>
      </c>
      <c r="AE43" s="3787" t="s">
        <v>3434</v>
      </c>
      <c r="AF43" s="3787" t="s">
        <v>3618</v>
      </c>
      <c r="AG43" s="3787" t="s">
        <v>3617</v>
      </c>
      <c r="AH43" s="3787" t="s">
        <v>3616</v>
      </c>
      <c r="AI43" s="3787">
        <v>283000</v>
      </c>
      <c r="AJ43" s="3787">
        <v>56600</v>
      </c>
      <c r="AK43" s="3787" t="s">
        <v>3859</v>
      </c>
      <c r="AL43" s="3787">
        <v>400000</v>
      </c>
      <c r="AM43" s="3787">
        <v>4009.58</v>
      </c>
      <c r="AN43" s="3787">
        <v>5667.25</v>
      </c>
      <c r="AO43" s="3787">
        <v>25060</v>
      </c>
      <c r="AP43" s="3789">
        <v>35420</v>
      </c>
      <c r="AQ43" s="3787" t="s">
        <v>3470</v>
      </c>
      <c r="AR43" s="3787" t="s">
        <v>3470</v>
      </c>
      <c r="AS43" s="3787">
        <v>41.34</v>
      </c>
      <c r="AT43" s="3787" t="s">
        <v>3807</v>
      </c>
      <c r="AU43" s="3787" t="s">
        <v>3472</v>
      </c>
      <c r="AV43" s="3787" t="s">
        <v>3470</v>
      </c>
      <c r="AW43" s="3787" t="s">
        <v>3472</v>
      </c>
      <c r="AX43" s="3787" t="s">
        <v>3470</v>
      </c>
      <c r="AY43" s="3787" t="s">
        <v>3470</v>
      </c>
      <c r="AZ43" s="3787" t="s">
        <v>3470</v>
      </c>
    </row>
    <row r="44" spans="1:52" hidden="1">
      <c r="A44" s="3787" t="s">
        <v>3858</v>
      </c>
      <c r="B44" s="3787" t="s">
        <v>3378</v>
      </c>
      <c r="C44" s="3787" t="s">
        <v>3857</v>
      </c>
      <c r="D44" s="3787" t="s">
        <v>3600</v>
      </c>
      <c r="E44" s="3787" t="s">
        <v>3599</v>
      </c>
      <c r="F44" s="3787" t="s">
        <v>3676</v>
      </c>
      <c r="G44" s="3787" t="s">
        <v>3831</v>
      </c>
      <c r="H44" s="3787" t="s">
        <v>3430</v>
      </c>
      <c r="I44" s="3787">
        <v>17831.97</v>
      </c>
      <c r="J44" s="3787">
        <v>55141</v>
      </c>
      <c r="K44" s="3787" t="s">
        <v>3718</v>
      </c>
      <c r="L44" s="3787" t="s">
        <v>3431</v>
      </c>
      <c r="M44" s="3787" t="s">
        <v>3632</v>
      </c>
      <c r="N44" s="3787" t="s">
        <v>3433</v>
      </c>
      <c r="O44" s="3787" t="s">
        <v>3472</v>
      </c>
      <c r="P44" s="3787" t="s">
        <v>3470</v>
      </c>
      <c r="Q44" s="3787" t="s">
        <v>3646</v>
      </c>
      <c r="R44" s="3787" t="s">
        <v>3645</v>
      </c>
      <c r="S44" s="3787" t="s">
        <v>3644</v>
      </c>
      <c r="T44" s="3787" t="s">
        <v>3470</v>
      </c>
      <c r="U44" s="3787" t="s">
        <v>3470</v>
      </c>
      <c r="V44" s="3787">
        <v>0</v>
      </c>
      <c r="W44" s="3787">
        <v>0</v>
      </c>
      <c r="X44" s="3787">
        <v>0</v>
      </c>
      <c r="Y44" s="3787">
        <v>0</v>
      </c>
      <c r="Z44" s="3790">
        <v>43936.000497685185</v>
      </c>
      <c r="AA44" s="3790">
        <v>43957.000497685185</v>
      </c>
      <c r="AB44" s="3790">
        <v>43970.000497685185</v>
      </c>
      <c r="AC44" s="3788">
        <v>43970.000497685185</v>
      </c>
      <c r="AD44" s="3787" t="s">
        <v>3856</v>
      </c>
      <c r="AE44" s="3787" t="s">
        <v>3434</v>
      </c>
      <c r="AF44" s="3787" t="s">
        <v>3855</v>
      </c>
      <c r="AG44" s="3787" t="s">
        <v>3828</v>
      </c>
      <c r="AH44" s="3787" t="s">
        <v>3636</v>
      </c>
      <c r="AI44" s="3787">
        <v>295600</v>
      </c>
      <c r="AJ44" s="3787">
        <v>59200</v>
      </c>
      <c r="AK44" s="3787" t="s">
        <v>3843</v>
      </c>
      <c r="AL44" s="3787">
        <v>420000</v>
      </c>
      <c r="AM44" s="3787">
        <v>11051.31</v>
      </c>
      <c r="AN44" s="3787">
        <v>15702.13</v>
      </c>
      <c r="AO44" s="3787">
        <v>53608</v>
      </c>
      <c r="AP44" s="3789">
        <v>76168</v>
      </c>
      <c r="AQ44" s="3787" t="s">
        <v>3470</v>
      </c>
      <c r="AR44" s="3787" t="s">
        <v>3470</v>
      </c>
      <c r="AS44" s="3787">
        <v>42.08</v>
      </c>
      <c r="AT44" s="3787" t="s">
        <v>3807</v>
      </c>
      <c r="AU44" s="3787" t="s">
        <v>3472</v>
      </c>
      <c r="AV44" s="3787" t="s">
        <v>3470</v>
      </c>
      <c r="AW44" s="3787" t="s">
        <v>3472</v>
      </c>
      <c r="AX44" s="3787" t="s">
        <v>3470</v>
      </c>
      <c r="AY44" s="3787" t="s">
        <v>3470</v>
      </c>
      <c r="AZ44" s="3787" t="s">
        <v>3470</v>
      </c>
    </row>
    <row r="45" spans="1:52" hidden="1">
      <c r="A45" s="3787" t="s">
        <v>3854</v>
      </c>
      <c r="B45" s="3787" t="s">
        <v>3378</v>
      </c>
      <c r="C45" s="3787" t="s">
        <v>3853</v>
      </c>
      <c r="D45" s="3787" t="s">
        <v>3600</v>
      </c>
      <c r="E45" s="3787" t="s">
        <v>3599</v>
      </c>
      <c r="F45" s="3787" t="s">
        <v>3676</v>
      </c>
      <c r="G45" s="3787" t="s">
        <v>3831</v>
      </c>
      <c r="H45" s="3787" t="s">
        <v>3430</v>
      </c>
      <c r="I45" s="3787">
        <v>29750.73</v>
      </c>
      <c r="J45" s="3787">
        <v>88484</v>
      </c>
      <c r="K45" s="3787" t="s">
        <v>3718</v>
      </c>
      <c r="L45" s="3787" t="s">
        <v>3431</v>
      </c>
      <c r="M45" s="3787" t="s">
        <v>3632</v>
      </c>
      <c r="N45" s="3787" t="s">
        <v>3433</v>
      </c>
      <c r="O45" s="3787" t="s">
        <v>3472</v>
      </c>
      <c r="P45" s="3787" t="s">
        <v>3470</v>
      </c>
      <c r="Q45" s="3787" t="s">
        <v>3646</v>
      </c>
      <c r="R45" s="3787" t="s">
        <v>3645</v>
      </c>
      <c r="S45" s="3787" t="s">
        <v>3644</v>
      </c>
      <c r="T45" s="3787" t="s">
        <v>3470</v>
      </c>
      <c r="U45" s="3787" t="s">
        <v>3470</v>
      </c>
      <c r="V45" s="3787">
        <v>0</v>
      </c>
      <c r="W45" s="3787">
        <v>0</v>
      </c>
      <c r="X45" s="3787">
        <v>0</v>
      </c>
      <c r="Y45" s="3787">
        <v>0</v>
      </c>
      <c r="Z45" s="3790">
        <v>43936.000497685185</v>
      </c>
      <c r="AA45" s="3790">
        <v>43957.000497685185</v>
      </c>
      <c r="AB45" s="3790">
        <v>43970.000497685185</v>
      </c>
      <c r="AC45" s="3788">
        <v>43970.000497685185</v>
      </c>
      <c r="AD45" s="3787" t="s">
        <v>3852</v>
      </c>
      <c r="AE45" s="3787" t="s">
        <v>3434</v>
      </c>
      <c r="AF45" s="3787" t="s">
        <v>3851</v>
      </c>
      <c r="AG45" s="3787" t="s">
        <v>3828</v>
      </c>
      <c r="AH45" s="3787" t="s">
        <v>3636</v>
      </c>
      <c r="AI45" s="3787">
        <v>474400</v>
      </c>
      <c r="AJ45" s="3787">
        <v>95000</v>
      </c>
      <c r="AK45" s="3787" t="s">
        <v>3843</v>
      </c>
      <c r="AL45" s="3787">
        <v>654000</v>
      </c>
      <c r="AM45" s="3787">
        <v>10630.55</v>
      </c>
      <c r="AN45" s="3787">
        <v>14655.1</v>
      </c>
      <c r="AO45" s="3787">
        <v>53614</v>
      </c>
      <c r="AP45" s="3789">
        <v>73912</v>
      </c>
      <c r="AQ45" s="3787" t="s">
        <v>3470</v>
      </c>
      <c r="AR45" s="3787" t="s">
        <v>3470</v>
      </c>
      <c r="AS45" s="3787">
        <v>37.86</v>
      </c>
      <c r="AT45" s="3787" t="s">
        <v>3807</v>
      </c>
      <c r="AU45" s="3787" t="s">
        <v>3472</v>
      </c>
      <c r="AV45" s="3787" t="s">
        <v>3470</v>
      </c>
      <c r="AW45" s="3787" t="s">
        <v>3472</v>
      </c>
      <c r="AX45" s="3787" t="s">
        <v>3470</v>
      </c>
      <c r="AY45" s="3787" t="s">
        <v>3470</v>
      </c>
      <c r="AZ45" s="3787" t="s">
        <v>3470</v>
      </c>
    </row>
    <row r="46" spans="1:52" hidden="1">
      <c r="A46" s="3787" t="s">
        <v>3850</v>
      </c>
      <c r="B46" s="3787" t="s">
        <v>3378</v>
      </c>
      <c r="C46" s="3787" t="s">
        <v>3849</v>
      </c>
      <c r="D46" s="3787" t="s">
        <v>3600</v>
      </c>
      <c r="E46" s="3787" t="s">
        <v>3739</v>
      </c>
      <c r="F46" s="3787" t="s">
        <v>3738</v>
      </c>
      <c r="G46" s="3787" t="s">
        <v>3737</v>
      </c>
      <c r="H46" s="3787" t="s">
        <v>3430</v>
      </c>
      <c r="I46" s="3787">
        <v>87651.29</v>
      </c>
      <c r="J46" s="3787">
        <v>140242</v>
      </c>
      <c r="K46" s="3787" t="s">
        <v>3848</v>
      </c>
      <c r="L46" s="3787" t="s">
        <v>3431</v>
      </c>
      <c r="M46" s="3787" t="s">
        <v>3632</v>
      </c>
      <c r="N46" s="3787" t="s">
        <v>3433</v>
      </c>
      <c r="O46" s="3787" t="s">
        <v>3472</v>
      </c>
      <c r="P46" s="3787" t="s">
        <v>3594</v>
      </c>
      <c r="Q46" s="3787" t="s">
        <v>3847</v>
      </c>
      <c r="R46" s="3787" t="s">
        <v>3592</v>
      </c>
      <c r="S46" s="3787" t="s">
        <v>3591</v>
      </c>
      <c r="T46" s="3787" t="s">
        <v>3664</v>
      </c>
      <c r="U46" s="3787" t="s">
        <v>3470</v>
      </c>
      <c r="V46" s="3787">
        <v>0</v>
      </c>
      <c r="W46" s="3787">
        <v>0</v>
      </c>
      <c r="X46" s="3787">
        <v>31882</v>
      </c>
      <c r="Y46" s="3787">
        <v>31882</v>
      </c>
      <c r="Z46" s="3790">
        <v>43934.000497685185</v>
      </c>
      <c r="AA46" s="3790">
        <v>43957.000497685185</v>
      </c>
      <c r="AB46" s="3790">
        <v>43970.000497685185</v>
      </c>
      <c r="AC46" s="3788">
        <v>43970.000497685185</v>
      </c>
      <c r="AD46" s="3787" t="s">
        <v>3846</v>
      </c>
      <c r="AE46" s="3787" t="s">
        <v>3434</v>
      </c>
      <c r="AF46" s="3787" t="s">
        <v>3845</v>
      </c>
      <c r="AG46" s="3787" t="s">
        <v>3844</v>
      </c>
      <c r="AH46" s="3787" t="s">
        <v>3616</v>
      </c>
      <c r="AI46" s="3787">
        <v>201600</v>
      </c>
      <c r="AJ46" s="3787">
        <v>41000</v>
      </c>
      <c r="AK46" s="3787" t="s">
        <v>3843</v>
      </c>
      <c r="AL46" s="3787">
        <v>265000</v>
      </c>
      <c r="AM46" s="3787">
        <v>1533.35</v>
      </c>
      <c r="AN46" s="3787">
        <v>2015.56</v>
      </c>
      <c r="AO46" s="3787">
        <v>14375</v>
      </c>
      <c r="AP46" s="3789">
        <v>18896</v>
      </c>
      <c r="AQ46" s="3787" t="s">
        <v>3470</v>
      </c>
      <c r="AR46" s="3787" t="s">
        <v>3470</v>
      </c>
      <c r="AS46" s="3787">
        <v>31.45</v>
      </c>
      <c r="AT46" s="3787" t="s">
        <v>3807</v>
      </c>
      <c r="AU46" s="3787" t="s">
        <v>3472</v>
      </c>
      <c r="AV46" s="3787" t="s">
        <v>3470</v>
      </c>
      <c r="AW46" s="3787">
        <v>28000</v>
      </c>
      <c r="AX46" s="3787" t="s">
        <v>3470</v>
      </c>
      <c r="AY46" s="3787" t="s">
        <v>3470</v>
      </c>
      <c r="AZ46" s="3787">
        <v>13625</v>
      </c>
    </row>
    <row r="47" spans="1:52" hidden="1">
      <c r="A47" s="3787" t="s">
        <v>3842</v>
      </c>
      <c r="B47" s="3787" t="s">
        <v>3378</v>
      </c>
      <c r="C47" s="3787" t="s">
        <v>3841</v>
      </c>
      <c r="D47" s="3787" t="s">
        <v>3600</v>
      </c>
      <c r="E47" s="3787" t="s">
        <v>3613</v>
      </c>
      <c r="F47" s="3787" t="s">
        <v>3777</v>
      </c>
      <c r="G47" s="3787" t="s">
        <v>3776</v>
      </c>
      <c r="H47" s="3787" t="s">
        <v>3447</v>
      </c>
      <c r="I47" s="3787">
        <v>76997.05</v>
      </c>
      <c r="J47" s="3787">
        <v>79371.899999999994</v>
      </c>
      <c r="K47" s="3787" t="s">
        <v>3840</v>
      </c>
      <c r="L47" s="3787" t="s">
        <v>3431</v>
      </c>
      <c r="M47" s="3787" t="s">
        <v>3839</v>
      </c>
      <c r="N47" s="3787" t="s">
        <v>3433</v>
      </c>
      <c r="O47" s="3787" t="s">
        <v>3472</v>
      </c>
      <c r="P47" s="3787" t="s">
        <v>3594</v>
      </c>
      <c r="Q47" s="3787" t="s">
        <v>3838</v>
      </c>
      <c r="R47" s="3787" t="s">
        <v>3645</v>
      </c>
      <c r="S47" s="3787" t="s">
        <v>3644</v>
      </c>
      <c r="T47" s="3787" t="s">
        <v>3470</v>
      </c>
      <c r="U47" s="3787" t="s">
        <v>3470</v>
      </c>
      <c r="V47" s="3787">
        <v>0</v>
      </c>
      <c r="W47" s="3787">
        <v>0</v>
      </c>
      <c r="X47" s="3787">
        <v>0</v>
      </c>
      <c r="Y47" s="3787">
        <v>0</v>
      </c>
      <c r="Z47" s="3790">
        <v>43920.000497685185</v>
      </c>
      <c r="AA47" s="3790">
        <v>43950.000497685185</v>
      </c>
      <c r="AB47" s="3790">
        <v>43966.000497685185</v>
      </c>
      <c r="AC47" s="3788">
        <v>43966.000497685185</v>
      </c>
      <c r="AD47" s="3787" t="s">
        <v>3837</v>
      </c>
      <c r="AE47" s="3787" t="s">
        <v>3434</v>
      </c>
      <c r="AF47" s="3787" t="s">
        <v>3836</v>
      </c>
      <c r="AG47" s="3787" t="s">
        <v>3835</v>
      </c>
      <c r="AH47" s="3787" t="s">
        <v>3636</v>
      </c>
      <c r="AI47" s="3787">
        <v>98500</v>
      </c>
      <c r="AJ47" s="3787">
        <v>19800</v>
      </c>
      <c r="AK47" s="3787" t="s">
        <v>3834</v>
      </c>
      <c r="AL47" s="3787">
        <v>130000</v>
      </c>
      <c r="AM47" s="3787">
        <v>852.85</v>
      </c>
      <c r="AN47" s="3787">
        <v>1125.58</v>
      </c>
      <c r="AO47" s="3787">
        <v>12410</v>
      </c>
      <c r="AP47" s="3789">
        <v>16379</v>
      </c>
      <c r="AQ47" s="3787" t="s">
        <v>3470</v>
      </c>
      <c r="AR47" s="3787" t="s">
        <v>3470</v>
      </c>
      <c r="AS47" s="3787">
        <v>31.98</v>
      </c>
      <c r="AT47" s="3787" t="s">
        <v>3627</v>
      </c>
      <c r="AU47" s="3787" t="s">
        <v>3472</v>
      </c>
      <c r="AV47" s="3787" t="s">
        <v>3470</v>
      </c>
      <c r="AW47" s="3787" t="s">
        <v>3472</v>
      </c>
      <c r="AX47" s="3787" t="s">
        <v>3470</v>
      </c>
      <c r="AY47" s="3787" t="s">
        <v>3470</v>
      </c>
      <c r="AZ47" s="3787" t="s">
        <v>3470</v>
      </c>
    </row>
    <row r="48" spans="1:52" hidden="1">
      <c r="A48" s="3787" t="s">
        <v>3833</v>
      </c>
      <c r="B48" s="3787" t="s">
        <v>3378</v>
      </c>
      <c r="C48" s="3787" t="s">
        <v>3832</v>
      </c>
      <c r="D48" s="3787" t="s">
        <v>3600</v>
      </c>
      <c r="E48" s="3787" t="s">
        <v>3599</v>
      </c>
      <c r="F48" s="3787" t="s">
        <v>3676</v>
      </c>
      <c r="G48" s="3787" t="s">
        <v>3831</v>
      </c>
      <c r="H48" s="3787" t="s">
        <v>3430</v>
      </c>
      <c r="I48" s="3787">
        <v>33194.400000000001</v>
      </c>
      <c r="J48" s="3787">
        <v>107437</v>
      </c>
      <c r="K48" s="3787" t="s">
        <v>3718</v>
      </c>
      <c r="L48" s="3787" t="s">
        <v>3431</v>
      </c>
      <c r="M48" s="3787" t="s">
        <v>3632</v>
      </c>
      <c r="N48" s="3787" t="s">
        <v>3433</v>
      </c>
      <c r="O48" s="3787" t="s">
        <v>3472</v>
      </c>
      <c r="P48" s="3787" t="s">
        <v>3594</v>
      </c>
      <c r="Q48" s="3787" t="s">
        <v>3646</v>
      </c>
      <c r="R48" s="3787" t="s">
        <v>3645</v>
      </c>
      <c r="S48" s="3787" t="s">
        <v>3644</v>
      </c>
      <c r="T48" s="3787" t="s">
        <v>3470</v>
      </c>
      <c r="U48" s="3787" t="s">
        <v>3470</v>
      </c>
      <c r="V48" s="3787">
        <v>0</v>
      </c>
      <c r="W48" s="3787">
        <v>0</v>
      </c>
      <c r="X48" s="3787">
        <v>0</v>
      </c>
      <c r="Y48" s="3787">
        <v>0</v>
      </c>
      <c r="Z48" s="3790">
        <v>43917.000497685185</v>
      </c>
      <c r="AA48" s="3790">
        <v>43944.000497685185</v>
      </c>
      <c r="AB48" s="3790">
        <v>43960.000497685185</v>
      </c>
      <c r="AC48" s="3788">
        <v>43960.000497685185</v>
      </c>
      <c r="AD48" s="3787" t="s">
        <v>3830</v>
      </c>
      <c r="AE48" s="3787" t="s">
        <v>3434</v>
      </c>
      <c r="AF48" s="3787" t="s">
        <v>3829</v>
      </c>
      <c r="AG48" s="3787" t="s">
        <v>3828</v>
      </c>
      <c r="AH48" s="3787" t="s">
        <v>3636</v>
      </c>
      <c r="AI48" s="3787">
        <v>571900</v>
      </c>
      <c r="AJ48" s="3787">
        <v>114400</v>
      </c>
      <c r="AK48" s="3787" t="s">
        <v>3827</v>
      </c>
      <c r="AL48" s="3787">
        <v>722000</v>
      </c>
      <c r="AM48" s="3787">
        <v>11485.87</v>
      </c>
      <c r="AN48" s="3787">
        <v>14500.44</v>
      </c>
      <c r="AO48" s="3787">
        <v>53231</v>
      </c>
      <c r="AP48" s="3789">
        <v>67202</v>
      </c>
      <c r="AQ48" s="3787" t="s">
        <v>3470</v>
      </c>
      <c r="AR48" s="3787" t="s">
        <v>3470</v>
      </c>
      <c r="AS48" s="3787">
        <v>26.25</v>
      </c>
      <c r="AT48" s="3787" t="s">
        <v>3807</v>
      </c>
      <c r="AU48" s="3787" t="s">
        <v>3472</v>
      </c>
      <c r="AV48" s="3787" t="s">
        <v>3470</v>
      </c>
      <c r="AW48" s="3787" t="s">
        <v>3472</v>
      </c>
      <c r="AX48" s="3787" t="s">
        <v>3470</v>
      </c>
      <c r="AY48" s="3787" t="s">
        <v>3470</v>
      </c>
      <c r="AZ48" s="3787" t="s">
        <v>3470</v>
      </c>
    </row>
    <row r="49" spans="1:52" hidden="1">
      <c r="A49" s="3787" t="s">
        <v>3826</v>
      </c>
      <c r="B49" s="3787" t="s">
        <v>3378</v>
      </c>
      <c r="C49" s="3787" t="s">
        <v>3825</v>
      </c>
      <c r="D49" s="3787" t="s">
        <v>3600</v>
      </c>
      <c r="E49" s="3787" t="s">
        <v>3613</v>
      </c>
      <c r="F49" s="3787" t="s">
        <v>3817</v>
      </c>
      <c r="G49" s="3787" t="s">
        <v>3816</v>
      </c>
      <c r="H49" s="3787" t="s">
        <v>3430</v>
      </c>
      <c r="I49" s="3787">
        <v>45081.99</v>
      </c>
      <c r="J49" s="3787">
        <v>94672</v>
      </c>
      <c r="K49" s="3787" t="s">
        <v>3824</v>
      </c>
      <c r="L49" s="3787" t="s">
        <v>3431</v>
      </c>
      <c r="M49" s="3787" t="s">
        <v>3632</v>
      </c>
      <c r="N49" s="3787" t="s">
        <v>3433</v>
      </c>
      <c r="O49" s="3787" t="s">
        <v>3472</v>
      </c>
      <c r="P49" s="3787" t="s">
        <v>3594</v>
      </c>
      <c r="Q49" s="3787" t="s">
        <v>3746</v>
      </c>
      <c r="R49" s="3787" t="s">
        <v>3608</v>
      </c>
      <c r="S49" s="3787" t="s">
        <v>3607</v>
      </c>
      <c r="T49" s="3787" t="s">
        <v>3470</v>
      </c>
      <c r="U49" s="3787" t="s">
        <v>3470</v>
      </c>
      <c r="V49" s="3787">
        <v>0</v>
      </c>
      <c r="W49" s="3787">
        <v>0</v>
      </c>
      <c r="X49" s="3787">
        <v>0</v>
      </c>
      <c r="Y49" s="3787">
        <v>0</v>
      </c>
      <c r="Z49" s="3790">
        <v>43917.000497685185</v>
      </c>
      <c r="AA49" s="3790">
        <v>43937.000497685185</v>
      </c>
      <c r="AB49" s="3790">
        <v>43950.000497685185</v>
      </c>
      <c r="AC49" s="3788">
        <v>43950.000497685185</v>
      </c>
      <c r="AD49" s="3787" t="s">
        <v>3823</v>
      </c>
      <c r="AE49" s="3787" t="s">
        <v>3434</v>
      </c>
      <c r="AF49" s="3787" t="s">
        <v>3822</v>
      </c>
      <c r="AG49" s="3787" t="s">
        <v>3821</v>
      </c>
      <c r="AH49" s="3787" t="s">
        <v>3820</v>
      </c>
      <c r="AI49" s="3787">
        <v>363000</v>
      </c>
      <c r="AJ49" s="3787">
        <v>72600</v>
      </c>
      <c r="AK49" s="3787" t="s">
        <v>3808</v>
      </c>
      <c r="AL49" s="3787">
        <v>374000</v>
      </c>
      <c r="AM49" s="3787">
        <v>5368</v>
      </c>
      <c r="AN49" s="3787">
        <v>5530.66</v>
      </c>
      <c r="AO49" s="3787">
        <v>38343</v>
      </c>
      <c r="AP49" s="3789">
        <v>39505</v>
      </c>
      <c r="AQ49" s="3787" t="s">
        <v>3470</v>
      </c>
      <c r="AR49" s="3787" t="s">
        <v>3470</v>
      </c>
      <c r="AS49" s="3787">
        <v>3.03</v>
      </c>
      <c r="AT49" s="3787" t="s">
        <v>3807</v>
      </c>
      <c r="AU49" s="3787" t="s">
        <v>3472</v>
      </c>
      <c r="AV49" s="3787" t="s">
        <v>3470</v>
      </c>
      <c r="AW49" s="3787">
        <v>64400</v>
      </c>
      <c r="AX49" s="3787" t="s">
        <v>3470</v>
      </c>
      <c r="AY49" s="3787" t="s">
        <v>3470</v>
      </c>
      <c r="AZ49" s="3787">
        <v>26057</v>
      </c>
    </row>
    <row r="50" spans="1:52" hidden="1">
      <c r="A50" s="3787" t="s">
        <v>3819</v>
      </c>
      <c r="B50" s="3787" t="s">
        <v>3378</v>
      </c>
      <c r="C50" s="3787" t="s">
        <v>3818</v>
      </c>
      <c r="D50" s="3787" t="s">
        <v>3600</v>
      </c>
      <c r="E50" s="3787" t="s">
        <v>3613</v>
      </c>
      <c r="F50" s="3787" t="s">
        <v>3817</v>
      </c>
      <c r="G50" s="3787" t="s">
        <v>3816</v>
      </c>
      <c r="H50" s="3787" t="s">
        <v>3447</v>
      </c>
      <c r="I50" s="3787">
        <v>60977.68</v>
      </c>
      <c r="J50" s="3787">
        <v>128053</v>
      </c>
      <c r="K50" s="3787" t="s">
        <v>3815</v>
      </c>
      <c r="L50" s="3787" t="s">
        <v>3431</v>
      </c>
      <c r="M50" s="3787" t="s">
        <v>3814</v>
      </c>
      <c r="N50" s="3787" t="s">
        <v>3433</v>
      </c>
      <c r="O50" s="3787" t="s">
        <v>3472</v>
      </c>
      <c r="P50" s="3787" t="s">
        <v>3594</v>
      </c>
      <c r="Q50" s="3787" t="s">
        <v>3746</v>
      </c>
      <c r="R50" s="3787" t="s">
        <v>3813</v>
      </c>
      <c r="S50" s="3787" t="s">
        <v>3812</v>
      </c>
      <c r="T50" s="3787" t="s">
        <v>3470</v>
      </c>
      <c r="U50" s="3787" t="s">
        <v>3470</v>
      </c>
      <c r="V50" s="3787">
        <v>52520</v>
      </c>
      <c r="W50" s="3787">
        <v>52520</v>
      </c>
      <c r="X50" s="3787">
        <v>0</v>
      </c>
      <c r="Y50" s="3787">
        <v>0</v>
      </c>
      <c r="Z50" s="3790">
        <v>43917.000497685185</v>
      </c>
      <c r="AA50" s="3790">
        <v>43937.000497685185</v>
      </c>
      <c r="AB50" s="3790">
        <v>43950.000497685185</v>
      </c>
      <c r="AC50" s="3788">
        <v>43950.000497685185</v>
      </c>
      <c r="AD50" s="3787" t="s">
        <v>3811</v>
      </c>
      <c r="AE50" s="3787" t="s">
        <v>3434</v>
      </c>
      <c r="AF50" s="3787" t="s">
        <v>3810</v>
      </c>
      <c r="AG50" s="3787" t="s">
        <v>3809</v>
      </c>
      <c r="AH50" s="3787" t="s">
        <v>3636</v>
      </c>
      <c r="AI50" s="3787">
        <v>273800</v>
      </c>
      <c r="AJ50" s="3787">
        <v>55000</v>
      </c>
      <c r="AK50" s="3787" t="s">
        <v>3808</v>
      </c>
      <c r="AL50" s="3787">
        <v>294000</v>
      </c>
      <c r="AM50" s="3787">
        <v>2993.45</v>
      </c>
      <c r="AN50" s="3787">
        <v>3214.29</v>
      </c>
      <c r="AO50" s="3787">
        <v>21382</v>
      </c>
      <c r="AP50" s="3789">
        <v>22959</v>
      </c>
      <c r="AQ50" s="3787">
        <v>36249</v>
      </c>
      <c r="AR50" s="3787">
        <v>38923</v>
      </c>
      <c r="AS50" s="3787">
        <v>7.38</v>
      </c>
      <c r="AT50" s="3787" t="s">
        <v>3807</v>
      </c>
      <c r="AU50" s="3787" t="s">
        <v>3472</v>
      </c>
      <c r="AV50" s="3787" t="s">
        <v>3470</v>
      </c>
      <c r="AW50" s="3787">
        <v>64400</v>
      </c>
      <c r="AX50" s="3787" t="s">
        <v>3470</v>
      </c>
      <c r="AY50" s="3787" t="s">
        <v>3470</v>
      </c>
      <c r="AZ50" s="3787">
        <v>43018</v>
      </c>
    </row>
    <row r="51" spans="1:52" hidden="1">
      <c r="A51" s="3787" t="s">
        <v>3806</v>
      </c>
      <c r="B51" s="3787" t="s">
        <v>3378</v>
      </c>
      <c r="C51" s="3787" t="s">
        <v>3805</v>
      </c>
      <c r="D51" s="3787" t="s">
        <v>3600</v>
      </c>
      <c r="E51" s="3787" t="s">
        <v>3739</v>
      </c>
      <c r="F51" s="3787" t="s">
        <v>3761</v>
      </c>
      <c r="G51" s="3787" t="s">
        <v>3760</v>
      </c>
      <c r="H51" s="3787" t="s">
        <v>3447</v>
      </c>
      <c r="I51" s="3787">
        <v>56727.74</v>
      </c>
      <c r="J51" s="3787">
        <v>133882</v>
      </c>
      <c r="K51" s="3787" t="s">
        <v>3804</v>
      </c>
      <c r="L51" s="3787" t="s">
        <v>3431</v>
      </c>
      <c r="M51" s="3787" t="s">
        <v>3803</v>
      </c>
      <c r="N51" s="3787" t="s">
        <v>3433</v>
      </c>
      <c r="O51" s="3787" t="s">
        <v>3472</v>
      </c>
      <c r="P51" s="3787" t="s">
        <v>3802</v>
      </c>
      <c r="Q51" s="3787" t="s">
        <v>3801</v>
      </c>
      <c r="R51" s="3787" t="s">
        <v>3608</v>
      </c>
      <c r="S51" s="3787" t="s">
        <v>3607</v>
      </c>
      <c r="T51" s="3787" t="s">
        <v>3470</v>
      </c>
      <c r="U51" s="3787" t="s">
        <v>3470</v>
      </c>
      <c r="V51" s="3787">
        <v>0</v>
      </c>
      <c r="W51" s="3787">
        <v>0</v>
      </c>
      <c r="X51" s="3787">
        <v>0</v>
      </c>
      <c r="Y51" s="3787">
        <v>0</v>
      </c>
      <c r="Z51" s="3790">
        <v>43910.000497685185</v>
      </c>
      <c r="AA51" s="3790">
        <v>43930.000497685185</v>
      </c>
      <c r="AB51" s="3790">
        <v>43944.000497685185</v>
      </c>
      <c r="AC51" s="3788">
        <v>43944.000497685185</v>
      </c>
      <c r="AD51" s="3787" t="s">
        <v>3800</v>
      </c>
      <c r="AE51" s="3787" t="s">
        <v>3434</v>
      </c>
      <c r="AF51" s="3787" t="s">
        <v>3799</v>
      </c>
      <c r="AG51" s="3787" t="s">
        <v>3798</v>
      </c>
      <c r="AH51" s="3787" t="s">
        <v>3636</v>
      </c>
      <c r="AI51" s="3787">
        <v>139000</v>
      </c>
      <c r="AJ51" s="3787">
        <v>28000</v>
      </c>
      <c r="AK51" s="3787" t="s">
        <v>3797</v>
      </c>
      <c r="AL51" s="3787">
        <v>185000</v>
      </c>
      <c r="AM51" s="3787">
        <v>1633.53</v>
      </c>
      <c r="AN51" s="3787">
        <v>2174.13</v>
      </c>
      <c r="AO51" s="3787">
        <v>10382</v>
      </c>
      <c r="AP51" s="3789">
        <v>13818</v>
      </c>
      <c r="AQ51" s="3787" t="s">
        <v>3470</v>
      </c>
      <c r="AR51" s="3787" t="s">
        <v>3470</v>
      </c>
      <c r="AS51" s="3787">
        <v>33.090000000000003</v>
      </c>
      <c r="AT51" s="3787" t="s">
        <v>3627</v>
      </c>
      <c r="AU51" s="3787" t="s">
        <v>3472</v>
      </c>
      <c r="AV51" s="3787" t="s">
        <v>3470</v>
      </c>
      <c r="AW51" s="3787">
        <v>35344</v>
      </c>
      <c r="AX51" s="3787" t="s">
        <v>3470</v>
      </c>
      <c r="AY51" s="3787" t="s">
        <v>3470</v>
      </c>
      <c r="AZ51" s="3787">
        <v>24962</v>
      </c>
    </row>
    <row r="52" spans="1:52" hidden="1">
      <c r="A52" s="3478" t="s">
        <v>3796</v>
      </c>
      <c r="B52" s="3478" t="s">
        <v>3378</v>
      </c>
      <c r="C52" s="3478" t="s">
        <v>3795</v>
      </c>
      <c r="D52" s="3478" t="s">
        <v>3600</v>
      </c>
      <c r="E52" s="3478" t="s">
        <v>3613</v>
      </c>
      <c r="F52" s="3478" t="s">
        <v>3777</v>
      </c>
      <c r="G52" s="3478" t="s">
        <v>3776</v>
      </c>
      <c r="H52" s="3478" t="s">
        <v>3430</v>
      </c>
      <c r="I52" s="3478">
        <v>20403.86</v>
      </c>
      <c r="J52" s="3478">
        <v>51009</v>
      </c>
      <c r="K52" s="3478" t="s">
        <v>3464</v>
      </c>
      <c r="L52" s="3478" t="s">
        <v>3431</v>
      </c>
      <c r="M52" s="3478" t="s">
        <v>3632</v>
      </c>
      <c r="N52" s="3478" t="s">
        <v>3433</v>
      </c>
      <c r="O52" s="3478" t="s">
        <v>3472</v>
      </c>
      <c r="P52" s="3478" t="s">
        <v>3594</v>
      </c>
      <c r="Q52" s="3478" t="s">
        <v>3794</v>
      </c>
      <c r="R52" s="3478" t="s">
        <v>3645</v>
      </c>
      <c r="S52" s="3478" t="s">
        <v>3644</v>
      </c>
      <c r="T52" s="3478" t="s">
        <v>3470</v>
      </c>
      <c r="U52" s="3478" t="s">
        <v>3470</v>
      </c>
      <c r="V52" s="3478">
        <v>0</v>
      </c>
      <c r="W52" s="3478">
        <v>0</v>
      </c>
      <c r="X52" s="3478">
        <v>0</v>
      </c>
      <c r="Y52" s="3478">
        <v>0</v>
      </c>
      <c r="Z52" s="3481">
        <v>43830.000497685185</v>
      </c>
      <c r="AA52" s="3481">
        <v>43865.000497685185</v>
      </c>
      <c r="AB52" s="3481">
        <v>43879.000497685185</v>
      </c>
      <c r="AC52" s="3480">
        <v>43879.000497685185</v>
      </c>
      <c r="AD52" s="3478" t="s">
        <v>3793</v>
      </c>
      <c r="AE52" s="3478" t="s">
        <v>3434</v>
      </c>
      <c r="AF52" s="3478" t="s">
        <v>3792</v>
      </c>
      <c r="AG52" s="3478" t="s">
        <v>3791</v>
      </c>
      <c r="AH52" s="3478" t="s">
        <v>3790</v>
      </c>
      <c r="AI52" s="3478">
        <v>65600</v>
      </c>
      <c r="AJ52" s="3478">
        <v>13200</v>
      </c>
      <c r="AK52" s="3478" t="s">
        <v>3780</v>
      </c>
      <c r="AL52" s="3478">
        <v>65600</v>
      </c>
      <c r="AM52" s="3478">
        <v>2143.39</v>
      </c>
      <c r="AN52" s="3478">
        <v>2143.39</v>
      </c>
      <c r="AO52" s="3478">
        <v>12860</v>
      </c>
      <c r="AP52" s="3479">
        <v>12860</v>
      </c>
      <c r="AQ52" s="3478" t="s">
        <v>3470</v>
      </c>
      <c r="AR52" s="3478" t="s">
        <v>3470</v>
      </c>
      <c r="AS52" s="3478">
        <v>0</v>
      </c>
      <c r="AT52" s="3478" t="s">
        <v>3627</v>
      </c>
      <c r="AU52" s="3478" t="s">
        <v>3472</v>
      </c>
      <c r="AV52" s="3478" t="s">
        <v>3470</v>
      </c>
      <c r="AW52" s="3478" t="s">
        <v>3472</v>
      </c>
      <c r="AX52" s="3478" t="s">
        <v>3470</v>
      </c>
      <c r="AY52" s="3478" t="s">
        <v>3470</v>
      </c>
      <c r="AZ52" s="3478" t="s">
        <v>3470</v>
      </c>
    </row>
    <row r="53" spans="1:52" hidden="1">
      <c r="A53" s="3478" t="s">
        <v>3789</v>
      </c>
      <c r="B53" s="3478" t="s">
        <v>3378</v>
      </c>
      <c r="C53" s="3478" t="s">
        <v>3788</v>
      </c>
      <c r="D53" s="3478" t="s">
        <v>3600</v>
      </c>
      <c r="E53" s="3478" t="s">
        <v>3613</v>
      </c>
      <c r="F53" s="3478" t="s">
        <v>3702</v>
      </c>
      <c r="G53" s="3478" t="s">
        <v>3701</v>
      </c>
      <c r="H53" s="3478" t="s">
        <v>3447</v>
      </c>
      <c r="I53" s="3478">
        <v>78681.47</v>
      </c>
      <c r="J53" s="3478">
        <v>188033.66</v>
      </c>
      <c r="K53" s="3478" t="s">
        <v>3787</v>
      </c>
      <c r="L53" s="3478" t="s">
        <v>3431</v>
      </c>
      <c r="M53" s="3478" t="s">
        <v>3786</v>
      </c>
      <c r="N53" s="3478" t="s">
        <v>3433</v>
      </c>
      <c r="O53" s="3478" t="s">
        <v>3472</v>
      </c>
      <c r="P53" s="3478" t="s">
        <v>3594</v>
      </c>
      <c r="Q53" s="3478" t="s">
        <v>3785</v>
      </c>
      <c r="R53" s="3478" t="s">
        <v>3645</v>
      </c>
      <c r="S53" s="3478" t="s">
        <v>3644</v>
      </c>
      <c r="T53" s="3478" t="s">
        <v>3470</v>
      </c>
      <c r="U53" s="3478" t="s">
        <v>3470</v>
      </c>
      <c r="V53" s="3478">
        <v>0</v>
      </c>
      <c r="W53" s="3478">
        <v>0</v>
      </c>
      <c r="X53" s="3478">
        <v>0</v>
      </c>
      <c r="Y53" s="3478">
        <v>0</v>
      </c>
      <c r="Z53" s="3481">
        <v>43830.000497685185</v>
      </c>
      <c r="AA53" s="3481">
        <v>43865.000497685185</v>
      </c>
      <c r="AB53" s="3481">
        <v>43879.000497685185</v>
      </c>
      <c r="AC53" s="3480">
        <v>43879.000497685185</v>
      </c>
      <c r="AD53" s="3478" t="s">
        <v>3784</v>
      </c>
      <c r="AE53" s="3478" t="s">
        <v>3434</v>
      </c>
      <c r="AF53" s="3478" t="s">
        <v>3783</v>
      </c>
      <c r="AG53" s="3478" t="s">
        <v>3782</v>
      </c>
      <c r="AH53" s="3478" t="s">
        <v>3781</v>
      </c>
      <c r="AI53" s="3478">
        <v>500000</v>
      </c>
      <c r="AJ53" s="3478">
        <v>100000</v>
      </c>
      <c r="AK53" s="3478" t="s">
        <v>3780</v>
      </c>
      <c r="AL53" s="3478">
        <v>670000</v>
      </c>
      <c r="AM53" s="3478">
        <v>4236.49</v>
      </c>
      <c r="AN53" s="3478">
        <v>5676.9</v>
      </c>
      <c r="AO53" s="3478">
        <v>26591</v>
      </c>
      <c r="AP53" s="3479">
        <v>35632</v>
      </c>
      <c r="AQ53" s="3478" t="s">
        <v>3470</v>
      </c>
      <c r="AR53" s="3478" t="s">
        <v>3470</v>
      </c>
      <c r="AS53" s="3478">
        <v>34</v>
      </c>
      <c r="AT53" s="3478" t="s">
        <v>3627</v>
      </c>
      <c r="AU53" s="3478" t="s">
        <v>3472</v>
      </c>
      <c r="AV53" s="3478" t="s">
        <v>3470</v>
      </c>
      <c r="AW53" s="3478" t="s">
        <v>3472</v>
      </c>
      <c r="AX53" s="3478" t="s">
        <v>3470</v>
      </c>
      <c r="AY53" s="3478" t="s">
        <v>3470</v>
      </c>
      <c r="AZ53" s="3478" t="s">
        <v>3470</v>
      </c>
    </row>
    <row r="54" spans="1:52" hidden="1">
      <c r="A54" s="3478" t="s">
        <v>3779</v>
      </c>
      <c r="B54" s="3478" t="s">
        <v>3378</v>
      </c>
      <c r="C54" s="3478" t="s">
        <v>3778</v>
      </c>
      <c r="D54" s="3478" t="s">
        <v>3600</v>
      </c>
      <c r="E54" s="3478" t="s">
        <v>3613</v>
      </c>
      <c r="F54" s="3478" t="s">
        <v>3777</v>
      </c>
      <c r="G54" s="3478" t="s">
        <v>3776</v>
      </c>
      <c r="H54" s="3478" t="s">
        <v>3430</v>
      </c>
      <c r="I54" s="3478">
        <v>20796</v>
      </c>
      <c r="J54" s="3478">
        <v>21836</v>
      </c>
      <c r="K54" s="3478" t="s">
        <v>3775</v>
      </c>
      <c r="L54" s="3478" t="s">
        <v>3431</v>
      </c>
      <c r="M54" s="3478" t="s">
        <v>3632</v>
      </c>
      <c r="N54" s="3478" t="s">
        <v>3433</v>
      </c>
      <c r="O54" s="3478" t="s">
        <v>3472</v>
      </c>
      <c r="P54" s="3478" t="s">
        <v>3594</v>
      </c>
      <c r="Q54" s="3478" t="s">
        <v>3746</v>
      </c>
      <c r="R54" s="3478" t="s">
        <v>3645</v>
      </c>
      <c r="S54" s="3478" t="s">
        <v>3644</v>
      </c>
      <c r="T54" s="3478" t="s">
        <v>3470</v>
      </c>
      <c r="U54" s="3478" t="s">
        <v>3470</v>
      </c>
      <c r="V54" s="3478">
        <v>0</v>
      </c>
      <c r="W54" s="3478">
        <v>0</v>
      </c>
      <c r="X54" s="3478">
        <v>0</v>
      </c>
      <c r="Y54" s="3478">
        <v>0</v>
      </c>
      <c r="Z54" s="3481">
        <v>43830.000497685185</v>
      </c>
      <c r="AA54" s="3481">
        <v>43852.000497685185</v>
      </c>
      <c r="AB54" s="3481">
        <v>43872.000497685185</v>
      </c>
      <c r="AC54" s="3480">
        <v>43872.000497685185</v>
      </c>
      <c r="AD54" s="3478" t="s">
        <v>3774</v>
      </c>
      <c r="AE54" s="3478" t="s">
        <v>3434</v>
      </c>
      <c r="AF54" s="3478" t="s">
        <v>3773</v>
      </c>
      <c r="AG54" s="3478" t="s">
        <v>3772</v>
      </c>
      <c r="AH54" s="3478" t="s">
        <v>3654</v>
      </c>
      <c r="AI54" s="3478">
        <v>28800</v>
      </c>
      <c r="AJ54" s="3478">
        <v>5800</v>
      </c>
      <c r="AK54" s="3478" t="s">
        <v>3771</v>
      </c>
      <c r="AL54" s="3478">
        <v>36000</v>
      </c>
      <c r="AM54" s="3478">
        <v>923.25</v>
      </c>
      <c r="AN54" s="3478">
        <v>1154.07</v>
      </c>
      <c r="AO54" s="3478">
        <v>13189</v>
      </c>
      <c r="AP54" s="3479">
        <v>16487</v>
      </c>
      <c r="AQ54" s="3478" t="s">
        <v>3470</v>
      </c>
      <c r="AR54" s="3478" t="s">
        <v>3470</v>
      </c>
      <c r="AS54" s="3478">
        <v>25</v>
      </c>
      <c r="AT54" s="3478" t="s">
        <v>3627</v>
      </c>
      <c r="AU54" s="3478" t="s">
        <v>3472</v>
      </c>
      <c r="AV54" s="3478" t="s">
        <v>3470</v>
      </c>
      <c r="AW54" s="3478" t="s">
        <v>3472</v>
      </c>
      <c r="AX54" s="3478" t="s">
        <v>3470</v>
      </c>
      <c r="AY54" s="3478" t="s">
        <v>3470</v>
      </c>
      <c r="AZ54" s="3478" t="s">
        <v>3470</v>
      </c>
    </row>
    <row r="55" spans="1:52" hidden="1">
      <c r="A55" s="3478" t="s">
        <v>3770</v>
      </c>
      <c r="B55" s="3478" t="s">
        <v>3378</v>
      </c>
      <c r="C55" s="3478" t="s">
        <v>3769</v>
      </c>
      <c r="D55" s="3478" t="s">
        <v>3600</v>
      </c>
      <c r="E55" s="3478" t="s">
        <v>3599</v>
      </c>
      <c r="F55" s="3478" t="s">
        <v>3749</v>
      </c>
      <c r="G55" s="3478" t="s">
        <v>3768</v>
      </c>
      <c r="H55" s="3478" t="s">
        <v>3430</v>
      </c>
      <c r="I55" s="3478">
        <v>62168.34</v>
      </c>
      <c r="J55" s="3478">
        <v>186162</v>
      </c>
      <c r="K55" s="3478" t="s">
        <v>3674</v>
      </c>
      <c r="L55" s="3478" t="s">
        <v>3767</v>
      </c>
      <c r="M55" s="3478" t="s">
        <v>3632</v>
      </c>
      <c r="N55" s="3478" t="s">
        <v>3433</v>
      </c>
      <c r="O55" s="3478" t="s">
        <v>3472</v>
      </c>
      <c r="P55" s="3478" t="s">
        <v>3594</v>
      </c>
      <c r="Q55" s="3478" t="s">
        <v>3646</v>
      </c>
      <c r="R55" s="3478" t="s">
        <v>3470</v>
      </c>
      <c r="S55" s="3478" t="s">
        <v>3659</v>
      </c>
      <c r="T55" s="3478" t="s">
        <v>3664</v>
      </c>
      <c r="U55" s="3478" t="s">
        <v>3470</v>
      </c>
      <c r="V55" s="3478">
        <v>0</v>
      </c>
      <c r="W55" s="3478">
        <v>0</v>
      </c>
      <c r="X55" s="3478">
        <v>186162</v>
      </c>
      <c r="Y55" s="3478">
        <v>186162</v>
      </c>
      <c r="Z55" s="3481">
        <v>43784.000497685185</v>
      </c>
      <c r="AA55" s="3481">
        <v>43812.000497685185</v>
      </c>
      <c r="AB55" s="3481">
        <v>43812.000497685185</v>
      </c>
      <c r="AC55" s="3480">
        <v>43812.000497685185</v>
      </c>
      <c r="AD55" s="3478" t="s">
        <v>3766</v>
      </c>
      <c r="AE55" s="3478" t="s">
        <v>3434</v>
      </c>
      <c r="AF55" s="3478" t="s">
        <v>3765</v>
      </c>
      <c r="AG55" s="3478" t="s">
        <v>3764</v>
      </c>
      <c r="AH55" s="3478" t="s">
        <v>3654</v>
      </c>
      <c r="AI55" s="3478" t="s">
        <v>3470</v>
      </c>
      <c r="AJ55" s="3478">
        <v>86800</v>
      </c>
      <c r="AK55" s="3478" t="s">
        <v>633</v>
      </c>
      <c r="AL55" s="3478">
        <v>434800</v>
      </c>
      <c r="AM55" s="3478" t="s">
        <v>3470</v>
      </c>
      <c r="AN55" s="3478">
        <v>4662.6099999999997</v>
      </c>
      <c r="AO55" s="3478" t="s">
        <v>3470</v>
      </c>
      <c r="AP55" s="3479">
        <v>23356</v>
      </c>
      <c r="AQ55" s="3478" t="s">
        <v>3470</v>
      </c>
      <c r="AR55" s="3478" t="s">
        <v>3470</v>
      </c>
      <c r="AS55" s="3478">
        <v>0</v>
      </c>
      <c r="AT55" s="3478" t="s">
        <v>3627</v>
      </c>
      <c r="AU55" s="3478" t="s">
        <v>3472</v>
      </c>
      <c r="AV55" s="3478" t="s">
        <v>3470</v>
      </c>
      <c r="AW55" s="3478">
        <v>38000</v>
      </c>
      <c r="AX55" s="3478" t="s">
        <v>3470</v>
      </c>
      <c r="AY55" s="3478" t="s">
        <v>3470</v>
      </c>
      <c r="AZ55" s="3478" t="s">
        <v>3470</v>
      </c>
    </row>
    <row r="56" spans="1:52" hidden="1">
      <c r="A56" s="3478" t="s">
        <v>3763</v>
      </c>
      <c r="B56" s="3478" t="s">
        <v>3378</v>
      </c>
      <c r="C56" s="3478" t="s">
        <v>3762</v>
      </c>
      <c r="D56" s="3478" t="s">
        <v>3600</v>
      </c>
      <c r="E56" s="3478" t="s">
        <v>3739</v>
      </c>
      <c r="F56" s="3478" t="s">
        <v>3761</v>
      </c>
      <c r="G56" s="3478" t="s">
        <v>3760</v>
      </c>
      <c r="H56" s="3478" t="s">
        <v>3447</v>
      </c>
      <c r="I56" s="3478">
        <v>165793.17000000001</v>
      </c>
      <c r="J56" s="3478">
        <v>381104</v>
      </c>
      <c r="K56" s="3478" t="s">
        <v>3759</v>
      </c>
      <c r="L56" s="3478" t="s">
        <v>3431</v>
      </c>
      <c r="M56" s="3478" t="s">
        <v>3758</v>
      </c>
      <c r="N56" s="3478" t="s">
        <v>3433</v>
      </c>
      <c r="O56" s="3478" t="s">
        <v>3472</v>
      </c>
      <c r="P56" s="3478" t="s">
        <v>3757</v>
      </c>
      <c r="Q56" s="3478" t="s">
        <v>3756</v>
      </c>
      <c r="R56" s="3478" t="s">
        <v>3608</v>
      </c>
      <c r="S56" s="3478" t="s">
        <v>3607</v>
      </c>
      <c r="T56" s="3478" t="s">
        <v>3470</v>
      </c>
      <c r="U56" s="3478" t="s">
        <v>3470</v>
      </c>
      <c r="V56" s="3478">
        <v>0</v>
      </c>
      <c r="W56" s="3478">
        <v>0</v>
      </c>
      <c r="X56" s="3478">
        <v>0</v>
      </c>
      <c r="Y56" s="3478">
        <v>0</v>
      </c>
      <c r="Z56" s="3481">
        <v>43777.000497685185</v>
      </c>
      <c r="AA56" s="3481">
        <v>43797.000497685185</v>
      </c>
      <c r="AB56" s="3481">
        <v>43811.000497685185</v>
      </c>
      <c r="AC56" s="3480">
        <v>43811.000497685185</v>
      </c>
      <c r="AD56" s="3478" t="s">
        <v>3755</v>
      </c>
      <c r="AE56" s="3478" t="s">
        <v>3434</v>
      </c>
      <c r="AF56" s="3478" t="s">
        <v>3754</v>
      </c>
      <c r="AG56" s="3478" t="s">
        <v>3753</v>
      </c>
      <c r="AH56" s="3478" t="s">
        <v>3636</v>
      </c>
      <c r="AI56" s="3478">
        <v>420000</v>
      </c>
      <c r="AJ56" s="3478">
        <v>84000</v>
      </c>
      <c r="AK56" s="3478" t="s">
        <v>3752</v>
      </c>
      <c r="AL56" s="3478">
        <v>420000</v>
      </c>
      <c r="AM56" s="3478">
        <v>1688.85</v>
      </c>
      <c r="AN56" s="3478">
        <v>1688.85</v>
      </c>
      <c r="AO56" s="3478">
        <v>11021</v>
      </c>
      <c r="AP56" s="3479">
        <v>11021</v>
      </c>
      <c r="AQ56" s="3478" t="s">
        <v>3470</v>
      </c>
      <c r="AR56" s="3478" t="s">
        <v>3470</v>
      </c>
      <c r="AS56" s="3478">
        <v>0</v>
      </c>
      <c r="AT56" s="3478" t="s">
        <v>3627</v>
      </c>
      <c r="AU56" s="3478" t="s">
        <v>3472</v>
      </c>
      <c r="AV56" s="3478" t="s">
        <v>3470</v>
      </c>
      <c r="AW56" s="3478">
        <v>35344</v>
      </c>
      <c r="AX56" s="3478" t="s">
        <v>3470</v>
      </c>
      <c r="AY56" s="3478" t="s">
        <v>3470</v>
      </c>
      <c r="AZ56" s="3478">
        <v>24323</v>
      </c>
    </row>
    <row r="57" spans="1:52" hidden="1">
      <c r="A57" s="3478" t="s">
        <v>3751</v>
      </c>
      <c r="B57" s="3478" t="s">
        <v>3378</v>
      </c>
      <c r="C57" s="3478" t="s">
        <v>3750</v>
      </c>
      <c r="D57" s="3478" t="s">
        <v>3600</v>
      </c>
      <c r="E57" s="3478" t="s">
        <v>3599</v>
      </c>
      <c r="F57" s="3478" t="s">
        <v>3749</v>
      </c>
      <c r="G57" s="3478" t="s">
        <v>3748</v>
      </c>
      <c r="H57" s="3478" t="s">
        <v>3430</v>
      </c>
      <c r="I57" s="3478">
        <v>74642.399999999994</v>
      </c>
      <c r="J57" s="3478">
        <v>82107</v>
      </c>
      <c r="K57" s="3478" t="s">
        <v>3747</v>
      </c>
      <c r="L57" s="3478" t="s">
        <v>3431</v>
      </c>
      <c r="M57" s="3478" t="s">
        <v>3632</v>
      </c>
      <c r="N57" s="3478" t="s">
        <v>3433</v>
      </c>
      <c r="O57" s="3478" t="s">
        <v>3472</v>
      </c>
      <c r="P57" s="3478" t="s">
        <v>3594</v>
      </c>
      <c r="Q57" s="3478" t="s">
        <v>3746</v>
      </c>
      <c r="R57" s="3478" t="s">
        <v>3645</v>
      </c>
      <c r="S57" s="3478" t="s">
        <v>3644</v>
      </c>
      <c r="T57" s="3478" t="s">
        <v>3470</v>
      </c>
      <c r="U57" s="3478" t="s">
        <v>3470</v>
      </c>
      <c r="V57" s="3478">
        <v>0</v>
      </c>
      <c r="W57" s="3478">
        <v>0</v>
      </c>
      <c r="X57" s="3478">
        <v>0</v>
      </c>
      <c r="Y57" s="3478">
        <v>0</v>
      </c>
      <c r="Z57" s="3481">
        <v>43770.000497685185</v>
      </c>
      <c r="AA57" s="3481">
        <v>43790.000497685185</v>
      </c>
      <c r="AB57" s="3481">
        <v>43804.000497685185</v>
      </c>
      <c r="AC57" s="3480">
        <v>43804.000497685185</v>
      </c>
      <c r="AD57" s="3478" t="s">
        <v>3745</v>
      </c>
      <c r="AE57" s="3478" t="s">
        <v>3434</v>
      </c>
      <c r="AF57" s="3478" t="s">
        <v>3744</v>
      </c>
      <c r="AG57" s="3478" t="s">
        <v>3743</v>
      </c>
      <c r="AH57" s="3478" t="s">
        <v>3694</v>
      </c>
      <c r="AI57" s="3478">
        <v>260000</v>
      </c>
      <c r="AJ57" s="3478">
        <v>52000</v>
      </c>
      <c r="AK57" s="3478" t="s">
        <v>3742</v>
      </c>
      <c r="AL57" s="3478">
        <v>260000</v>
      </c>
      <c r="AM57" s="3478">
        <v>2322.1799999999998</v>
      </c>
      <c r="AN57" s="3478">
        <v>2322.1799999999998</v>
      </c>
      <c r="AO57" s="3478">
        <v>31666</v>
      </c>
      <c r="AP57" s="3479">
        <v>31666</v>
      </c>
      <c r="AQ57" s="3478" t="s">
        <v>3470</v>
      </c>
      <c r="AR57" s="3478" t="s">
        <v>3470</v>
      </c>
      <c r="AS57" s="3478">
        <v>0</v>
      </c>
      <c r="AT57" s="3478" t="s">
        <v>3627</v>
      </c>
      <c r="AU57" s="3478" t="s">
        <v>3472</v>
      </c>
      <c r="AV57" s="3478" t="s">
        <v>3470</v>
      </c>
      <c r="AW57" s="3478" t="s">
        <v>3472</v>
      </c>
      <c r="AX57" s="3478" t="s">
        <v>3470</v>
      </c>
      <c r="AY57" s="3478" t="s">
        <v>3470</v>
      </c>
      <c r="AZ57" s="3478" t="s">
        <v>3470</v>
      </c>
    </row>
    <row r="58" spans="1:52" hidden="1">
      <c r="A58" s="3478" t="s">
        <v>3741</v>
      </c>
      <c r="B58" s="3478" t="s">
        <v>3378</v>
      </c>
      <c r="C58" s="3478" t="s">
        <v>3740</v>
      </c>
      <c r="D58" s="3478" t="s">
        <v>3600</v>
      </c>
      <c r="E58" s="3478" t="s">
        <v>3739</v>
      </c>
      <c r="F58" s="3478" t="s">
        <v>3738</v>
      </c>
      <c r="G58" s="3478" t="s">
        <v>3737</v>
      </c>
      <c r="H58" s="3478" t="s">
        <v>3447</v>
      </c>
      <c r="I58" s="3478">
        <v>35805</v>
      </c>
      <c r="J58" s="3478">
        <v>71581</v>
      </c>
      <c r="K58" s="3478" t="s">
        <v>3736</v>
      </c>
      <c r="L58" s="3478" t="s">
        <v>3431</v>
      </c>
      <c r="M58" s="3478" t="s">
        <v>3595</v>
      </c>
      <c r="N58" s="3478" t="s">
        <v>3433</v>
      </c>
      <c r="O58" s="3478" t="s">
        <v>3472</v>
      </c>
      <c r="P58" s="3478" t="s">
        <v>3594</v>
      </c>
      <c r="Q58" s="3478" t="s">
        <v>3735</v>
      </c>
      <c r="R58" s="3478" t="s">
        <v>3659</v>
      </c>
      <c r="S58" s="3478" t="s">
        <v>3659</v>
      </c>
      <c r="T58" s="3478" t="s">
        <v>3664</v>
      </c>
      <c r="U58" s="3478" t="s">
        <v>3470</v>
      </c>
      <c r="V58" s="3478">
        <v>0</v>
      </c>
      <c r="W58" s="3478">
        <v>0</v>
      </c>
      <c r="X58" s="3478">
        <v>68381</v>
      </c>
      <c r="Y58" s="3478">
        <v>68381</v>
      </c>
      <c r="Z58" s="3481">
        <v>43753.000497685185</v>
      </c>
      <c r="AA58" s="3481">
        <v>43773.000497685185</v>
      </c>
      <c r="AB58" s="3481">
        <v>43787.000497685185</v>
      </c>
      <c r="AC58" s="3480">
        <v>43787.000497685185</v>
      </c>
      <c r="AD58" s="3478" t="s">
        <v>3734</v>
      </c>
      <c r="AE58" s="3478" t="s">
        <v>3434</v>
      </c>
      <c r="AF58" s="3478" t="s">
        <v>3733</v>
      </c>
      <c r="AG58" s="3478" t="s">
        <v>3732</v>
      </c>
      <c r="AH58" s="3478" t="s">
        <v>3636</v>
      </c>
      <c r="AI58" s="3478">
        <v>77000</v>
      </c>
      <c r="AJ58" s="3478">
        <v>15400</v>
      </c>
      <c r="AK58" s="3478" t="s">
        <v>3731</v>
      </c>
      <c r="AL58" s="3478">
        <v>85000</v>
      </c>
      <c r="AM58" s="3478">
        <v>1433.69</v>
      </c>
      <c r="AN58" s="3478">
        <v>1582.65</v>
      </c>
      <c r="AO58" s="3478">
        <v>10757</v>
      </c>
      <c r="AP58" s="3479">
        <v>11875</v>
      </c>
      <c r="AQ58" s="3478" t="s">
        <v>3470</v>
      </c>
      <c r="AR58" s="3478" t="s">
        <v>3470</v>
      </c>
      <c r="AS58" s="3478">
        <v>10.39</v>
      </c>
      <c r="AT58" s="3478" t="s">
        <v>3627</v>
      </c>
      <c r="AU58" s="3478" t="s">
        <v>3472</v>
      </c>
      <c r="AV58" s="3478" t="s">
        <v>3470</v>
      </c>
      <c r="AW58" s="3478">
        <v>29000</v>
      </c>
      <c r="AX58" s="3478" t="s">
        <v>3470</v>
      </c>
      <c r="AY58" s="3478" t="s">
        <v>3470</v>
      </c>
      <c r="AZ58" s="3478">
        <v>18243</v>
      </c>
    </row>
    <row r="59" spans="1:52" hidden="1">
      <c r="A59" s="3478" t="s">
        <v>3730</v>
      </c>
      <c r="B59" s="3478" t="s">
        <v>3378</v>
      </c>
      <c r="C59" s="3478" t="s">
        <v>3729</v>
      </c>
      <c r="D59" s="3478" t="s">
        <v>3600</v>
      </c>
      <c r="E59" s="3478" t="s">
        <v>3613</v>
      </c>
      <c r="F59" s="3478" t="s">
        <v>3720</v>
      </c>
      <c r="G59" s="3478" t="s">
        <v>3728</v>
      </c>
      <c r="H59" s="3478" t="s">
        <v>3447</v>
      </c>
      <c r="I59" s="3478">
        <v>42541.4</v>
      </c>
      <c r="J59" s="3478">
        <v>108921.52</v>
      </c>
      <c r="K59" s="3478" t="s">
        <v>3727</v>
      </c>
      <c r="L59" s="3478" t="s">
        <v>3431</v>
      </c>
      <c r="M59" s="3478" t="s">
        <v>3595</v>
      </c>
      <c r="N59" s="3478" t="s">
        <v>3433</v>
      </c>
      <c r="O59" s="3478" t="s">
        <v>3472</v>
      </c>
      <c r="P59" s="3478" t="s">
        <v>3594</v>
      </c>
      <c r="Q59" s="3478" t="s">
        <v>3726</v>
      </c>
      <c r="R59" s="3478" t="s">
        <v>3608</v>
      </c>
      <c r="S59" s="3478" t="s">
        <v>3607</v>
      </c>
      <c r="T59" s="3478" t="s">
        <v>3470</v>
      </c>
      <c r="U59" s="3478" t="s">
        <v>3470</v>
      </c>
      <c r="V59" s="3478">
        <v>0</v>
      </c>
      <c r="W59" s="3478">
        <v>0</v>
      </c>
      <c r="X59" s="3478">
        <v>0</v>
      </c>
      <c r="Y59" s="3478">
        <v>0</v>
      </c>
      <c r="Z59" s="3481">
        <v>43748.000497685185</v>
      </c>
      <c r="AA59" s="3481">
        <v>43768.000497685185</v>
      </c>
      <c r="AB59" s="3481">
        <v>43782.000497685185</v>
      </c>
      <c r="AC59" s="3480">
        <v>43782.000497685185</v>
      </c>
      <c r="AD59" s="3478" t="s">
        <v>3725</v>
      </c>
      <c r="AE59" s="3478" t="s">
        <v>3434</v>
      </c>
      <c r="AF59" s="3478" t="s">
        <v>3724</v>
      </c>
      <c r="AG59" s="3478" t="s">
        <v>3723</v>
      </c>
      <c r="AH59" s="3478" t="s">
        <v>3654</v>
      </c>
      <c r="AI59" s="3478">
        <v>292000</v>
      </c>
      <c r="AJ59" s="3478">
        <v>58400</v>
      </c>
      <c r="AK59" s="3478" t="s">
        <v>3714</v>
      </c>
      <c r="AL59" s="3478">
        <v>307000</v>
      </c>
      <c r="AM59" s="3478">
        <v>4575.93</v>
      </c>
      <c r="AN59" s="3478">
        <v>4811</v>
      </c>
      <c r="AO59" s="3478">
        <v>26808</v>
      </c>
      <c r="AP59" s="3479">
        <v>28185</v>
      </c>
      <c r="AQ59" s="3478" t="s">
        <v>3470</v>
      </c>
      <c r="AR59" s="3478" t="s">
        <v>3470</v>
      </c>
      <c r="AS59" s="3478">
        <v>5.14</v>
      </c>
      <c r="AT59" s="3478" t="s">
        <v>3627</v>
      </c>
      <c r="AU59" s="3478" t="s">
        <v>3472</v>
      </c>
      <c r="AV59" s="3478" t="s">
        <v>3470</v>
      </c>
      <c r="AW59" s="3478" t="s">
        <v>3472</v>
      </c>
      <c r="AX59" s="3478" t="s">
        <v>3470</v>
      </c>
      <c r="AY59" s="3478" t="s">
        <v>3470</v>
      </c>
      <c r="AZ59" s="3478" t="s">
        <v>3470</v>
      </c>
    </row>
    <row r="60" spans="1:52" hidden="1">
      <c r="A60" s="3478" t="s">
        <v>3722</v>
      </c>
      <c r="B60" s="3478" t="s">
        <v>3378</v>
      </c>
      <c r="C60" s="3478" t="s">
        <v>3721</v>
      </c>
      <c r="D60" s="3478" t="s">
        <v>3600</v>
      </c>
      <c r="E60" s="3478" t="s">
        <v>3613</v>
      </c>
      <c r="F60" s="3478" t="s">
        <v>3720</v>
      </c>
      <c r="G60" s="3478" t="s">
        <v>3719</v>
      </c>
      <c r="H60" s="3478" t="s">
        <v>3430</v>
      </c>
      <c r="I60" s="3478">
        <v>54735.8</v>
      </c>
      <c r="J60" s="3478">
        <v>153260.24</v>
      </c>
      <c r="K60" s="3478" t="s">
        <v>3718</v>
      </c>
      <c r="L60" s="3478" t="s">
        <v>3431</v>
      </c>
      <c r="M60" s="3478" t="s">
        <v>3632</v>
      </c>
      <c r="N60" s="3478" t="s">
        <v>3433</v>
      </c>
      <c r="O60" s="3478" t="s">
        <v>3472</v>
      </c>
      <c r="P60" s="3478" t="s">
        <v>3594</v>
      </c>
      <c r="Q60" s="3478" t="s">
        <v>3646</v>
      </c>
      <c r="R60" s="3478" t="s">
        <v>3608</v>
      </c>
      <c r="S60" s="3478" t="s">
        <v>3607</v>
      </c>
      <c r="T60" s="3478" t="s">
        <v>3470</v>
      </c>
      <c r="U60" s="3478" t="s">
        <v>3470</v>
      </c>
      <c r="V60" s="3478">
        <v>0</v>
      </c>
      <c r="W60" s="3478">
        <v>0</v>
      </c>
      <c r="X60" s="3478">
        <v>0</v>
      </c>
      <c r="Y60" s="3478">
        <v>0</v>
      </c>
      <c r="Z60" s="3481">
        <v>43748.000497685185</v>
      </c>
      <c r="AA60" s="3481">
        <v>43768.000497685185</v>
      </c>
      <c r="AB60" s="3481">
        <v>43782.000497685185</v>
      </c>
      <c r="AC60" s="3480">
        <v>43782.000497685185</v>
      </c>
      <c r="AD60" s="3478" t="s">
        <v>3717</v>
      </c>
      <c r="AE60" s="3478" t="s">
        <v>3434</v>
      </c>
      <c r="AF60" s="3478" t="s">
        <v>3716</v>
      </c>
      <c r="AG60" s="3478" t="s">
        <v>3715</v>
      </c>
      <c r="AH60" s="3478" t="s">
        <v>3616</v>
      </c>
      <c r="AI60" s="3478">
        <v>426000</v>
      </c>
      <c r="AJ60" s="3478">
        <v>85200</v>
      </c>
      <c r="AK60" s="3478" t="s">
        <v>3714</v>
      </c>
      <c r="AL60" s="3478">
        <v>428150</v>
      </c>
      <c r="AM60" s="3478">
        <v>5188.5600000000004</v>
      </c>
      <c r="AN60" s="3478">
        <v>5214.75</v>
      </c>
      <c r="AO60" s="3478">
        <v>27796</v>
      </c>
      <c r="AP60" s="3479">
        <v>27936</v>
      </c>
      <c r="AQ60" s="3478" t="s">
        <v>3470</v>
      </c>
      <c r="AR60" s="3478" t="s">
        <v>3470</v>
      </c>
      <c r="AS60" s="3478">
        <v>0.5</v>
      </c>
      <c r="AT60" s="3478" t="s">
        <v>3627</v>
      </c>
      <c r="AU60" s="3478" t="s">
        <v>3472</v>
      </c>
      <c r="AV60" s="3478" t="s">
        <v>3470</v>
      </c>
      <c r="AW60" s="3478">
        <v>52695</v>
      </c>
      <c r="AX60" s="3478" t="s">
        <v>3470</v>
      </c>
      <c r="AY60" s="3478" t="s">
        <v>3470</v>
      </c>
      <c r="AZ60" s="3478">
        <v>24899</v>
      </c>
    </row>
    <row r="61" spans="1:52" hidden="1">
      <c r="A61" s="3478" t="s">
        <v>3713</v>
      </c>
      <c r="B61" s="3478" t="s">
        <v>3378</v>
      </c>
      <c r="C61" s="3478" t="s">
        <v>3712</v>
      </c>
      <c r="D61" s="3478" t="s">
        <v>3600</v>
      </c>
      <c r="E61" s="3478" t="s">
        <v>3613</v>
      </c>
      <c r="F61" s="3478" t="s">
        <v>3711</v>
      </c>
      <c r="G61" s="3478" t="s">
        <v>3710</v>
      </c>
      <c r="H61" s="3478" t="s">
        <v>3447</v>
      </c>
      <c r="I61" s="3478">
        <v>58822.99</v>
      </c>
      <c r="J61" s="3478">
        <v>97871</v>
      </c>
      <c r="K61" s="3478" t="s">
        <v>3709</v>
      </c>
      <c r="L61" s="3478" t="s">
        <v>3431</v>
      </c>
      <c r="M61" s="3478" t="s">
        <v>3595</v>
      </c>
      <c r="N61" s="3478" t="s">
        <v>3433</v>
      </c>
      <c r="O61" s="3478" t="s">
        <v>3472</v>
      </c>
      <c r="P61" s="3478" t="s">
        <v>3594</v>
      </c>
      <c r="Q61" s="3478" t="s">
        <v>3708</v>
      </c>
      <c r="R61" s="3478" t="s">
        <v>3608</v>
      </c>
      <c r="S61" s="3478" t="s">
        <v>3607</v>
      </c>
      <c r="T61" s="3478" t="s">
        <v>3470</v>
      </c>
      <c r="U61" s="3478" t="s">
        <v>3470</v>
      </c>
      <c r="V61" s="3478">
        <v>0</v>
      </c>
      <c r="W61" s="3478">
        <v>0</v>
      </c>
      <c r="X61" s="3478">
        <v>0</v>
      </c>
      <c r="Y61" s="3478">
        <v>0</v>
      </c>
      <c r="Z61" s="3481">
        <v>43705.000497685185</v>
      </c>
      <c r="AA61" s="3481">
        <v>43734.000497685185</v>
      </c>
      <c r="AB61" s="3481">
        <v>43753.000497685185</v>
      </c>
      <c r="AC61" s="3480">
        <v>43753.000497685185</v>
      </c>
      <c r="AD61" s="3478" t="s">
        <v>3707</v>
      </c>
      <c r="AE61" s="3478" t="s">
        <v>3434</v>
      </c>
      <c r="AF61" s="3478" t="s">
        <v>3706</v>
      </c>
      <c r="AG61" s="3478" t="s">
        <v>3705</v>
      </c>
      <c r="AH61" s="3478" t="s">
        <v>3636</v>
      </c>
      <c r="AI61" s="3478">
        <v>181000</v>
      </c>
      <c r="AJ61" s="3478">
        <v>36500</v>
      </c>
      <c r="AK61" s="3478" t="s">
        <v>3693</v>
      </c>
      <c r="AL61" s="3478">
        <v>203000</v>
      </c>
      <c r="AM61" s="3478">
        <v>2051.35</v>
      </c>
      <c r="AN61" s="3478">
        <v>2300.69</v>
      </c>
      <c r="AO61" s="3478">
        <v>18494</v>
      </c>
      <c r="AP61" s="3479">
        <v>20742</v>
      </c>
      <c r="AQ61" s="3478" t="s">
        <v>3470</v>
      </c>
      <c r="AR61" s="3478" t="s">
        <v>3470</v>
      </c>
      <c r="AS61" s="3478">
        <v>12.15</v>
      </c>
      <c r="AT61" s="3478" t="s">
        <v>3627</v>
      </c>
      <c r="AU61" s="3478" t="s">
        <v>3472</v>
      </c>
      <c r="AV61" s="3478" t="s">
        <v>3470</v>
      </c>
      <c r="AW61" s="3478">
        <v>42672</v>
      </c>
      <c r="AX61" s="3478" t="s">
        <v>3470</v>
      </c>
      <c r="AY61" s="3478" t="s">
        <v>3470</v>
      </c>
      <c r="AZ61" s="3478">
        <v>24178</v>
      </c>
    </row>
    <row r="62" spans="1:52" hidden="1">
      <c r="A62" s="3478" t="s">
        <v>3704</v>
      </c>
      <c r="B62" s="3478" t="s">
        <v>3378</v>
      </c>
      <c r="C62" s="3478" t="s">
        <v>3703</v>
      </c>
      <c r="D62" s="3478" t="s">
        <v>3600</v>
      </c>
      <c r="E62" s="3478" t="s">
        <v>3613</v>
      </c>
      <c r="F62" s="3478" t="s">
        <v>3702</v>
      </c>
      <c r="G62" s="3478" t="s">
        <v>3701</v>
      </c>
      <c r="H62" s="3478" t="s">
        <v>3447</v>
      </c>
      <c r="I62" s="3478">
        <v>56722.42</v>
      </c>
      <c r="J62" s="3478">
        <v>124449</v>
      </c>
      <c r="K62" s="3478" t="s">
        <v>3700</v>
      </c>
      <c r="L62" s="3478" t="s">
        <v>3431</v>
      </c>
      <c r="M62" s="3478" t="s">
        <v>3699</v>
      </c>
      <c r="N62" s="3478" t="s">
        <v>3433</v>
      </c>
      <c r="O62" s="3478" t="s">
        <v>3472</v>
      </c>
      <c r="P62" s="3478" t="s">
        <v>3594</v>
      </c>
      <c r="Q62" s="3478" t="s">
        <v>3698</v>
      </c>
      <c r="R62" s="3478" t="s">
        <v>3608</v>
      </c>
      <c r="S62" s="3478" t="s">
        <v>3607</v>
      </c>
      <c r="T62" s="3478" t="s">
        <v>3470</v>
      </c>
      <c r="U62" s="3478" t="s">
        <v>3470</v>
      </c>
      <c r="V62" s="3478">
        <v>0</v>
      </c>
      <c r="W62" s="3478">
        <v>0</v>
      </c>
      <c r="X62" s="3478">
        <v>0</v>
      </c>
      <c r="Y62" s="3478">
        <v>0</v>
      </c>
      <c r="Z62" s="3481">
        <v>43705.000497685185</v>
      </c>
      <c r="AA62" s="3481">
        <v>43734.000497685185</v>
      </c>
      <c r="AB62" s="3481">
        <v>43753.000497685185</v>
      </c>
      <c r="AC62" s="3480">
        <v>43753.000497685185</v>
      </c>
      <c r="AD62" s="3478" t="s">
        <v>3697</v>
      </c>
      <c r="AE62" s="3478" t="s">
        <v>3434</v>
      </c>
      <c r="AF62" s="3478" t="s">
        <v>3696</v>
      </c>
      <c r="AG62" s="3478" t="s">
        <v>3695</v>
      </c>
      <c r="AH62" s="3478" t="s">
        <v>3694</v>
      </c>
      <c r="AI62" s="3478">
        <v>330000</v>
      </c>
      <c r="AJ62" s="3478">
        <v>66000</v>
      </c>
      <c r="AK62" s="3478" t="s">
        <v>3693</v>
      </c>
      <c r="AL62" s="3478">
        <v>443000</v>
      </c>
      <c r="AM62" s="3478">
        <v>3878.54</v>
      </c>
      <c r="AN62" s="3478">
        <v>5206.6400000000003</v>
      </c>
      <c r="AO62" s="3478">
        <v>26517</v>
      </c>
      <c r="AP62" s="3479">
        <v>35597</v>
      </c>
      <c r="AQ62" s="3478" t="s">
        <v>3470</v>
      </c>
      <c r="AR62" s="3478" t="s">
        <v>3470</v>
      </c>
      <c r="AS62" s="3478">
        <v>34.24</v>
      </c>
      <c r="AT62" s="3478" t="s">
        <v>3627</v>
      </c>
      <c r="AU62" s="3478" t="s">
        <v>3472</v>
      </c>
      <c r="AV62" s="3478" t="s">
        <v>3470</v>
      </c>
      <c r="AW62" s="3478">
        <v>54715</v>
      </c>
      <c r="AX62" s="3478" t="s">
        <v>3470</v>
      </c>
      <c r="AY62" s="3478" t="s">
        <v>3470</v>
      </c>
      <c r="AZ62" s="3478">
        <v>28198</v>
      </c>
    </row>
    <row r="63" spans="1:52" hidden="1">
      <c r="A63" s="3478" t="s">
        <v>3692</v>
      </c>
      <c r="B63" s="3478" t="s">
        <v>3378</v>
      </c>
      <c r="C63" s="3478" t="s">
        <v>3691</v>
      </c>
      <c r="D63" s="3478" t="s">
        <v>3600</v>
      </c>
      <c r="E63" s="3478" t="s">
        <v>3613</v>
      </c>
      <c r="F63" s="3478" t="s">
        <v>3690</v>
      </c>
      <c r="G63" s="3478" t="s">
        <v>3689</v>
      </c>
      <c r="H63" s="3478" t="s">
        <v>3447</v>
      </c>
      <c r="I63" s="3478">
        <v>88404.4</v>
      </c>
      <c r="J63" s="3478">
        <v>173209</v>
      </c>
      <c r="K63" s="3478" t="s">
        <v>3688</v>
      </c>
      <c r="L63" s="3478" t="s">
        <v>3431</v>
      </c>
      <c r="M63" s="3478" t="s">
        <v>3595</v>
      </c>
      <c r="N63" s="3478" t="s">
        <v>3433</v>
      </c>
      <c r="O63" s="3478" t="s">
        <v>3472</v>
      </c>
      <c r="P63" s="3478" t="s">
        <v>3594</v>
      </c>
      <c r="Q63" s="3478" t="s">
        <v>3687</v>
      </c>
      <c r="R63" s="3478" t="s">
        <v>3608</v>
      </c>
      <c r="S63" s="3478" t="s">
        <v>3686</v>
      </c>
      <c r="T63" s="3478" t="s">
        <v>3470</v>
      </c>
      <c r="U63" s="3478" t="s">
        <v>3470</v>
      </c>
      <c r="V63" s="3478">
        <v>0</v>
      </c>
      <c r="W63" s="3478">
        <v>0</v>
      </c>
      <c r="X63" s="3478">
        <v>0</v>
      </c>
      <c r="Y63" s="3478">
        <v>0</v>
      </c>
      <c r="Z63" s="3481">
        <v>43698.000497685185</v>
      </c>
      <c r="AA63" s="3481">
        <v>43718.000497685185</v>
      </c>
      <c r="AB63" s="3481">
        <v>43733.000497685185</v>
      </c>
      <c r="AC63" s="3480">
        <v>43733.000497685185</v>
      </c>
      <c r="AD63" s="3478" t="s">
        <v>3685</v>
      </c>
      <c r="AE63" s="3478" t="s">
        <v>3434</v>
      </c>
      <c r="AF63" s="3478" t="s">
        <v>3684</v>
      </c>
      <c r="AG63" s="3478" t="s">
        <v>3683</v>
      </c>
      <c r="AH63" s="3478" t="s">
        <v>3616</v>
      </c>
      <c r="AI63" s="3478">
        <v>330000</v>
      </c>
      <c r="AJ63" s="3478">
        <v>66000</v>
      </c>
      <c r="AK63" s="3478" t="s">
        <v>3668</v>
      </c>
      <c r="AL63" s="3478">
        <v>330000</v>
      </c>
      <c r="AM63" s="3478">
        <v>2488.56</v>
      </c>
      <c r="AN63" s="3478">
        <v>2488.56</v>
      </c>
      <c r="AO63" s="3478">
        <v>19052</v>
      </c>
      <c r="AP63" s="3479">
        <v>19052</v>
      </c>
      <c r="AQ63" s="3478" t="s">
        <v>3470</v>
      </c>
      <c r="AR63" s="3478" t="s">
        <v>3470</v>
      </c>
      <c r="AS63" s="3478">
        <v>0</v>
      </c>
      <c r="AT63" s="3478" t="s">
        <v>3627</v>
      </c>
      <c r="AU63" s="3478" t="s">
        <v>3472</v>
      </c>
      <c r="AV63" s="3478" t="s">
        <v>3470</v>
      </c>
      <c r="AW63" s="3478">
        <v>42158</v>
      </c>
      <c r="AX63" s="3478" t="s">
        <v>3470</v>
      </c>
      <c r="AY63" s="3478" t="s">
        <v>3470</v>
      </c>
      <c r="AZ63" s="3478">
        <v>23106</v>
      </c>
    </row>
    <row r="64" spans="1:52" hidden="1">
      <c r="A64" s="3478" t="s">
        <v>3682</v>
      </c>
      <c r="B64" s="3478" t="s">
        <v>3378</v>
      </c>
      <c r="C64" s="3478" t="s">
        <v>3681</v>
      </c>
      <c r="D64" s="3478" t="s">
        <v>3600</v>
      </c>
      <c r="E64" s="3478" t="s">
        <v>3613</v>
      </c>
      <c r="F64" s="3478" t="s">
        <v>3624</v>
      </c>
      <c r="G64" s="3478" t="s">
        <v>3623</v>
      </c>
      <c r="H64" s="3478" t="s">
        <v>3430</v>
      </c>
      <c r="I64" s="3478">
        <v>45889.5</v>
      </c>
      <c r="J64" s="3478">
        <v>100957</v>
      </c>
      <c r="K64" s="3478" t="s">
        <v>3440</v>
      </c>
      <c r="L64" s="3478" t="s">
        <v>3431</v>
      </c>
      <c r="M64" s="3478" t="s">
        <v>3632</v>
      </c>
      <c r="N64" s="3478" t="s">
        <v>3433</v>
      </c>
      <c r="O64" s="3478" t="s">
        <v>3472</v>
      </c>
      <c r="P64" s="3478" t="s">
        <v>3594</v>
      </c>
      <c r="Q64" s="3478" t="s">
        <v>3680</v>
      </c>
      <c r="R64" s="3478" t="s">
        <v>3608</v>
      </c>
      <c r="S64" s="3478" t="s">
        <v>3607</v>
      </c>
      <c r="T64" s="3478" t="s">
        <v>3470</v>
      </c>
      <c r="U64" s="3478" t="s">
        <v>3470</v>
      </c>
      <c r="V64" s="3478">
        <v>0</v>
      </c>
      <c r="W64" s="3478">
        <v>0</v>
      </c>
      <c r="X64" s="3478">
        <v>0</v>
      </c>
      <c r="Y64" s="3478">
        <v>0</v>
      </c>
      <c r="Z64" s="3481">
        <v>43698.000497685185</v>
      </c>
      <c r="AA64" s="3481">
        <v>43718.000497685185</v>
      </c>
      <c r="AB64" s="3481">
        <v>43733.000497685185</v>
      </c>
      <c r="AC64" s="3480">
        <v>43733.000497685185</v>
      </c>
      <c r="AD64" s="3478" t="s">
        <v>3679</v>
      </c>
      <c r="AE64" s="3478" t="s">
        <v>3434</v>
      </c>
      <c r="AF64" s="3478" t="s">
        <v>3618</v>
      </c>
      <c r="AG64" s="3478" t="s">
        <v>3617</v>
      </c>
      <c r="AH64" s="3478" t="s">
        <v>3616</v>
      </c>
      <c r="AI64" s="3478">
        <v>260000</v>
      </c>
      <c r="AJ64" s="3478">
        <v>52000</v>
      </c>
      <c r="AK64" s="3478" t="s">
        <v>3668</v>
      </c>
      <c r="AL64" s="3478">
        <v>327000</v>
      </c>
      <c r="AM64" s="3478">
        <v>3777.19</v>
      </c>
      <c r="AN64" s="3478">
        <v>4750.54</v>
      </c>
      <c r="AO64" s="3478">
        <v>25754</v>
      </c>
      <c r="AP64" s="3479">
        <v>32390</v>
      </c>
      <c r="AQ64" s="3478" t="s">
        <v>3470</v>
      </c>
      <c r="AR64" s="3478" t="s">
        <v>3470</v>
      </c>
      <c r="AS64" s="3478">
        <v>25.77</v>
      </c>
      <c r="AT64" s="3478" t="s">
        <v>3627</v>
      </c>
      <c r="AU64" s="3478" t="s">
        <v>3472</v>
      </c>
      <c r="AV64" s="3478" t="s">
        <v>3470</v>
      </c>
      <c r="AW64" s="3478">
        <v>52449</v>
      </c>
      <c r="AX64" s="3478" t="s">
        <v>3470</v>
      </c>
      <c r="AY64" s="3478" t="s">
        <v>3470</v>
      </c>
      <c r="AZ64" s="3478">
        <v>26695</v>
      </c>
    </row>
    <row r="65" spans="1:52" hidden="1">
      <c r="A65" s="3478" t="s">
        <v>3678</v>
      </c>
      <c r="B65" s="3478" t="s">
        <v>3378</v>
      </c>
      <c r="C65" s="3478" t="s">
        <v>3677</v>
      </c>
      <c r="D65" s="3478" t="s">
        <v>3600</v>
      </c>
      <c r="E65" s="3478" t="s">
        <v>3599</v>
      </c>
      <c r="F65" s="3478" t="s">
        <v>3676</v>
      </c>
      <c r="G65" s="3478" t="s">
        <v>3675</v>
      </c>
      <c r="H65" s="3478" t="s">
        <v>3447</v>
      </c>
      <c r="I65" s="3478">
        <v>21023.4</v>
      </c>
      <c r="J65" s="3478">
        <v>63070</v>
      </c>
      <c r="K65" s="3478" t="s">
        <v>3674</v>
      </c>
      <c r="L65" s="3478" t="s">
        <v>3431</v>
      </c>
      <c r="M65" s="3478" t="s">
        <v>3610</v>
      </c>
      <c r="N65" s="3478" t="s">
        <v>3433</v>
      </c>
      <c r="O65" s="3478" t="s">
        <v>3472</v>
      </c>
      <c r="P65" s="3478" t="s">
        <v>3673</v>
      </c>
      <c r="Q65" s="3478" t="s">
        <v>3646</v>
      </c>
      <c r="R65" s="3478" t="s">
        <v>3645</v>
      </c>
      <c r="S65" s="3478" t="s">
        <v>3644</v>
      </c>
      <c r="T65" s="3478" t="s">
        <v>3470</v>
      </c>
      <c r="U65" s="3478" t="s">
        <v>3470</v>
      </c>
      <c r="V65" s="3478">
        <v>0</v>
      </c>
      <c r="W65" s="3478">
        <v>0</v>
      </c>
      <c r="X65" s="3478">
        <v>0</v>
      </c>
      <c r="Y65" s="3478">
        <v>0</v>
      </c>
      <c r="Z65" s="3481">
        <v>43698.000497685185</v>
      </c>
      <c r="AA65" s="3481">
        <v>43718.000497685185</v>
      </c>
      <c r="AB65" s="3481">
        <v>43733.000497685185</v>
      </c>
      <c r="AC65" s="3480">
        <v>43733.000497685185</v>
      </c>
      <c r="AD65" s="3478" t="s">
        <v>3672</v>
      </c>
      <c r="AE65" s="3478" t="s">
        <v>3434</v>
      </c>
      <c r="AF65" s="3478" t="s">
        <v>3671</v>
      </c>
      <c r="AG65" s="3478" t="s">
        <v>3670</v>
      </c>
      <c r="AH65" s="3478" t="s">
        <v>3669</v>
      </c>
      <c r="AI65" s="3478">
        <v>266900</v>
      </c>
      <c r="AJ65" s="3478">
        <v>53500</v>
      </c>
      <c r="AK65" s="3478" t="s">
        <v>3668</v>
      </c>
      <c r="AL65" s="3478">
        <v>282000</v>
      </c>
      <c r="AM65" s="3478">
        <v>8463.58</v>
      </c>
      <c r="AN65" s="3478">
        <v>8942.42</v>
      </c>
      <c r="AO65" s="3478">
        <v>42318</v>
      </c>
      <c r="AP65" s="3479">
        <v>44712</v>
      </c>
      <c r="AQ65" s="3478" t="s">
        <v>3470</v>
      </c>
      <c r="AR65" s="3478" t="s">
        <v>3470</v>
      </c>
      <c r="AS65" s="3478">
        <v>5.66</v>
      </c>
      <c r="AT65" s="3478" t="s">
        <v>3627</v>
      </c>
      <c r="AU65" s="3478" t="s">
        <v>3472</v>
      </c>
      <c r="AV65" s="3478" t="s">
        <v>3470</v>
      </c>
      <c r="AW65" s="3478" t="s">
        <v>3472</v>
      </c>
      <c r="AX65" s="3478" t="s">
        <v>3470</v>
      </c>
      <c r="AY65" s="3478" t="s">
        <v>3470</v>
      </c>
      <c r="AZ65" s="3478" t="s">
        <v>3470</v>
      </c>
    </row>
    <row r="66" spans="1:52" s="3482" customFormat="1">
      <c r="A66" s="3482" t="s">
        <v>3486</v>
      </c>
      <c r="B66" s="3478" t="s">
        <v>3378</v>
      </c>
      <c r="C66" s="3478" t="s">
        <v>3475</v>
      </c>
      <c r="D66" s="3478" t="s">
        <v>3600</v>
      </c>
      <c r="E66" s="3478" t="s">
        <v>3613</v>
      </c>
      <c r="F66" s="3482" t="s">
        <v>3624</v>
      </c>
      <c r="G66" s="3482" t="s">
        <v>3623</v>
      </c>
      <c r="H66" s="3482" t="s">
        <v>3447</v>
      </c>
      <c r="I66" s="3482">
        <v>47891.78</v>
      </c>
      <c r="J66" s="3482">
        <v>108059</v>
      </c>
      <c r="K66" s="3482" t="s">
        <v>3448</v>
      </c>
      <c r="L66" s="3482" t="s">
        <v>3431</v>
      </c>
      <c r="M66" s="3482" t="s">
        <v>3660</v>
      </c>
      <c r="N66" s="3482" t="s">
        <v>3433</v>
      </c>
      <c r="O66" s="3482" t="s">
        <v>3472</v>
      </c>
      <c r="P66" s="3482" t="s">
        <v>3470</v>
      </c>
      <c r="Q66" s="3482" t="s">
        <v>3470</v>
      </c>
      <c r="R66" s="3482" t="s">
        <v>3659</v>
      </c>
      <c r="S66" s="3482" t="s">
        <v>3659</v>
      </c>
      <c r="T66" s="3482" t="s">
        <v>3664</v>
      </c>
      <c r="U66" s="3482" t="s">
        <v>3470</v>
      </c>
      <c r="V66" s="3482">
        <v>0</v>
      </c>
      <c r="W66" s="3482">
        <v>0</v>
      </c>
      <c r="X66" s="3482">
        <v>103979</v>
      </c>
      <c r="Y66" s="3482">
        <v>103979</v>
      </c>
      <c r="Z66" s="3485">
        <v>43678.000497685185</v>
      </c>
      <c r="AA66" s="3485">
        <v>43699.000497685185</v>
      </c>
      <c r="AB66" s="3485">
        <v>43720.000497685185</v>
      </c>
      <c r="AC66" s="3484">
        <v>43720.000497685185</v>
      </c>
      <c r="AD66" s="3482" t="s">
        <v>3667</v>
      </c>
      <c r="AE66" s="3482" t="s">
        <v>3434</v>
      </c>
      <c r="AF66" s="3482" t="s">
        <v>3666</v>
      </c>
      <c r="AG66" s="3482" t="s">
        <v>3665</v>
      </c>
      <c r="AH66" s="3482" t="s">
        <v>3636</v>
      </c>
      <c r="AI66" s="3482">
        <v>151283</v>
      </c>
      <c r="AJ66" s="3482">
        <v>50000</v>
      </c>
      <c r="AK66" s="3482" t="s">
        <v>633</v>
      </c>
      <c r="AL66" s="3482">
        <v>151283</v>
      </c>
      <c r="AM66" s="3482">
        <v>2105.9</v>
      </c>
      <c r="AN66" s="3482">
        <v>2105.9</v>
      </c>
      <c r="AO66" s="3482">
        <v>14000</v>
      </c>
      <c r="AP66" s="3483">
        <v>14000</v>
      </c>
      <c r="AQ66" s="3482" t="s">
        <v>3470</v>
      </c>
      <c r="AR66" s="3482" t="s">
        <v>3470</v>
      </c>
      <c r="AS66" s="3482">
        <v>0</v>
      </c>
      <c r="AT66" s="3482" t="s">
        <v>3627</v>
      </c>
      <c r="AU66" s="3482" t="s">
        <v>3472</v>
      </c>
      <c r="AV66" s="3482" t="s">
        <v>3470</v>
      </c>
      <c r="AW66" s="3482">
        <v>29000</v>
      </c>
      <c r="AX66" s="3482" t="s">
        <v>3470</v>
      </c>
      <c r="AY66" s="3482" t="s">
        <v>3470</v>
      </c>
      <c r="AZ66" s="3482">
        <v>15000</v>
      </c>
    </row>
    <row r="67" spans="1:52" s="3482" customFormat="1">
      <c r="A67" s="3482" t="s">
        <v>3482</v>
      </c>
      <c r="B67" s="3482" t="s">
        <v>3378</v>
      </c>
      <c r="C67" s="3482" t="s">
        <v>3446</v>
      </c>
      <c r="D67" s="3482" t="s">
        <v>3600</v>
      </c>
      <c r="E67" s="3482" t="s">
        <v>3613</v>
      </c>
      <c r="F67" s="3482" t="s">
        <v>3624</v>
      </c>
      <c r="G67" s="3482" t="s">
        <v>3623</v>
      </c>
      <c r="H67" s="3482" t="s">
        <v>3447</v>
      </c>
      <c r="I67" s="3482">
        <v>41000.75</v>
      </c>
      <c r="J67" s="3482">
        <v>102502</v>
      </c>
      <c r="K67" s="3482" t="s">
        <v>3448</v>
      </c>
      <c r="L67" s="3482" t="s">
        <v>3431</v>
      </c>
      <c r="M67" s="3482" t="s">
        <v>3441</v>
      </c>
      <c r="N67" s="3482" t="s">
        <v>3433</v>
      </c>
      <c r="O67" s="3482" t="s">
        <v>3472</v>
      </c>
      <c r="P67" s="3482" t="s">
        <v>3470</v>
      </c>
      <c r="Q67" s="3482" t="s">
        <v>3470</v>
      </c>
      <c r="R67" s="3482" t="s">
        <v>3659</v>
      </c>
      <c r="S67" s="3482" t="s">
        <v>3659</v>
      </c>
      <c r="T67" s="3482" t="s">
        <v>3664</v>
      </c>
      <c r="U67" s="3482" t="s">
        <v>3470</v>
      </c>
      <c r="V67" s="3482">
        <v>0</v>
      </c>
      <c r="W67" s="3482">
        <v>0</v>
      </c>
      <c r="X67" s="3482">
        <v>102502</v>
      </c>
      <c r="Y67" s="3482">
        <v>102502</v>
      </c>
      <c r="Z67" s="3485">
        <v>43678.000497685185</v>
      </c>
      <c r="AA67" s="3485">
        <v>44224.000497685185</v>
      </c>
      <c r="AB67" s="3485">
        <v>44236.000497685185</v>
      </c>
      <c r="AC67" s="3484">
        <v>44237.000497685185</v>
      </c>
      <c r="AD67" s="3482" t="s">
        <v>3663</v>
      </c>
      <c r="AE67" s="3482" t="s">
        <v>3434</v>
      </c>
      <c r="AF67" s="3482" t="s">
        <v>3662</v>
      </c>
      <c r="AG67" s="3482" t="s">
        <v>3661</v>
      </c>
      <c r="AH67" s="3482" t="s">
        <v>3654</v>
      </c>
      <c r="AI67" s="3482">
        <v>146578</v>
      </c>
      <c r="AJ67" s="3482">
        <v>45000</v>
      </c>
      <c r="AK67" s="3482" t="s">
        <v>633</v>
      </c>
      <c r="AL67" s="3482">
        <v>146578</v>
      </c>
      <c r="AM67" s="3482">
        <v>2383.34</v>
      </c>
      <c r="AN67" s="3482">
        <v>2383.34</v>
      </c>
      <c r="AO67" s="3482">
        <v>14300</v>
      </c>
      <c r="AP67" s="3483">
        <v>14300</v>
      </c>
      <c r="AQ67" s="3482" t="s">
        <v>3470</v>
      </c>
      <c r="AR67" s="3482" t="s">
        <v>3470</v>
      </c>
      <c r="AS67" s="3482">
        <v>0</v>
      </c>
      <c r="AT67" s="3482" t="s">
        <v>3627</v>
      </c>
      <c r="AU67" s="3482" t="s">
        <v>3472</v>
      </c>
      <c r="AV67" s="3482" t="s">
        <v>3470</v>
      </c>
      <c r="AW67" s="3482" t="s">
        <v>3472</v>
      </c>
      <c r="AX67" s="3482" t="s">
        <v>3470</v>
      </c>
      <c r="AY67" s="3482" t="s">
        <v>3470</v>
      </c>
      <c r="AZ67" s="3482" t="s">
        <v>3470</v>
      </c>
    </row>
    <row r="68" spans="1:52" s="3482" customFormat="1">
      <c r="A68" s="3482" t="s">
        <v>3488</v>
      </c>
      <c r="B68" s="3482" t="s">
        <v>3378</v>
      </c>
      <c r="C68" s="3482" t="s">
        <v>3452</v>
      </c>
      <c r="D68" s="3482" t="s">
        <v>3600</v>
      </c>
      <c r="E68" s="3482" t="s">
        <v>3613</v>
      </c>
      <c r="F68" s="3482" t="s">
        <v>3624</v>
      </c>
      <c r="G68" s="3482" t="s">
        <v>3623</v>
      </c>
      <c r="H68" s="3482" t="s">
        <v>3447</v>
      </c>
      <c r="I68" s="3482">
        <v>62136.68</v>
      </c>
      <c r="J68" s="3482">
        <v>147241</v>
      </c>
      <c r="K68" s="3482" t="s">
        <v>3448</v>
      </c>
      <c r="L68" s="3482" t="s">
        <v>3431</v>
      </c>
      <c r="M68" s="3482" t="s">
        <v>3660</v>
      </c>
      <c r="N68" s="3482" t="s">
        <v>3433</v>
      </c>
      <c r="O68" s="3482" t="s">
        <v>3472</v>
      </c>
      <c r="P68" s="3482" t="s">
        <v>3470</v>
      </c>
      <c r="Q68" s="3482" t="s">
        <v>3470</v>
      </c>
      <c r="R68" s="3482" t="s">
        <v>3659</v>
      </c>
      <c r="S68" s="3482" t="s">
        <v>3659</v>
      </c>
      <c r="T68" s="3482" t="s">
        <v>3658</v>
      </c>
      <c r="U68" s="3482" t="s">
        <v>3470</v>
      </c>
      <c r="V68" s="3482">
        <v>0</v>
      </c>
      <c r="W68" s="3482">
        <v>0</v>
      </c>
      <c r="X68" s="3482">
        <v>141841</v>
      </c>
      <c r="Y68" s="3482">
        <v>141841</v>
      </c>
      <c r="Z68" s="3485">
        <v>43678.000497685185</v>
      </c>
      <c r="AA68" s="3485">
        <v>44176.000497685185</v>
      </c>
      <c r="AB68" s="3485">
        <v>44190.000497685185</v>
      </c>
      <c r="AC68" s="3484">
        <v>44190.000497685185</v>
      </c>
      <c r="AD68" s="3482" t="s">
        <v>3657</v>
      </c>
      <c r="AE68" s="3482" t="s">
        <v>3434</v>
      </c>
      <c r="AF68" s="3482" t="s">
        <v>3656</v>
      </c>
      <c r="AG68" s="3482" t="s">
        <v>3655</v>
      </c>
      <c r="AH68" s="3482" t="s">
        <v>3654</v>
      </c>
      <c r="AI68" s="3482">
        <v>206138</v>
      </c>
      <c r="AJ68" s="3482">
        <v>62000</v>
      </c>
      <c r="AK68" s="3482" t="s">
        <v>3455</v>
      </c>
      <c r="AL68" s="3482">
        <v>206138</v>
      </c>
      <c r="AM68" s="3482">
        <v>2211.66</v>
      </c>
      <c r="AN68" s="3482">
        <v>2211.66</v>
      </c>
      <c r="AO68" s="3482">
        <v>14000</v>
      </c>
      <c r="AP68" s="3483">
        <v>14000</v>
      </c>
      <c r="AQ68" s="3482" t="s">
        <v>3470</v>
      </c>
      <c r="AR68" s="3482" t="s">
        <v>3470</v>
      </c>
      <c r="AS68" s="3482">
        <v>0</v>
      </c>
      <c r="AT68" s="3482" t="s">
        <v>3627</v>
      </c>
      <c r="AU68" s="3482" t="s">
        <v>3472</v>
      </c>
      <c r="AV68" s="3482" t="s">
        <v>3470</v>
      </c>
      <c r="AW68" s="3482">
        <v>29000</v>
      </c>
      <c r="AX68" s="3482" t="s">
        <v>3470</v>
      </c>
      <c r="AY68" s="3482" t="s">
        <v>3470</v>
      </c>
      <c r="AZ68" s="3482">
        <v>15000</v>
      </c>
    </row>
    <row r="69" spans="1:52" hidden="1">
      <c r="A69" s="3478" t="s">
        <v>3653</v>
      </c>
      <c r="B69" s="3478" t="s">
        <v>3378</v>
      </c>
      <c r="C69" s="3478" t="s">
        <v>3652</v>
      </c>
      <c r="D69" s="3478" t="s">
        <v>3600</v>
      </c>
      <c r="E69" s="3478" t="s">
        <v>3599</v>
      </c>
      <c r="F69" s="3478" t="s">
        <v>3651</v>
      </c>
      <c r="G69" s="3478" t="s">
        <v>3650</v>
      </c>
      <c r="H69" s="3478" t="s">
        <v>3447</v>
      </c>
      <c r="I69" s="3478">
        <v>59111.519999999997</v>
      </c>
      <c r="J69" s="3478">
        <v>216452</v>
      </c>
      <c r="K69" s="3478" t="s">
        <v>3649</v>
      </c>
      <c r="L69" s="3478" t="s">
        <v>3431</v>
      </c>
      <c r="M69" s="3478" t="s">
        <v>3648</v>
      </c>
      <c r="N69" s="3478" t="s">
        <v>3433</v>
      </c>
      <c r="O69" s="3478" t="s">
        <v>3472</v>
      </c>
      <c r="P69" s="3478" t="s">
        <v>3647</v>
      </c>
      <c r="Q69" s="3478" t="s">
        <v>3646</v>
      </c>
      <c r="R69" s="3478" t="s">
        <v>3645</v>
      </c>
      <c r="S69" s="3478" t="s">
        <v>3644</v>
      </c>
      <c r="T69" s="3478" t="s">
        <v>3470</v>
      </c>
      <c r="U69" s="3478" t="s">
        <v>3470</v>
      </c>
      <c r="V69" s="3478">
        <v>0</v>
      </c>
      <c r="W69" s="3478">
        <v>0</v>
      </c>
      <c r="X69" s="3478">
        <v>0</v>
      </c>
      <c r="Y69" s="3478">
        <v>0</v>
      </c>
      <c r="Z69" s="3481">
        <v>43627.000497685185</v>
      </c>
      <c r="AA69" s="3481">
        <v>43647.000497685185</v>
      </c>
      <c r="AB69" s="3481">
        <v>43661.000497685185</v>
      </c>
      <c r="AC69" s="3480">
        <v>43661.000497685185</v>
      </c>
      <c r="AD69" s="3478" t="s">
        <v>3643</v>
      </c>
      <c r="AE69" s="3478" t="s">
        <v>3434</v>
      </c>
      <c r="AF69" s="3478" t="s">
        <v>3618</v>
      </c>
      <c r="AG69" s="3478" t="s">
        <v>3617</v>
      </c>
      <c r="AH69" s="3478" t="s">
        <v>3616</v>
      </c>
      <c r="AI69" s="3478">
        <v>668400</v>
      </c>
      <c r="AJ69" s="3478">
        <v>133680</v>
      </c>
      <c r="AK69" s="3478" t="s">
        <v>633</v>
      </c>
      <c r="AL69" s="3478">
        <v>794000</v>
      </c>
      <c r="AM69" s="3478">
        <v>7538.29</v>
      </c>
      <c r="AN69" s="3478">
        <v>8954.83</v>
      </c>
      <c r="AO69" s="3478">
        <v>30880</v>
      </c>
      <c r="AP69" s="3479">
        <v>36683</v>
      </c>
      <c r="AQ69" s="3478" t="s">
        <v>3470</v>
      </c>
      <c r="AR69" s="3478" t="s">
        <v>3470</v>
      </c>
      <c r="AS69" s="3478">
        <v>18.79</v>
      </c>
      <c r="AT69" s="3478" t="s">
        <v>3627</v>
      </c>
      <c r="AU69" s="3478" t="s">
        <v>3472</v>
      </c>
      <c r="AV69" s="3478" t="s">
        <v>3470</v>
      </c>
      <c r="AW69" s="3478" t="s">
        <v>3472</v>
      </c>
      <c r="AX69" s="3478" t="s">
        <v>3470</v>
      </c>
      <c r="AY69" s="3478" t="s">
        <v>3470</v>
      </c>
      <c r="AZ69" s="3478" t="s">
        <v>3470</v>
      </c>
    </row>
    <row r="70" spans="1:52" hidden="1">
      <c r="A70" s="3478" t="s">
        <v>3642</v>
      </c>
      <c r="B70" s="3478" t="s">
        <v>3378</v>
      </c>
      <c r="C70" s="3478" t="s">
        <v>3641</v>
      </c>
      <c r="D70" s="3478" t="s">
        <v>3600</v>
      </c>
      <c r="E70" s="3478" t="s">
        <v>3613</v>
      </c>
      <c r="F70" s="3478" t="s">
        <v>3624</v>
      </c>
      <c r="G70" s="3478" t="s">
        <v>3640</v>
      </c>
      <c r="H70" s="3478" t="s">
        <v>3430</v>
      </c>
      <c r="I70" s="3478">
        <v>36478.1</v>
      </c>
      <c r="J70" s="3478">
        <v>80251.820000000007</v>
      </c>
      <c r="K70" s="3478" t="s">
        <v>3440</v>
      </c>
      <c r="L70" s="3478" t="s">
        <v>3431</v>
      </c>
      <c r="M70" s="3478" t="s">
        <v>3632</v>
      </c>
      <c r="N70" s="3478" t="s">
        <v>3433</v>
      </c>
      <c r="O70" s="3478" t="s">
        <v>3472</v>
      </c>
      <c r="P70" s="3478" t="s">
        <v>3594</v>
      </c>
      <c r="Q70" s="3478" t="s">
        <v>3631</v>
      </c>
      <c r="R70" s="3478" t="s">
        <v>3608</v>
      </c>
      <c r="S70" s="3478" t="s">
        <v>3607</v>
      </c>
      <c r="T70" s="3478" t="s">
        <v>3470</v>
      </c>
      <c r="U70" s="3478" t="s">
        <v>3470</v>
      </c>
      <c r="V70" s="3478">
        <v>0</v>
      </c>
      <c r="W70" s="3478">
        <v>0</v>
      </c>
      <c r="X70" s="3478">
        <v>0</v>
      </c>
      <c r="Y70" s="3478">
        <v>0</v>
      </c>
      <c r="Z70" s="3481">
        <v>43602.000497685185</v>
      </c>
      <c r="AA70" s="3481">
        <v>43622.000497685185</v>
      </c>
      <c r="AB70" s="3481">
        <v>43637.000497685185</v>
      </c>
      <c r="AC70" s="3480">
        <v>43637.000497685185</v>
      </c>
      <c r="AD70" s="3478" t="s">
        <v>3639</v>
      </c>
      <c r="AE70" s="3478" t="s">
        <v>3434</v>
      </c>
      <c r="AF70" s="3478" t="s">
        <v>3638</v>
      </c>
      <c r="AG70" s="3478" t="s">
        <v>3637</v>
      </c>
      <c r="AH70" s="3478" t="s">
        <v>3636</v>
      </c>
      <c r="AI70" s="3478">
        <v>225000</v>
      </c>
      <c r="AJ70" s="3478">
        <v>45000</v>
      </c>
      <c r="AK70" s="3478" t="s">
        <v>633</v>
      </c>
      <c r="AL70" s="3478">
        <v>318000</v>
      </c>
      <c r="AM70" s="3478">
        <v>4112.0600000000004</v>
      </c>
      <c r="AN70" s="3478">
        <v>5811.71</v>
      </c>
      <c r="AO70" s="3478">
        <v>28037</v>
      </c>
      <c r="AP70" s="3479">
        <v>39625</v>
      </c>
      <c r="AQ70" s="3478" t="s">
        <v>3470</v>
      </c>
      <c r="AR70" s="3478" t="s">
        <v>3470</v>
      </c>
      <c r="AS70" s="3478">
        <v>41.33</v>
      </c>
      <c r="AT70" s="3478" t="s">
        <v>3627</v>
      </c>
      <c r="AU70" s="3478" t="s">
        <v>3472</v>
      </c>
      <c r="AV70" s="3478" t="s">
        <v>3470</v>
      </c>
      <c r="AW70" s="3478">
        <v>54160</v>
      </c>
      <c r="AX70" s="3478" t="s">
        <v>3470</v>
      </c>
      <c r="AY70" s="3478" t="s">
        <v>3470</v>
      </c>
      <c r="AZ70" s="3478">
        <v>26123</v>
      </c>
    </row>
    <row r="71" spans="1:52" hidden="1">
      <c r="A71" s="3478" t="s">
        <v>3635</v>
      </c>
      <c r="B71" s="3478" t="s">
        <v>3378</v>
      </c>
      <c r="C71" s="3478" t="s">
        <v>3634</v>
      </c>
      <c r="D71" s="3478" t="s">
        <v>3600</v>
      </c>
      <c r="E71" s="3478" t="s">
        <v>3613</v>
      </c>
      <c r="F71" s="3478" t="s">
        <v>3624</v>
      </c>
      <c r="G71" s="3478" t="s">
        <v>3633</v>
      </c>
      <c r="H71" s="3478" t="s">
        <v>3430</v>
      </c>
      <c r="I71" s="3478">
        <v>35704</v>
      </c>
      <c r="J71" s="3478">
        <v>78548.800000000003</v>
      </c>
      <c r="K71" s="3478" t="s">
        <v>3440</v>
      </c>
      <c r="L71" s="3478" t="s">
        <v>3431</v>
      </c>
      <c r="M71" s="3478" t="s">
        <v>3632</v>
      </c>
      <c r="N71" s="3478" t="s">
        <v>3433</v>
      </c>
      <c r="O71" s="3478" t="s">
        <v>3472</v>
      </c>
      <c r="P71" s="3478" t="s">
        <v>3594</v>
      </c>
      <c r="Q71" s="3478" t="s">
        <v>3631</v>
      </c>
      <c r="R71" s="3478" t="s">
        <v>3608</v>
      </c>
      <c r="S71" s="3478" t="s">
        <v>3607</v>
      </c>
      <c r="T71" s="3478" t="s">
        <v>3470</v>
      </c>
      <c r="U71" s="3478" t="s">
        <v>3470</v>
      </c>
      <c r="V71" s="3478">
        <v>0</v>
      </c>
      <c r="W71" s="3478">
        <v>0</v>
      </c>
      <c r="X71" s="3478">
        <v>0</v>
      </c>
      <c r="Y71" s="3478">
        <v>0</v>
      </c>
      <c r="Z71" s="3481">
        <v>43602.000497685185</v>
      </c>
      <c r="AA71" s="3481">
        <v>43622.000497685185</v>
      </c>
      <c r="AB71" s="3481">
        <v>43637.000497685185</v>
      </c>
      <c r="AC71" s="3480">
        <v>43637.000497685185</v>
      </c>
      <c r="AD71" s="3478" t="s">
        <v>3630</v>
      </c>
      <c r="AE71" s="3478" t="s">
        <v>3434</v>
      </c>
      <c r="AF71" s="3478" t="s">
        <v>3629</v>
      </c>
      <c r="AG71" s="3478" t="s">
        <v>3628</v>
      </c>
      <c r="AH71" s="3478" t="s">
        <v>3616</v>
      </c>
      <c r="AI71" s="3478">
        <v>220000</v>
      </c>
      <c r="AJ71" s="3478">
        <v>44000</v>
      </c>
      <c r="AK71" s="3478" t="s">
        <v>633</v>
      </c>
      <c r="AL71" s="3478">
        <v>306000</v>
      </c>
      <c r="AM71" s="3478">
        <v>4107.8500000000004</v>
      </c>
      <c r="AN71" s="3478">
        <v>5713.65</v>
      </c>
      <c r="AO71" s="3478">
        <v>28008</v>
      </c>
      <c r="AP71" s="3479">
        <v>38957</v>
      </c>
      <c r="AQ71" s="3478" t="s">
        <v>3470</v>
      </c>
      <c r="AR71" s="3478" t="s">
        <v>3470</v>
      </c>
      <c r="AS71" s="3478">
        <v>39.090000000000003</v>
      </c>
      <c r="AT71" s="3478" t="s">
        <v>3627</v>
      </c>
      <c r="AU71" s="3478" t="s">
        <v>3472</v>
      </c>
      <c r="AV71" s="3478" t="s">
        <v>3470</v>
      </c>
      <c r="AW71" s="3478">
        <v>54160</v>
      </c>
      <c r="AX71" s="3478" t="s">
        <v>3470</v>
      </c>
      <c r="AY71" s="3478" t="s">
        <v>3470</v>
      </c>
      <c r="AZ71" s="3478">
        <v>26152</v>
      </c>
    </row>
    <row r="72" spans="1:52">
      <c r="A72" s="3478" t="s">
        <v>3626</v>
      </c>
      <c r="B72" s="3478" t="s">
        <v>3378</v>
      </c>
      <c r="C72" s="3478" t="s">
        <v>3625</v>
      </c>
      <c r="D72" s="3478" t="s">
        <v>3600</v>
      </c>
      <c r="E72" s="3478" t="s">
        <v>3613</v>
      </c>
      <c r="F72" s="3478" t="s">
        <v>3624</v>
      </c>
      <c r="G72" s="3478" t="s">
        <v>3623</v>
      </c>
      <c r="H72" s="3478" t="s">
        <v>3447</v>
      </c>
      <c r="I72" s="3478">
        <v>79276.91</v>
      </c>
      <c r="J72" s="3478">
        <v>177023</v>
      </c>
      <c r="K72" s="3478" t="s">
        <v>3622</v>
      </c>
      <c r="L72" s="3478" t="s">
        <v>3431</v>
      </c>
      <c r="M72" s="3478" t="s">
        <v>3621</v>
      </c>
      <c r="N72" s="3478" t="s">
        <v>3433</v>
      </c>
      <c r="O72" s="3478" t="s">
        <v>3472</v>
      </c>
      <c r="P72" s="3478" t="s">
        <v>3594</v>
      </c>
      <c r="Q72" s="3478" t="s">
        <v>3620</v>
      </c>
      <c r="R72" s="3478" t="s">
        <v>3608</v>
      </c>
      <c r="S72" s="3478" t="s">
        <v>3607</v>
      </c>
      <c r="T72" s="3478" t="s">
        <v>3470</v>
      </c>
      <c r="U72" s="3478" t="s">
        <v>3470</v>
      </c>
      <c r="V72" s="3478">
        <v>0</v>
      </c>
      <c r="W72" s="3478">
        <v>0</v>
      </c>
      <c r="X72" s="3478">
        <v>0</v>
      </c>
      <c r="Y72" s="3478">
        <v>0</v>
      </c>
      <c r="Z72" s="3481">
        <v>43482.000497685185</v>
      </c>
      <c r="AA72" s="3481">
        <v>43507.000497685185</v>
      </c>
      <c r="AB72" s="3481">
        <v>43521.000497685185</v>
      </c>
      <c r="AC72" s="3480">
        <v>43521.000497685185</v>
      </c>
      <c r="AD72" s="3478" t="s">
        <v>3619</v>
      </c>
      <c r="AE72" s="3478" t="s">
        <v>3434</v>
      </c>
      <c r="AF72" s="3478" t="s">
        <v>3618</v>
      </c>
      <c r="AG72" s="3478" t="s">
        <v>3617</v>
      </c>
      <c r="AH72" s="3478" t="s">
        <v>3616</v>
      </c>
      <c r="AI72" s="3478">
        <v>365000</v>
      </c>
      <c r="AJ72" s="3478">
        <v>73000</v>
      </c>
      <c r="AK72" s="3478" t="s">
        <v>633</v>
      </c>
      <c r="AL72" s="3478">
        <v>444000</v>
      </c>
      <c r="AM72" s="3478">
        <v>3069.41</v>
      </c>
      <c r="AN72" s="3478">
        <v>3733.75</v>
      </c>
      <c r="AO72" s="3478">
        <v>20619</v>
      </c>
      <c r="AP72" s="3479">
        <v>25081</v>
      </c>
      <c r="AQ72" s="3478" t="s">
        <v>3470</v>
      </c>
      <c r="AR72" s="3478" t="s">
        <v>3470</v>
      </c>
      <c r="AS72" s="3478">
        <v>21.64</v>
      </c>
      <c r="AT72" s="3478" t="s">
        <v>3603</v>
      </c>
      <c r="AU72" s="3478" t="s">
        <v>3472</v>
      </c>
      <c r="AV72" s="3478" t="s">
        <v>3470</v>
      </c>
      <c r="AW72" s="3478">
        <v>55128</v>
      </c>
      <c r="AX72" s="3478" t="s">
        <v>3470</v>
      </c>
      <c r="AY72" s="3478" t="s">
        <v>3470</v>
      </c>
      <c r="AZ72" s="3478">
        <v>34509</v>
      </c>
    </row>
    <row r="73" spans="1:52">
      <c r="A73" s="3478" t="s">
        <v>3615</v>
      </c>
      <c r="B73" s="3478" t="s">
        <v>3378</v>
      </c>
      <c r="C73" s="3478" t="s">
        <v>3614</v>
      </c>
      <c r="D73" s="3478" t="s">
        <v>3600</v>
      </c>
      <c r="E73" s="3478" t="s">
        <v>3613</v>
      </c>
      <c r="F73" s="3478" t="s">
        <v>3612</v>
      </c>
      <c r="G73" s="3478" t="s">
        <v>3611</v>
      </c>
      <c r="H73" s="3478" t="s">
        <v>3447</v>
      </c>
      <c r="I73" s="3478">
        <v>34940.019999999997</v>
      </c>
      <c r="J73" s="3478">
        <v>94338</v>
      </c>
      <c r="K73" s="3478">
        <v>2.7</v>
      </c>
      <c r="L73" s="3478" t="s">
        <v>3431</v>
      </c>
      <c r="M73" s="3478" t="s">
        <v>3610</v>
      </c>
      <c r="N73" s="3478" t="s">
        <v>3433</v>
      </c>
      <c r="O73" s="3478" t="s">
        <v>3472</v>
      </c>
      <c r="P73" s="3478" t="s">
        <v>3594</v>
      </c>
      <c r="Q73" s="3478" t="s">
        <v>3609</v>
      </c>
      <c r="R73" s="3478" t="s">
        <v>3608</v>
      </c>
      <c r="S73" s="3478" t="s">
        <v>3607</v>
      </c>
      <c r="T73" s="3478" t="s">
        <v>3470</v>
      </c>
      <c r="U73" s="3478" t="s">
        <v>3470</v>
      </c>
      <c r="V73" s="3478">
        <v>0</v>
      </c>
      <c r="W73" s="3478">
        <v>0</v>
      </c>
      <c r="X73" s="3478">
        <v>0</v>
      </c>
      <c r="Y73" s="3478">
        <v>0</v>
      </c>
      <c r="Z73" s="3481">
        <v>43482.000497685185</v>
      </c>
      <c r="AA73" s="3481">
        <v>43507.000497685185</v>
      </c>
      <c r="AB73" s="3481">
        <v>43521.000497685185</v>
      </c>
      <c r="AC73" s="3480">
        <v>43521.000497685185</v>
      </c>
      <c r="AD73" s="3478" t="s">
        <v>3606</v>
      </c>
      <c r="AE73" s="3478" t="s">
        <v>3434</v>
      </c>
      <c r="AF73" s="3478" t="s">
        <v>3605</v>
      </c>
      <c r="AG73" s="3478" t="s">
        <v>3604</v>
      </c>
      <c r="AH73" s="3478" t="s">
        <v>3587</v>
      </c>
      <c r="AI73" s="3478">
        <v>210000</v>
      </c>
      <c r="AJ73" s="3478">
        <v>42000</v>
      </c>
      <c r="AK73" s="3478" t="s">
        <v>633</v>
      </c>
      <c r="AL73" s="3478">
        <v>246000</v>
      </c>
      <c r="AM73" s="3478">
        <v>4006.87</v>
      </c>
      <c r="AN73" s="3478">
        <v>4693.76</v>
      </c>
      <c r="AO73" s="3478">
        <v>22260</v>
      </c>
      <c r="AP73" s="3479">
        <v>26076</v>
      </c>
      <c r="AQ73" s="3478" t="s">
        <v>3470</v>
      </c>
      <c r="AR73" s="3478" t="s">
        <v>3470</v>
      </c>
      <c r="AS73" s="3478">
        <v>17.14</v>
      </c>
      <c r="AT73" s="3478" t="s">
        <v>3603</v>
      </c>
      <c r="AU73" s="3478" t="s">
        <v>3472</v>
      </c>
      <c r="AV73" s="3478" t="s">
        <v>3470</v>
      </c>
      <c r="AW73" s="3478">
        <v>55800</v>
      </c>
      <c r="AX73" s="3478" t="s">
        <v>3470</v>
      </c>
      <c r="AY73" s="3478" t="s">
        <v>3470</v>
      </c>
      <c r="AZ73" s="3478">
        <v>33540</v>
      </c>
    </row>
    <row r="74" spans="1:52" hidden="1">
      <c r="A74" s="3478" t="s">
        <v>3602</v>
      </c>
      <c r="B74" s="3478" t="s">
        <v>3378</v>
      </c>
      <c r="C74" s="3478" t="s">
        <v>3601</v>
      </c>
      <c r="D74" s="3478" t="s">
        <v>3600</v>
      </c>
      <c r="E74" s="3478" t="s">
        <v>3599</v>
      </c>
      <c r="F74" s="3478" t="s">
        <v>3598</v>
      </c>
      <c r="G74" s="3478" t="s">
        <v>3597</v>
      </c>
      <c r="H74" s="3478" t="s">
        <v>3447</v>
      </c>
      <c r="I74" s="3478">
        <v>168662.9</v>
      </c>
      <c r="J74" s="3478">
        <v>184119</v>
      </c>
      <c r="K74" s="3478" t="s">
        <v>3596</v>
      </c>
      <c r="L74" s="3478" t="s">
        <v>3431</v>
      </c>
      <c r="M74" s="3478" t="s">
        <v>3595</v>
      </c>
      <c r="N74" s="3478" t="s">
        <v>3433</v>
      </c>
      <c r="O74" s="3478" t="s">
        <v>3472</v>
      </c>
      <c r="P74" s="3478" t="s">
        <v>3594</v>
      </c>
      <c r="Q74" s="3478" t="s">
        <v>3593</v>
      </c>
      <c r="R74" s="3478" t="s">
        <v>3592</v>
      </c>
      <c r="S74" s="3478" t="s">
        <v>3591</v>
      </c>
      <c r="T74" s="3478" t="s">
        <v>3470</v>
      </c>
      <c r="U74" s="3478" t="s">
        <v>3470</v>
      </c>
      <c r="V74" s="3478">
        <v>0</v>
      </c>
      <c r="W74" s="3478">
        <v>0</v>
      </c>
      <c r="X74" s="3478">
        <v>0</v>
      </c>
      <c r="Y74" s="3478">
        <v>0</v>
      </c>
      <c r="Z74" s="3481">
        <v>43463.000497685185</v>
      </c>
      <c r="AA74" s="3481">
        <v>43486.000497685185</v>
      </c>
      <c r="AB74" s="3481">
        <v>43498.000497685185</v>
      </c>
      <c r="AC74" s="3480">
        <v>43498.000497685185</v>
      </c>
      <c r="AD74" s="3478" t="s">
        <v>3590</v>
      </c>
      <c r="AE74" s="3478" t="s">
        <v>3434</v>
      </c>
      <c r="AF74" s="3478" t="s">
        <v>3589</v>
      </c>
      <c r="AG74" s="3478" t="s">
        <v>3588</v>
      </c>
      <c r="AH74" s="3478" t="s">
        <v>3587</v>
      </c>
      <c r="AI74" s="3478">
        <v>405000</v>
      </c>
      <c r="AJ74" s="3478">
        <v>81000</v>
      </c>
      <c r="AK74" s="3478" t="s">
        <v>633</v>
      </c>
      <c r="AL74" s="3478">
        <v>430000</v>
      </c>
      <c r="AM74" s="3478">
        <v>1600.83</v>
      </c>
      <c r="AN74" s="3478">
        <v>1699.64</v>
      </c>
      <c r="AO74" s="3478">
        <v>21997</v>
      </c>
      <c r="AP74" s="3479">
        <v>23354</v>
      </c>
      <c r="AQ74" s="3478" t="s">
        <v>3470</v>
      </c>
      <c r="AR74" s="3478" t="s">
        <v>3470</v>
      </c>
      <c r="AS74" s="3478">
        <v>6.17</v>
      </c>
      <c r="AT74" s="3478" t="s">
        <v>3586</v>
      </c>
      <c r="AU74" s="3478" t="s">
        <v>3472</v>
      </c>
      <c r="AV74" s="3478" t="s">
        <v>3470</v>
      </c>
      <c r="AW74" s="3478">
        <v>42289</v>
      </c>
      <c r="AX74" s="3478" t="s">
        <v>3470</v>
      </c>
      <c r="AY74" s="3478" t="s">
        <v>3470</v>
      </c>
      <c r="AZ74" s="3478">
        <v>20292</v>
      </c>
    </row>
  </sheetData>
  <autoFilter ref="A1:AZ74" xr:uid="{8E16450A-16C8-448E-B16F-BFA002CCC51C}">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13" t="s">
        <v>1770</v>
      </c>
      <c r="D4" s="3714"/>
      <c r="E4" s="3715" t="s">
        <v>1771</v>
      </c>
      <c r="F4" s="3716"/>
      <c r="G4" s="3713" t="s">
        <v>1772</v>
      </c>
      <c r="H4" s="3714"/>
      <c r="I4" s="3713" t="s">
        <v>1773</v>
      </c>
      <c r="J4" s="3714"/>
      <c r="K4" s="556" t="s">
        <v>1774</v>
      </c>
      <c r="L4" s="2707"/>
      <c r="M4" s="2708"/>
      <c r="N4" s="2708"/>
      <c r="O4" s="2708"/>
      <c r="P4" s="3717" t="s">
        <v>1775</v>
      </c>
      <c r="Q4" s="3718"/>
      <c r="R4" s="3700" t="s">
        <v>1771</v>
      </c>
      <c r="S4" s="3701"/>
      <c r="T4" s="3700" t="s">
        <v>1772</v>
      </c>
      <c r="U4" s="3701"/>
      <c r="V4" s="3725" t="s">
        <v>1773</v>
      </c>
      <c r="W4" s="3725"/>
      <c r="X4" s="1351"/>
      <c r="Y4" s="3700" t="s">
        <v>1775</v>
      </c>
      <c r="Z4" s="3701"/>
      <c r="AA4" s="3695" t="s">
        <v>1771</v>
      </c>
      <c r="AB4" s="3725" t="s">
        <v>1772</v>
      </c>
      <c r="AC4" s="3695" t="s">
        <v>1773</v>
      </c>
    </row>
    <row r="5" spans="1:29" ht="15">
      <c r="A5" s="355"/>
      <c r="B5" s="356"/>
      <c r="C5" s="3797" t="s">
        <v>1673</v>
      </c>
      <c r="D5" s="3798"/>
      <c r="E5" s="3795" t="s">
        <v>1674</v>
      </c>
      <c r="F5" s="3796"/>
      <c r="G5" s="3797" t="s">
        <v>1675</v>
      </c>
      <c r="H5" s="3798"/>
      <c r="I5" s="3797" t="s">
        <v>1676</v>
      </c>
      <c r="J5" s="3798"/>
      <c r="K5" s="556"/>
      <c r="L5" s="2707"/>
      <c r="M5" s="2708"/>
      <c r="N5" s="2708"/>
      <c r="O5" s="2708"/>
      <c r="P5" s="3719"/>
      <c r="Q5" s="3720"/>
      <c r="R5" s="3702"/>
      <c r="S5" s="3703"/>
      <c r="T5" s="3702"/>
      <c r="U5" s="3703"/>
      <c r="V5" s="3725"/>
      <c r="W5" s="3725"/>
      <c r="X5" s="1351"/>
      <c r="Y5" s="3702"/>
      <c r="Z5" s="3703"/>
      <c r="AA5" s="3696"/>
      <c r="AB5" s="3725"/>
      <c r="AC5" s="3696"/>
    </row>
    <row r="6" spans="1:29" ht="15.75" thickBot="1">
      <c r="A6" s="357"/>
      <c r="B6" s="358"/>
      <c r="C6" s="3708" t="s">
        <v>1677</v>
      </c>
      <c r="D6" s="3709"/>
      <c r="E6" s="3799" t="s">
        <v>1677</v>
      </c>
      <c r="F6" s="3800"/>
      <c r="G6" s="3708" t="s">
        <v>1677</v>
      </c>
      <c r="H6" s="3709"/>
      <c r="I6" s="3708" t="s">
        <v>1677</v>
      </c>
      <c r="J6" s="3709"/>
      <c r="K6" s="556" t="s">
        <v>1678</v>
      </c>
      <c r="L6" s="2707"/>
      <c r="M6" s="2708"/>
      <c r="N6" s="2708"/>
      <c r="O6" s="2708"/>
      <c r="P6" s="3721"/>
      <c r="Q6" s="3722"/>
      <c r="R6" s="3702"/>
      <c r="S6" s="3703"/>
      <c r="T6" s="3723"/>
      <c r="U6" s="3724"/>
      <c r="V6" s="3725"/>
      <c r="W6" s="3725"/>
      <c r="X6" s="1351"/>
      <c r="Y6" s="3723"/>
      <c r="Z6" s="3724"/>
      <c r="AA6" s="3697"/>
      <c r="AB6" s="3725"/>
      <c r="AC6" s="3697"/>
    </row>
    <row r="7" spans="1:29" s="108" customFormat="1" ht="15.75" thickBot="1">
      <c r="A7" s="359" t="s">
        <v>1679</v>
      </c>
      <c r="B7" s="360"/>
      <c r="C7" s="361">
        <f>'数据-取费表'!B2</f>
        <v>44970</v>
      </c>
      <c r="D7" s="362">
        <v>100</v>
      </c>
      <c r="E7" s="363"/>
      <c r="F7" s="364">
        <f>SUMIF(58:58,YEAR(E7)&amp;"-"&amp;MONTH(E7),59:59)</f>
        <v>0</v>
      </c>
      <c r="G7" s="363"/>
      <c r="H7" s="362">
        <f>SUMIF(58:58,YEAR(G7)&amp;"-"&amp;MONTH(G7),59:59)</f>
        <v>0</v>
      </c>
      <c r="I7" s="363"/>
      <c r="J7" s="362">
        <f>SUMIF(58:58,YEAR(I7)&amp;"-"&amp;MONTH(I7),59:59)</f>
        <v>0</v>
      </c>
      <c r="K7" s="557"/>
      <c r="L7" s="2709"/>
      <c r="M7" s="2710"/>
      <c r="N7" s="2710"/>
      <c r="O7" s="2710"/>
      <c r="P7" s="3698" t="s">
        <v>1680</v>
      </c>
      <c r="Q7" s="3728"/>
      <c r="R7" s="697" t="s">
        <v>14</v>
      </c>
      <c r="S7" s="698">
        <f t="shared" ref="S7:S15" si="0">F7</f>
        <v>0</v>
      </c>
      <c r="T7" s="697" t="s">
        <v>14</v>
      </c>
      <c r="U7" s="698">
        <f t="shared" ref="U7:U15" si="1">H7</f>
        <v>0</v>
      </c>
      <c r="V7" s="697" t="s">
        <v>14</v>
      </c>
      <c r="W7" s="698">
        <f t="shared" ref="W7:W15" si="2">J7</f>
        <v>0</v>
      </c>
      <c r="X7" s="699"/>
      <c r="Y7" s="3698" t="s">
        <v>1680</v>
      </c>
      <c r="Z7" s="3699"/>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698" t="s">
        <v>1683</v>
      </c>
      <c r="Q8" s="3699"/>
      <c r="R8" s="697" t="s">
        <v>14</v>
      </c>
      <c r="S8" s="698">
        <f t="shared" si="0"/>
        <v>100</v>
      </c>
      <c r="T8" s="697" t="s">
        <v>14</v>
      </c>
      <c r="U8" s="698">
        <f t="shared" si="1"/>
        <v>100</v>
      </c>
      <c r="V8" s="697" t="s">
        <v>14</v>
      </c>
      <c r="W8" s="698">
        <f t="shared" si="2"/>
        <v>100</v>
      </c>
      <c r="X8" s="699"/>
      <c r="Y8" s="3698" t="s">
        <v>1683</v>
      </c>
      <c r="Z8" s="3699"/>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38" t="s">
        <v>1686</v>
      </c>
      <c r="Q9" s="1339" t="str">
        <f t="shared" ref="Q9:Q15" si="6">B9</f>
        <v>用途</v>
      </c>
      <c r="R9" s="697" t="s">
        <v>14</v>
      </c>
      <c r="S9" s="698">
        <f t="shared" si="0"/>
        <v>100</v>
      </c>
      <c r="T9" s="697" t="s">
        <v>14</v>
      </c>
      <c r="U9" s="698">
        <f t="shared" si="1"/>
        <v>100</v>
      </c>
      <c r="V9" s="697" t="s">
        <v>14</v>
      </c>
      <c r="W9" s="698">
        <f t="shared" si="2"/>
        <v>100</v>
      </c>
      <c r="X9" s="699"/>
      <c r="Y9" s="3663"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38"/>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38"/>
      <c r="Q11" s="1339" t="str">
        <f t="shared" si="6"/>
        <v>容积率</v>
      </c>
      <c r="R11" s="697" t="s">
        <v>14</v>
      </c>
      <c r="S11" s="698" t="e">
        <f t="shared" si="0"/>
        <v>#N/A</v>
      </c>
      <c r="T11" s="697" t="s">
        <v>14</v>
      </c>
      <c r="U11" s="698" t="e">
        <f t="shared" si="1"/>
        <v>#N/A</v>
      </c>
      <c r="V11" s="697" t="s">
        <v>14</v>
      </c>
      <c r="W11" s="698" t="e">
        <f t="shared" si="2"/>
        <v>#N/A</v>
      </c>
      <c r="X11" s="699"/>
      <c r="Y11" s="3663"/>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38"/>
      <c r="Q12" s="1339">
        <f t="shared" si="6"/>
        <v>111</v>
      </c>
      <c r="R12" s="697" t="s">
        <v>14</v>
      </c>
      <c r="S12" s="698">
        <f t="shared" si="0"/>
        <v>100</v>
      </c>
      <c r="T12" s="697" t="s">
        <v>14</v>
      </c>
      <c r="U12" s="698">
        <f t="shared" si="1"/>
        <v>100</v>
      </c>
      <c r="V12" s="697" t="s">
        <v>14</v>
      </c>
      <c r="W12" s="698">
        <f t="shared" si="2"/>
        <v>100</v>
      </c>
      <c r="X12" s="699"/>
      <c r="Y12" s="3663"/>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38"/>
      <c r="Q13" s="1339">
        <f t="shared" si="6"/>
        <v>111</v>
      </c>
      <c r="R13" s="697" t="s">
        <v>14</v>
      </c>
      <c r="S13" s="698">
        <f t="shared" si="0"/>
        <v>100</v>
      </c>
      <c r="T13" s="697" t="s">
        <v>14</v>
      </c>
      <c r="U13" s="698">
        <f t="shared" si="1"/>
        <v>100</v>
      </c>
      <c r="V13" s="697" t="s">
        <v>14</v>
      </c>
      <c r="W13" s="698">
        <f t="shared" si="2"/>
        <v>100</v>
      </c>
      <c r="X13" s="699"/>
      <c r="Y13" s="3663"/>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38"/>
      <c r="Q14" s="1339">
        <f t="shared" si="6"/>
        <v>111</v>
      </c>
      <c r="R14" s="697" t="s">
        <v>14</v>
      </c>
      <c r="S14" s="698">
        <f t="shared" si="0"/>
        <v>100</v>
      </c>
      <c r="T14" s="697" t="s">
        <v>14</v>
      </c>
      <c r="U14" s="698">
        <f t="shared" si="1"/>
        <v>100</v>
      </c>
      <c r="V14" s="697" t="s">
        <v>14</v>
      </c>
      <c r="W14" s="698">
        <f t="shared" si="2"/>
        <v>100</v>
      </c>
      <c r="X14" s="699"/>
      <c r="Y14" s="3663"/>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85" t="s">
        <v>1691</v>
      </c>
      <c r="Q15" s="1348" t="str">
        <f t="shared" si="6"/>
        <v>商业繁华度</v>
      </c>
      <c r="R15" s="701" t="s">
        <v>14</v>
      </c>
      <c r="S15" s="702">
        <f t="shared" si="0"/>
        <v>100</v>
      </c>
      <c r="T15" s="701" t="s">
        <v>14</v>
      </c>
      <c r="U15" s="702">
        <f t="shared" si="1"/>
        <v>100</v>
      </c>
      <c r="V15" s="701" t="s">
        <v>14</v>
      </c>
      <c r="W15" s="702">
        <f t="shared" si="2"/>
        <v>100</v>
      </c>
      <c r="X15" s="1351"/>
      <c r="Y15" s="3729"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786"/>
      <c r="Q16" s="1348"/>
      <c r="R16" s="701"/>
      <c r="S16" s="702"/>
      <c r="T16" s="701"/>
      <c r="U16" s="702"/>
      <c r="V16" s="701"/>
      <c r="W16" s="702"/>
      <c r="X16" s="1351"/>
      <c r="Y16" s="3730"/>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786"/>
      <c r="Q17" s="1348" t="str">
        <f>B17</f>
        <v>交通便捷度</v>
      </c>
      <c r="R17" s="701" t="s">
        <v>14</v>
      </c>
      <c r="S17" s="702">
        <f>F17</f>
        <v>100</v>
      </c>
      <c r="T17" s="701" t="s">
        <v>14</v>
      </c>
      <c r="U17" s="702">
        <f>H17</f>
        <v>100</v>
      </c>
      <c r="V17" s="701" t="s">
        <v>14</v>
      </c>
      <c r="W17" s="702">
        <f>J17</f>
        <v>100</v>
      </c>
      <c r="X17" s="1351"/>
      <c r="Y17" s="3730"/>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786"/>
      <c r="Q18" s="1348"/>
      <c r="R18" s="701"/>
      <c r="S18" s="702"/>
      <c r="T18" s="701"/>
      <c r="U18" s="702"/>
      <c r="V18" s="701"/>
      <c r="W18" s="702"/>
      <c r="X18" s="1351"/>
      <c r="Y18" s="3730"/>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786"/>
      <c r="Q19" s="1348" t="str">
        <f>B19</f>
        <v>公共配套设施</v>
      </c>
      <c r="R19" s="701" t="s">
        <v>14</v>
      </c>
      <c r="S19" s="702">
        <f>F19</f>
        <v>100</v>
      </c>
      <c r="T19" s="701" t="s">
        <v>14</v>
      </c>
      <c r="U19" s="702">
        <f>H19</f>
        <v>100</v>
      </c>
      <c r="V19" s="701" t="s">
        <v>14</v>
      </c>
      <c r="W19" s="702">
        <f>J19</f>
        <v>100</v>
      </c>
      <c r="X19" s="1351"/>
      <c r="Y19" s="3730"/>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786"/>
      <c r="Q20" s="1348"/>
      <c r="R20" s="701"/>
      <c r="S20" s="702"/>
      <c r="T20" s="701"/>
      <c r="U20" s="702"/>
      <c r="V20" s="701"/>
      <c r="W20" s="702"/>
      <c r="X20" s="1351"/>
      <c r="Y20" s="3730"/>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786"/>
      <c r="Q21" s="1348" t="str">
        <f>B21</f>
        <v>基础设施水平</v>
      </c>
      <c r="R21" s="701" t="s">
        <v>14</v>
      </c>
      <c r="S21" s="702">
        <f>F21</f>
        <v>100</v>
      </c>
      <c r="T21" s="701" t="s">
        <v>14</v>
      </c>
      <c r="U21" s="702">
        <f>H21</f>
        <v>100</v>
      </c>
      <c r="V21" s="701" t="s">
        <v>14</v>
      </c>
      <c r="W21" s="702">
        <f>J21</f>
        <v>100</v>
      </c>
      <c r="X21" s="1351"/>
      <c r="Y21" s="3730"/>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786"/>
      <c r="Q22" s="1348"/>
      <c r="R22" s="701"/>
      <c r="S22" s="702"/>
      <c r="T22" s="701"/>
      <c r="U22" s="702"/>
      <c r="V22" s="701"/>
      <c r="W22" s="702"/>
      <c r="X22" s="1351"/>
      <c r="Y22" s="3730"/>
      <c r="Z22" s="1352"/>
      <c r="AA22" s="1349">
        <v>1</v>
      </c>
      <c r="AB22" s="1349">
        <v>1</v>
      </c>
      <c r="AC22" s="1349">
        <v>1</v>
      </c>
    </row>
    <row r="23" spans="1:29" ht="85.5">
      <c r="A23" s="376"/>
      <c r="B23" s="399" t="s">
        <v>1261</v>
      </c>
      <c r="C23" s="1948"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786"/>
      <c r="Q23" s="1348" t="str">
        <f>B23</f>
        <v>自然及人文环境</v>
      </c>
      <c r="R23" s="701" t="s">
        <v>14</v>
      </c>
      <c r="S23" s="702">
        <f>F23</f>
        <v>100</v>
      </c>
      <c r="T23" s="701" t="s">
        <v>14</v>
      </c>
      <c r="U23" s="702">
        <f>H23</f>
        <v>100</v>
      </c>
      <c r="V23" s="701" t="s">
        <v>14</v>
      </c>
      <c r="W23" s="702">
        <f>J23</f>
        <v>100</v>
      </c>
      <c r="X23" s="1351"/>
      <c r="Y23" s="3730"/>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786"/>
      <c r="Q24" s="1348"/>
      <c r="R24" s="701"/>
      <c r="S24" s="702"/>
      <c r="T24" s="701"/>
      <c r="U24" s="702"/>
      <c r="V24" s="701"/>
      <c r="W24" s="702"/>
      <c r="X24" s="1351"/>
      <c r="Y24" s="3730"/>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786"/>
      <c r="Q25" s="1348" t="str">
        <f t="shared" ref="Q25:Q46" si="11">B25</f>
        <v>临街状况</v>
      </c>
      <c r="R25" s="701" t="s">
        <v>14</v>
      </c>
      <c r="S25" s="702">
        <f>F25</f>
        <v>100</v>
      </c>
      <c r="T25" s="701" t="s">
        <v>14</v>
      </c>
      <c r="U25" s="702">
        <f>H25</f>
        <v>100</v>
      </c>
      <c r="V25" s="701" t="s">
        <v>14</v>
      </c>
      <c r="W25" s="702">
        <f>J25</f>
        <v>100</v>
      </c>
      <c r="X25" s="1351"/>
      <c r="Y25" s="3730"/>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786"/>
      <c r="Q26" s="1348" t="str">
        <f t="shared" si="11"/>
        <v>平面位置/可视性</v>
      </c>
      <c r="R26" s="701" t="s">
        <v>14</v>
      </c>
      <c r="S26" s="702">
        <f>F26</f>
        <v>100</v>
      </c>
      <c r="T26" s="701" t="s">
        <v>14</v>
      </c>
      <c r="U26" s="702">
        <f>H26</f>
        <v>100</v>
      </c>
      <c r="V26" s="701" t="s">
        <v>14</v>
      </c>
      <c r="W26" s="702">
        <f>J26</f>
        <v>100</v>
      </c>
      <c r="X26" s="1351"/>
      <c r="Y26" s="3730"/>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786"/>
      <c r="Q27" s="1339" t="str">
        <f t="shared" si="11"/>
        <v>人流量</v>
      </c>
      <c r="R27" s="697" t="s">
        <v>14</v>
      </c>
      <c r="S27" s="698">
        <f>F27</f>
        <v>100</v>
      </c>
      <c r="T27" s="697" t="s">
        <v>14</v>
      </c>
      <c r="U27" s="698">
        <f>H27</f>
        <v>100</v>
      </c>
      <c r="V27" s="697" t="s">
        <v>14</v>
      </c>
      <c r="W27" s="698">
        <f>J27</f>
        <v>100</v>
      </c>
      <c r="X27" s="699"/>
      <c r="Y27" s="3730"/>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786"/>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30"/>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86"/>
      <c r="Q29" s="1348">
        <f t="shared" si="11"/>
        <v>111</v>
      </c>
      <c r="R29" s="701" t="s">
        <v>14</v>
      </c>
      <c r="S29" s="702">
        <f t="shared" si="12"/>
        <v>100</v>
      </c>
      <c r="T29" s="701" t="s">
        <v>14</v>
      </c>
      <c r="U29" s="702">
        <f t="shared" si="13"/>
        <v>100</v>
      </c>
      <c r="V29" s="701" t="s">
        <v>14</v>
      </c>
      <c r="W29" s="702">
        <f t="shared" si="14"/>
        <v>100</v>
      </c>
      <c r="X29" s="1351"/>
      <c r="Y29" s="3730"/>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86"/>
      <c r="Q30" s="1348">
        <f t="shared" si="11"/>
        <v>111</v>
      </c>
      <c r="R30" s="701" t="s">
        <v>14</v>
      </c>
      <c r="S30" s="702">
        <f t="shared" si="12"/>
        <v>100</v>
      </c>
      <c r="T30" s="701" t="s">
        <v>14</v>
      </c>
      <c r="U30" s="702">
        <f t="shared" si="13"/>
        <v>100</v>
      </c>
      <c r="V30" s="701" t="s">
        <v>14</v>
      </c>
      <c r="W30" s="702">
        <f t="shared" si="14"/>
        <v>100</v>
      </c>
      <c r="X30" s="1351"/>
      <c r="Y30" s="3730"/>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86"/>
      <c r="Q31" s="1348">
        <f t="shared" si="11"/>
        <v>111</v>
      </c>
      <c r="R31" s="701" t="s">
        <v>14</v>
      </c>
      <c r="S31" s="702">
        <f t="shared" si="12"/>
        <v>100</v>
      </c>
      <c r="T31" s="701" t="s">
        <v>14</v>
      </c>
      <c r="U31" s="702">
        <f t="shared" si="13"/>
        <v>100</v>
      </c>
      <c r="V31" s="701" t="s">
        <v>14</v>
      </c>
      <c r="W31" s="702">
        <f t="shared" si="14"/>
        <v>100</v>
      </c>
      <c r="X31" s="1351"/>
      <c r="Y31" s="3730"/>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781" t="s">
        <v>1696</v>
      </c>
      <c r="Q32" s="1348" t="str">
        <f t="shared" si="11"/>
        <v>商业类型</v>
      </c>
      <c r="R32" s="701" t="s">
        <v>14</v>
      </c>
      <c r="S32" s="702">
        <f t="shared" si="12"/>
        <v>100</v>
      </c>
      <c r="T32" s="701" t="s">
        <v>14</v>
      </c>
      <c r="U32" s="702">
        <f t="shared" si="13"/>
        <v>100</v>
      </c>
      <c r="V32" s="701" t="s">
        <v>14</v>
      </c>
      <c r="W32" s="702">
        <f t="shared" si="14"/>
        <v>100</v>
      </c>
      <c r="X32" s="1351"/>
      <c r="Y32" s="3732"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782"/>
      <c r="Q33" s="703" t="str">
        <f t="shared" si="11"/>
        <v>项目建筑规模</v>
      </c>
      <c r="R33" s="704" t="s">
        <v>14</v>
      </c>
      <c r="S33" s="705" t="e">
        <f t="shared" si="12"/>
        <v>#N/A</v>
      </c>
      <c r="T33" s="704" t="s">
        <v>14</v>
      </c>
      <c r="U33" s="705" t="e">
        <f t="shared" si="13"/>
        <v>#N/A</v>
      </c>
      <c r="V33" s="704" t="s">
        <v>14</v>
      </c>
      <c r="W33" s="705" t="e">
        <f t="shared" si="14"/>
        <v>#N/A</v>
      </c>
      <c r="X33" s="706"/>
      <c r="Y33" s="3732"/>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782"/>
      <c r="Q34" s="1348" t="str">
        <f t="shared" si="11"/>
        <v>建筑结构</v>
      </c>
      <c r="R34" s="701" t="s">
        <v>14</v>
      </c>
      <c r="S34" s="702">
        <f t="shared" si="12"/>
        <v>100</v>
      </c>
      <c r="T34" s="701" t="s">
        <v>14</v>
      </c>
      <c r="U34" s="702">
        <f t="shared" si="13"/>
        <v>100</v>
      </c>
      <c r="V34" s="701" t="s">
        <v>14</v>
      </c>
      <c r="W34" s="702">
        <f t="shared" si="14"/>
        <v>100</v>
      </c>
      <c r="X34" s="1351"/>
      <c r="Y34" s="3732"/>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782"/>
      <c r="Q35" s="1348" t="str">
        <f t="shared" si="11"/>
        <v>公共部分装修</v>
      </c>
      <c r="R35" s="701" t="s">
        <v>14</v>
      </c>
      <c r="S35" s="702">
        <f t="shared" si="12"/>
        <v>100</v>
      </c>
      <c r="T35" s="701" t="s">
        <v>14</v>
      </c>
      <c r="U35" s="702">
        <f t="shared" si="13"/>
        <v>100</v>
      </c>
      <c r="V35" s="701" t="s">
        <v>14</v>
      </c>
      <c r="W35" s="702">
        <f t="shared" si="14"/>
        <v>100</v>
      </c>
      <c r="X35" s="1351"/>
      <c r="Y35" s="3732"/>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82"/>
      <c r="Q36" s="1348" t="str">
        <f t="shared" si="11"/>
        <v>成新度</v>
      </c>
      <c r="R36" s="701" t="s">
        <v>14</v>
      </c>
      <c r="S36" s="702" t="e">
        <f t="shared" si="12"/>
        <v>#N/A</v>
      </c>
      <c r="T36" s="701" t="s">
        <v>14</v>
      </c>
      <c r="U36" s="702" t="e">
        <f t="shared" si="13"/>
        <v>#N/A</v>
      </c>
      <c r="V36" s="701" t="s">
        <v>14</v>
      </c>
      <c r="W36" s="702" t="e">
        <f t="shared" si="14"/>
        <v>#N/A</v>
      </c>
      <c r="X36" s="1351"/>
      <c r="Y36" s="3732"/>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782"/>
      <c r="Q37" s="1339" t="str">
        <f t="shared" si="11"/>
        <v>市政基础设施</v>
      </c>
      <c r="R37" s="697" t="s">
        <v>14</v>
      </c>
      <c r="S37" s="698">
        <f t="shared" si="12"/>
        <v>100</v>
      </c>
      <c r="T37" s="697" t="s">
        <v>14</v>
      </c>
      <c r="U37" s="698">
        <f t="shared" si="13"/>
        <v>100</v>
      </c>
      <c r="V37" s="697" t="s">
        <v>14</v>
      </c>
      <c r="W37" s="698">
        <f t="shared" si="14"/>
        <v>100</v>
      </c>
      <c r="X37" s="699"/>
      <c r="Y37" s="3732"/>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782" t="s">
        <v>1696</v>
      </c>
      <c r="Q38" s="1348" t="str">
        <f t="shared" si="11"/>
        <v>业态</v>
      </c>
      <c r="R38" s="701" t="s">
        <v>14</v>
      </c>
      <c r="S38" s="702">
        <f t="shared" si="12"/>
        <v>100</v>
      </c>
      <c r="T38" s="701" t="s">
        <v>14</v>
      </c>
      <c r="U38" s="702">
        <f t="shared" si="13"/>
        <v>100</v>
      </c>
      <c r="V38" s="701" t="s">
        <v>14</v>
      </c>
      <c r="W38" s="702">
        <f t="shared" si="14"/>
        <v>100</v>
      </c>
      <c r="X38" s="1351"/>
      <c r="Y38" s="3732"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782"/>
      <c r="Q39" s="1348" t="str">
        <f t="shared" si="11"/>
        <v>层高</v>
      </c>
      <c r="R39" s="701" t="s">
        <v>14</v>
      </c>
      <c r="S39" s="702">
        <f t="shared" si="12"/>
        <v>100</v>
      </c>
      <c r="T39" s="701" t="s">
        <v>14</v>
      </c>
      <c r="U39" s="702">
        <f t="shared" si="13"/>
        <v>100</v>
      </c>
      <c r="V39" s="701" t="s">
        <v>14</v>
      </c>
      <c r="W39" s="702">
        <f t="shared" si="14"/>
        <v>100</v>
      </c>
      <c r="X39" s="1351"/>
      <c r="Y39" s="3732"/>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82"/>
      <c r="Q40" s="1348" t="str">
        <f t="shared" si="11"/>
        <v>单套建筑面积</v>
      </c>
      <c r="R40" s="701" t="s">
        <v>14</v>
      </c>
      <c r="S40" s="702">
        <f t="shared" si="12"/>
        <v>100</v>
      </c>
      <c r="T40" s="701" t="s">
        <v>14</v>
      </c>
      <c r="U40" s="702">
        <f t="shared" si="13"/>
        <v>100</v>
      </c>
      <c r="V40" s="701" t="s">
        <v>14</v>
      </c>
      <c r="W40" s="702">
        <f t="shared" si="14"/>
        <v>100</v>
      </c>
      <c r="X40" s="1351"/>
      <c r="Y40" s="3732"/>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82"/>
      <c r="Q41" s="703" t="str">
        <f t="shared" si="11"/>
        <v>进深比</v>
      </c>
      <c r="R41" s="704" t="s">
        <v>14</v>
      </c>
      <c r="S41" s="705">
        <f t="shared" si="12"/>
        <v>100</v>
      </c>
      <c r="T41" s="704" t="s">
        <v>14</v>
      </c>
      <c r="U41" s="705">
        <f t="shared" si="13"/>
        <v>100</v>
      </c>
      <c r="V41" s="704" t="s">
        <v>14</v>
      </c>
      <c r="W41" s="705">
        <f t="shared" si="14"/>
        <v>100</v>
      </c>
      <c r="X41" s="706"/>
      <c r="Y41" s="3732"/>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782"/>
      <c r="Q42" s="1348" t="str">
        <f t="shared" si="11"/>
        <v>内部装修</v>
      </c>
      <c r="R42" s="701" t="s">
        <v>14</v>
      </c>
      <c r="S42" s="702">
        <f t="shared" si="12"/>
        <v>100</v>
      </c>
      <c r="T42" s="701" t="s">
        <v>14</v>
      </c>
      <c r="U42" s="702">
        <f t="shared" si="13"/>
        <v>100</v>
      </c>
      <c r="V42" s="701" t="s">
        <v>14</v>
      </c>
      <c r="W42" s="702">
        <f t="shared" si="14"/>
        <v>100</v>
      </c>
      <c r="X42" s="1351"/>
      <c r="Y42" s="3732"/>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782"/>
      <c r="Q43" s="1348" t="str">
        <f t="shared" si="11"/>
        <v>内部装修维护情况</v>
      </c>
      <c r="R43" s="701" t="s">
        <v>14</v>
      </c>
      <c r="S43" s="702">
        <f t="shared" si="12"/>
        <v>100</v>
      </c>
      <c r="T43" s="701" t="s">
        <v>14</v>
      </c>
      <c r="U43" s="702">
        <f t="shared" si="13"/>
        <v>100</v>
      </c>
      <c r="V43" s="701" t="s">
        <v>14</v>
      </c>
      <c r="W43" s="702">
        <f t="shared" si="14"/>
        <v>100</v>
      </c>
      <c r="X43" s="1351"/>
      <c r="Y43" s="3732"/>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782"/>
      <c r="Q44" s="1339">
        <f t="shared" si="11"/>
        <v>111</v>
      </c>
      <c r="R44" s="697" t="s">
        <v>14</v>
      </c>
      <c r="S44" s="698">
        <f t="shared" si="12"/>
        <v>100</v>
      </c>
      <c r="T44" s="697" t="s">
        <v>14</v>
      </c>
      <c r="U44" s="698">
        <f t="shared" si="13"/>
        <v>100</v>
      </c>
      <c r="V44" s="697" t="s">
        <v>14</v>
      </c>
      <c r="W44" s="698">
        <f t="shared" si="14"/>
        <v>100</v>
      </c>
      <c r="X44" s="699"/>
      <c r="Y44" s="3732"/>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82"/>
      <c r="Q45" s="1348">
        <f t="shared" si="11"/>
        <v>111</v>
      </c>
      <c r="R45" s="701" t="s">
        <v>14</v>
      </c>
      <c r="S45" s="702">
        <f t="shared" si="12"/>
        <v>100</v>
      </c>
      <c r="T45" s="701" t="s">
        <v>14</v>
      </c>
      <c r="U45" s="702">
        <f t="shared" si="13"/>
        <v>100</v>
      </c>
      <c r="V45" s="701" t="s">
        <v>14</v>
      </c>
      <c r="W45" s="702">
        <f t="shared" si="14"/>
        <v>100</v>
      </c>
      <c r="X45" s="1351"/>
      <c r="Y45" s="3732"/>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83"/>
      <c r="Q46" s="1348">
        <f t="shared" si="11"/>
        <v>111</v>
      </c>
      <c r="R46" s="701" t="s">
        <v>14</v>
      </c>
      <c r="S46" s="702">
        <f t="shared" si="12"/>
        <v>100</v>
      </c>
      <c r="T46" s="701" t="s">
        <v>14</v>
      </c>
      <c r="U46" s="702">
        <f t="shared" si="13"/>
        <v>100</v>
      </c>
      <c r="V46" s="701" t="s">
        <v>14</v>
      </c>
      <c r="W46" s="702">
        <f t="shared" si="14"/>
        <v>100</v>
      </c>
      <c r="X46" s="1351"/>
      <c r="Y46" s="3784"/>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12" t="str">
        <f>A47</f>
        <v>成交单价（元/平方米）</v>
      </c>
      <c r="Q47" s="3712"/>
      <c r="R47" s="3725">
        <f>E47</f>
        <v>0</v>
      </c>
      <c r="S47" s="3725"/>
      <c r="T47" s="3725">
        <f>G47</f>
        <v>0</v>
      </c>
      <c r="U47" s="3725"/>
      <c r="V47" s="3725">
        <f>I47</f>
        <v>0</v>
      </c>
      <c r="W47" s="3725"/>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12" t="str">
        <f>A48</f>
        <v>比较价值（元/平方米）</v>
      </c>
      <c r="Q48" s="3712"/>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34" t="str">
        <f>A49</f>
        <v>估价对象XX用房的比较价值（楼面单价，元/平方米）</v>
      </c>
      <c r="Q49" s="3735"/>
      <c r="R49" s="3779" t="e">
        <f>IF(F1="售价",ROUND(IF(D48="简单平均",AVERAGE(R48:V48),R48*F48+T48*H48+V48*J48),0),ROUND(IF(D48="简单平均",AVERAGE(R48:V48),R48*F48+T48*H48+V48*J48),1))</f>
        <v>#DIV/0!</v>
      </c>
      <c r="S49" s="3779"/>
      <c r="T49" s="3779"/>
      <c r="U49" s="3779"/>
      <c r="V49" s="3779"/>
      <c r="W49" s="3779"/>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2023-2</v>
      </c>
      <c r="D58" s="1181">
        <f>EDATE(C58,-1)</f>
        <v>44927</v>
      </c>
      <c r="E58" s="1181">
        <f t="shared" ref="E58:N58" si="16">EDATE(D58,-1)</f>
        <v>44896</v>
      </c>
      <c r="F58" s="1181">
        <f t="shared" si="16"/>
        <v>44866</v>
      </c>
      <c r="G58" s="1181">
        <f t="shared" si="16"/>
        <v>44835</v>
      </c>
      <c r="H58" s="1181">
        <f t="shared" si="16"/>
        <v>44805</v>
      </c>
      <c r="I58" s="1181">
        <f t="shared" si="16"/>
        <v>44774</v>
      </c>
      <c r="J58" s="1181">
        <f t="shared" si="16"/>
        <v>44743</v>
      </c>
      <c r="K58" s="1181">
        <f t="shared" si="16"/>
        <v>44713</v>
      </c>
      <c r="L58" s="1181">
        <f t="shared" si="16"/>
        <v>44682</v>
      </c>
      <c r="M58" s="1181">
        <f t="shared" si="16"/>
        <v>44652</v>
      </c>
      <c r="N58" s="1181">
        <f t="shared" si="16"/>
        <v>44621</v>
      </c>
      <c r="O58" s="1181">
        <f>EDATE(N58,-1)</f>
        <v>44593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13" t="s">
        <v>1770</v>
      </c>
      <c r="D4" s="3714"/>
      <c r="E4" s="3715" t="s">
        <v>1771</v>
      </c>
      <c r="F4" s="3716"/>
      <c r="G4" s="3713" t="s">
        <v>1772</v>
      </c>
      <c r="H4" s="3714"/>
      <c r="I4" s="3713" t="s">
        <v>1773</v>
      </c>
      <c r="J4" s="3714"/>
      <c r="K4" s="556" t="s">
        <v>1774</v>
      </c>
      <c r="L4" s="2707"/>
      <c r="M4" s="2708"/>
      <c r="N4" s="2708"/>
      <c r="O4" s="2708"/>
      <c r="P4" s="3807" t="s">
        <v>1775</v>
      </c>
      <c r="Q4" s="3808"/>
      <c r="R4" s="3802" t="s">
        <v>1771</v>
      </c>
      <c r="S4" s="3803"/>
      <c r="T4" s="3802" t="s">
        <v>1772</v>
      </c>
      <c r="U4" s="3803"/>
      <c r="V4" s="3811" t="s">
        <v>1773</v>
      </c>
      <c r="W4" s="3811"/>
      <c r="X4" s="1951"/>
      <c r="Y4" s="3802" t="s">
        <v>1775</v>
      </c>
      <c r="Z4" s="3803"/>
      <c r="AA4" s="3801" t="s">
        <v>1771</v>
      </c>
      <c r="AB4" s="3801" t="s">
        <v>1772</v>
      </c>
      <c r="AC4" s="3804" t="s">
        <v>1773</v>
      </c>
    </row>
    <row r="5" spans="1:29" ht="15">
      <c r="A5" s="355"/>
      <c r="B5" s="356"/>
      <c r="C5" s="3797" t="s">
        <v>1673</v>
      </c>
      <c r="D5" s="3798"/>
      <c r="E5" s="3795" t="s">
        <v>1674</v>
      </c>
      <c r="F5" s="3796"/>
      <c r="G5" s="3797" t="s">
        <v>1675</v>
      </c>
      <c r="H5" s="3798"/>
      <c r="I5" s="3797" t="s">
        <v>1676</v>
      </c>
      <c r="J5" s="3798"/>
      <c r="K5" s="556"/>
      <c r="L5" s="2707"/>
      <c r="M5" s="2708"/>
      <c r="N5" s="2708"/>
      <c r="O5" s="2708"/>
      <c r="P5" s="3809"/>
      <c r="Q5" s="3720"/>
      <c r="R5" s="3702"/>
      <c r="S5" s="3703"/>
      <c r="T5" s="3702"/>
      <c r="U5" s="3703"/>
      <c r="V5" s="3725"/>
      <c r="W5" s="3725"/>
      <c r="X5" s="1351"/>
      <c r="Y5" s="3702"/>
      <c r="Z5" s="3703"/>
      <c r="AA5" s="3696"/>
      <c r="AB5" s="3696"/>
      <c r="AC5" s="3805"/>
    </row>
    <row r="6" spans="1:29" ht="15.75" thickBot="1">
      <c r="A6" s="357"/>
      <c r="B6" s="358"/>
      <c r="C6" s="3708" t="s">
        <v>1677</v>
      </c>
      <c r="D6" s="3709"/>
      <c r="E6" s="3799" t="s">
        <v>1677</v>
      </c>
      <c r="F6" s="3800"/>
      <c r="G6" s="3708" t="s">
        <v>1677</v>
      </c>
      <c r="H6" s="3709"/>
      <c r="I6" s="3708" t="s">
        <v>1677</v>
      </c>
      <c r="J6" s="3709"/>
      <c r="K6" s="556" t="s">
        <v>1678</v>
      </c>
      <c r="L6" s="2707"/>
      <c r="M6" s="2708"/>
      <c r="N6" s="2708"/>
      <c r="O6" s="2708"/>
      <c r="P6" s="3810"/>
      <c r="Q6" s="3722"/>
      <c r="R6" s="3702"/>
      <c r="S6" s="3703"/>
      <c r="T6" s="3723"/>
      <c r="U6" s="3724"/>
      <c r="V6" s="3725"/>
      <c r="W6" s="3725"/>
      <c r="X6" s="1351"/>
      <c r="Y6" s="3723"/>
      <c r="Z6" s="3724"/>
      <c r="AA6" s="3697"/>
      <c r="AB6" s="3697"/>
      <c r="AC6" s="3806"/>
    </row>
    <row r="7" spans="1:29" s="108" customFormat="1" ht="15.75" thickBot="1">
      <c r="A7" s="359" t="s">
        <v>1679</v>
      </c>
      <c r="B7" s="360"/>
      <c r="C7" s="361">
        <f>'数据-取费表'!B2</f>
        <v>44970</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12" t="s">
        <v>1680</v>
      </c>
      <c r="Q7" s="3728"/>
      <c r="R7" s="697" t="s">
        <v>14</v>
      </c>
      <c r="S7" s="698">
        <f t="shared" ref="S7:S15" si="0">F7</f>
        <v>0</v>
      </c>
      <c r="T7" s="697" t="s">
        <v>14</v>
      </c>
      <c r="U7" s="698">
        <f t="shared" ref="U7:U15" si="1">H7</f>
        <v>0</v>
      </c>
      <c r="V7" s="697" t="s">
        <v>14</v>
      </c>
      <c r="W7" s="698">
        <f t="shared" ref="W7:W15" si="2">J7</f>
        <v>0</v>
      </c>
      <c r="X7" s="699"/>
      <c r="Y7" s="3698" t="s">
        <v>1680</v>
      </c>
      <c r="Z7" s="3699"/>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12" t="s">
        <v>1683</v>
      </c>
      <c r="Q8" s="3699"/>
      <c r="R8" s="697" t="s">
        <v>14</v>
      </c>
      <c r="S8" s="698">
        <f t="shared" si="0"/>
        <v>100</v>
      </c>
      <c r="T8" s="697" t="s">
        <v>14</v>
      </c>
      <c r="U8" s="698">
        <f t="shared" si="1"/>
        <v>100</v>
      </c>
      <c r="V8" s="697" t="s">
        <v>14</v>
      </c>
      <c r="W8" s="698">
        <f t="shared" si="2"/>
        <v>100</v>
      </c>
      <c r="X8" s="699"/>
      <c r="Y8" s="3698" t="s">
        <v>1683</v>
      </c>
      <c r="Z8" s="3699"/>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38" t="s">
        <v>1686</v>
      </c>
      <c r="Q9" s="1339" t="str">
        <f t="shared" ref="Q9:Q15" si="6">B9</f>
        <v>用途</v>
      </c>
      <c r="R9" s="697" t="s">
        <v>14</v>
      </c>
      <c r="S9" s="698">
        <f t="shared" si="0"/>
        <v>100</v>
      </c>
      <c r="T9" s="697" t="s">
        <v>14</v>
      </c>
      <c r="U9" s="698">
        <f t="shared" si="1"/>
        <v>100</v>
      </c>
      <c r="V9" s="697" t="s">
        <v>14</v>
      </c>
      <c r="W9" s="698">
        <f t="shared" si="2"/>
        <v>100</v>
      </c>
      <c r="X9" s="699"/>
      <c r="Y9" s="3663"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38"/>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38"/>
      <c r="Q11" s="1339" t="str">
        <f t="shared" si="6"/>
        <v>容积率</v>
      </c>
      <c r="R11" s="697" t="s">
        <v>14</v>
      </c>
      <c r="S11" s="698">
        <f t="shared" si="0"/>
        <v>100</v>
      </c>
      <c r="T11" s="697" t="s">
        <v>14</v>
      </c>
      <c r="U11" s="698">
        <f t="shared" si="1"/>
        <v>100</v>
      </c>
      <c r="V11" s="697" t="s">
        <v>14</v>
      </c>
      <c r="W11" s="698">
        <f t="shared" si="2"/>
        <v>100</v>
      </c>
      <c r="X11" s="699"/>
      <c r="Y11" s="3663"/>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38"/>
      <c r="Q12" s="1339">
        <f t="shared" si="6"/>
        <v>111</v>
      </c>
      <c r="R12" s="697" t="s">
        <v>14</v>
      </c>
      <c r="S12" s="698">
        <f t="shared" si="0"/>
        <v>100</v>
      </c>
      <c r="T12" s="697" t="s">
        <v>14</v>
      </c>
      <c r="U12" s="698">
        <f t="shared" si="1"/>
        <v>100</v>
      </c>
      <c r="V12" s="697" t="s">
        <v>14</v>
      </c>
      <c r="W12" s="698">
        <f t="shared" si="2"/>
        <v>100</v>
      </c>
      <c r="X12" s="699"/>
      <c r="Y12" s="3663"/>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38"/>
      <c r="Q13" s="1339">
        <f t="shared" si="6"/>
        <v>111</v>
      </c>
      <c r="R13" s="697" t="s">
        <v>14</v>
      </c>
      <c r="S13" s="698">
        <f t="shared" si="0"/>
        <v>100</v>
      </c>
      <c r="T13" s="697" t="s">
        <v>14</v>
      </c>
      <c r="U13" s="698">
        <f t="shared" si="1"/>
        <v>100</v>
      </c>
      <c r="V13" s="697" t="s">
        <v>14</v>
      </c>
      <c r="W13" s="698">
        <f t="shared" si="2"/>
        <v>100</v>
      </c>
      <c r="X13" s="699"/>
      <c r="Y13" s="3663"/>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38"/>
      <c r="Q14" s="1339">
        <f t="shared" si="6"/>
        <v>111</v>
      </c>
      <c r="R14" s="697" t="s">
        <v>14</v>
      </c>
      <c r="S14" s="698">
        <f t="shared" si="0"/>
        <v>100</v>
      </c>
      <c r="T14" s="697" t="s">
        <v>14</v>
      </c>
      <c r="U14" s="698">
        <f t="shared" si="1"/>
        <v>100</v>
      </c>
      <c r="V14" s="697" t="s">
        <v>14</v>
      </c>
      <c r="W14" s="698">
        <f t="shared" si="2"/>
        <v>100</v>
      </c>
      <c r="X14" s="699"/>
      <c r="Y14" s="3663"/>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785" t="s">
        <v>1691</v>
      </c>
      <c r="Q15" s="1348" t="str">
        <f t="shared" si="6"/>
        <v>办公集聚程度</v>
      </c>
      <c r="R15" s="701" t="s">
        <v>14</v>
      </c>
      <c r="S15" s="702">
        <f t="shared" si="0"/>
        <v>100</v>
      </c>
      <c r="T15" s="701" t="s">
        <v>14</v>
      </c>
      <c r="U15" s="702">
        <f t="shared" si="1"/>
        <v>100</v>
      </c>
      <c r="V15" s="701" t="s">
        <v>14</v>
      </c>
      <c r="W15" s="702">
        <f t="shared" si="2"/>
        <v>100</v>
      </c>
      <c r="X15" s="1351"/>
      <c r="Y15" s="3729"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786"/>
      <c r="Q16" s="1348"/>
      <c r="R16" s="701"/>
      <c r="S16" s="702"/>
      <c r="T16" s="701"/>
      <c r="U16" s="702"/>
      <c r="V16" s="701"/>
      <c r="W16" s="702"/>
      <c r="X16" s="1351"/>
      <c r="Y16" s="3730"/>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786"/>
      <c r="Q17" s="1348" t="str">
        <f>B17</f>
        <v>交通便捷度</v>
      </c>
      <c r="R17" s="701" t="s">
        <v>14</v>
      </c>
      <c r="S17" s="702">
        <f>F17</f>
        <v>100</v>
      </c>
      <c r="T17" s="701" t="s">
        <v>14</v>
      </c>
      <c r="U17" s="702">
        <f>H17</f>
        <v>100</v>
      </c>
      <c r="V17" s="701" t="s">
        <v>14</v>
      </c>
      <c r="W17" s="702">
        <f>J17</f>
        <v>100</v>
      </c>
      <c r="X17" s="1351"/>
      <c r="Y17" s="3730"/>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786"/>
      <c r="Q18" s="1348"/>
      <c r="R18" s="701"/>
      <c r="S18" s="702"/>
      <c r="T18" s="701"/>
      <c r="U18" s="702"/>
      <c r="V18" s="701"/>
      <c r="W18" s="702"/>
      <c r="X18" s="1351"/>
      <c r="Y18" s="3730"/>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786"/>
      <c r="Q19" s="1348" t="str">
        <f>B19</f>
        <v>公共配套设施</v>
      </c>
      <c r="R19" s="701" t="s">
        <v>14</v>
      </c>
      <c r="S19" s="702">
        <f>F19</f>
        <v>100</v>
      </c>
      <c r="T19" s="701" t="s">
        <v>14</v>
      </c>
      <c r="U19" s="702">
        <f>H19</f>
        <v>100</v>
      </c>
      <c r="V19" s="701" t="s">
        <v>14</v>
      </c>
      <c r="W19" s="702">
        <f>J19</f>
        <v>100</v>
      </c>
      <c r="X19" s="1351"/>
      <c r="Y19" s="3730"/>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786"/>
      <c r="Q20" s="1348"/>
      <c r="R20" s="701"/>
      <c r="S20" s="702"/>
      <c r="T20" s="701"/>
      <c r="U20" s="702"/>
      <c r="V20" s="701"/>
      <c r="W20" s="702"/>
      <c r="X20" s="1351"/>
      <c r="Y20" s="3730"/>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786"/>
      <c r="Q21" s="1348" t="str">
        <f>B21</f>
        <v>基础设施水平</v>
      </c>
      <c r="R21" s="701" t="s">
        <v>14</v>
      </c>
      <c r="S21" s="702">
        <f>F21</f>
        <v>100</v>
      </c>
      <c r="T21" s="701" t="s">
        <v>14</v>
      </c>
      <c r="U21" s="702">
        <f>H21</f>
        <v>100</v>
      </c>
      <c r="V21" s="701" t="s">
        <v>14</v>
      </c>
      <c r="W21" s="702">
        <f>J21</f>
        <v>100</v>
      </c>
      <c r="X21" s="1351"/>
      <c r="Y21" s="3730"/>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786"/>
      <c r="Q22" s="1348"/>
      <c r="R22" s="701"/>
      <c r="S22" s="702"/>
      <c r="T22" s="701"/>
      <c r="U22" s="702"/>
      <c r="V22" s="701"/>
      <c r="W22" s="702"/>
      <c r="X22" s="1351"/>
      <c r="Y22" s="3730"/>
      <c r="Z22" s="1352"/>
      <c r="AA22" s="1349">
        <v>1</v>
      </c>
      <c r="AB22" s="1349">
        <v>1</v>
      </c>
      <c r="AC22" s="1955">
        <v>1</v>
      </c>
    </row>
    <row r="23" spans="1:29" ht="85.5">
      <c r="A23" s="376"/>
      <c r="B23" s="576" t="s">
        <v>1814</v>
      </c>
      <c r="C23" s="1956"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786"/>
      <c r="Q23" s="1348" t="str">
        <f>B23</f>
        <v>环境质量</v>
      </c>
      <c r="R23" s="701" t="s">
        <v>14</v>
      </c>
      <c r="S23" s="702">
        <f>F23</f>
        <v>100</v>
      </c>
      <c r="T23" s="701" t="s">
        <v>14</v>
      </c>
      <c r="U23" s="702">
        <f>H23</f>
        <v>100</v>
      </c>
      <c r="V23" s="701" t="s">
        <v>14</v>
      </c>
      <c r="W23" s="702">
        <f>J23</f>
        <v>100</v>
      </c>
      <c r="X23" s="1351"/>
      <c r="Y23" s="3730"/>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786"/>
      <c r="Q24" s="1348"/>
      <c r="R24" s="701"/>
      <c r="S24" s="702"/>
      <c r="T24" s="701"/>
      <c r="U24" s="702"/>
      <c r="V24" s="701"/>
      <c r="W24" s="702"/>
      <c r="X24" s="1351"/>
      <c r="Y24" s="3730"/>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786"/>
      <c r="Q25" s="1348" t="str">
        <f>B25</f>
        <v>毗邻道路的类型与等级</v>
      </c>
      <c r="R25" s="701" t="s">
        <v>14</v>
      </c>
      <c r="S25" s="702">
        <f>F25</f>
        <v>100</v>
      </c>
      <c r="T25" s="701" t="s">
        <v>14</v>
      </c>
      <c r="U25" s="702">
        <f>H25</f>
        <v>100</v>
      </c>
      <c r="V25" s="701" t="s">
        <v>14</v>
      </c>
      <c r="W25" s="702">
        <f>J25</f>
        <v>100</v>
      </c>
      <c r="X25" s="1351"/>
      <c r="Y25" s="3730"/>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786"/>
      <c r="Q26" s="1348"/>
      <c r="R26" s="701"/>
      <c r="S26" s="702"/>
      <c r="T26" s="701"/>
      <c r="U26" s="702"/>
      <c r="V26" s="701"/>
      <c r="W26" s="702"/>
      <c r="X26" s="1351"/>
      <c r="Y26" s="3730"/>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786"/>
      <c r="Q27" s="1348" t="str">
        <f t="shared" ref="Q27:Q47" si="11">B27</f>
        <v>楼层</v>
      </c>
      <c r="R27" s="701" t="s">
        <v>14</v>
      </c>
      <c r="S27" s="702">
        <f>F27</f>
        <v>100</v>
      </c>
      <c r="T27" s="701" t="s">
        <v>14</v>
      </c>
      <c r="U27" s="702">
        <f>H27</f>
        <v>100</v>
      </c>
      <c r="V27" s="701" t="s">
        <v>14</v>
      </c>
      <c r="W27" s="702">
        <f>J27</f>
        <v>100</v>
      </c>
      <c r="X27" s="1351"/>
      <c r="Y27" s="3730"/>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786"/>
      <c r="Q28" s="1339" t="str">
        <f t="shared" si="11"/>
        <v>朝向</v>
      </c>
      <c r="R28" s="697" t="s">
        <v>14</v>
      </c>
      <c r="S28" s="698">
        <f>F28</f>
        <v>100</v>
      </c>
      <c r="T28" s="697" t="s">
        <v>14</v>
      </c>
      <c r="U28" s="698">
        <f>H28</f>
        <v>100</v>
      </c>
      <c r="V28" s="697" t="s">
        <v>14</v>
      </c>
      <c r="W28" s="698">
        <f>J28</f>
        <v>100</v>
      </c>
      <c r="X28" s="699"/>
      <c r="Y28" s="3730"/>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786"/>
      <c r="Q29" s="1348">
        <f t="shared" si="11"/>
        <v>111</v>
      </c>
      <c r="R29" s="701" t="s">
        <v>14</v>
      </c>
      <c r="S29" s="702">
        <f t="shared" ref="S29:S47" si="12">F29</f>
        <v>100</v>
      </c>
      <c r="T29" s="701" t="s">
        <v>14</v>
      </c>
      <c r="U29" s="702">
        <f t="shared" ref="U29:U47" si="13">H29</f>
        <v>100</v>
      </c>
      <c r="V29" s="701" t="s">
        <v>14</v>
      </c>
      <c r="W29" s="702">
        <f t="shared" ref="W29:W47" si="14">J29</f>
        <v>100</v>
      </c>
      <c r="X29" s="1351"/>
      <c r="Y29" s="3730"/>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786"/>
      <c r="Q30" s="1348">
        <f t="shared" si="11"/>
        <v>111</v>
      </c>
      <c r="R30" s="701" t="s">
        <v>14</v>
      </c>
      <c r="S30" s="702">
        <f t="shared" si="12"/>
        <v>100</v>
      </c>
      <c r="T30" s="701" t="s">
        <v>14</v>
      </c>
      <c r="U30" s="702">
        <f t="shared" si="13"/>
        <v>100</v>
      </c>
      <c r="V30" s="701" t="s">
        <v>14</v>
      </c>
      <c r="W30" s="702">
        <f t="shared" si="14"/>
        <v>100</v>
      </c>
      <c r="X30" s="1351"/>
      <c r="Y30" s="3730"/>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786"/>
      <c r="Q31" s="1348">
        <f t="shared" si="11"/>
        <v>111</v>
      </c>
      <c r="R31" s="701" t="s">
        <v>14</v>
      </c>
      <c r="S31" s="702">
        <f t="shared" si="12"/>
        <v>100</v>
      </c>
      <c r="T31" s="701" t="s">
        <v>14</v>
      </c>
      <c r="U31" s="702">
        <f t="shared" si="13"/>
        <v>100</v>
      </c>
      <c r="V31" s="701" t="s">
        <v>14</v>
      </c>
      <c r="W31" s="702">
        <f t="shared" si="14"/>
        <v>100</v>
      </c>
      <c r="X31" s="1351"/>
      <c r="Y31" s="3730"/>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786"/>
      <c r="Q32" s="1348">
        <f t="shared" si="11"/>
        <v>111</v>
      </c>
      <c r="R32" s="701" t="s">
        <v>14</v>
      </c>
      <c r="S32" s="702">
        <f t="shared" si="12"/>
        <v>100</v>
      </c>
      <c r="T32" s="701" t="s">
        <v>14</v>
      </c>
      <c r="U32" s="702">
        <f t="shared" si="13"/>
        <v>100</v>
      </c>
      <c r="V32" s="701" t="s">
        <v>14</v>
      </c>
      <c r="W32" s="702">
        <f t="shared" si="14"/>
        <v>100</v>
      </c>
      <c r="X32" s="1351"/>
      <c r="Y32" s="3730"/>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781" t="s">
        <v>1696</v>
      </c>
      <c r="Q33" s="1348" t="str">
        <f t="shared" si="11"/>
        <v>建筑类型</v>
      </c>
      <c r="R33" s="701" t="s">
        <v>14</v>
      </c>
      <c r="S33" s="702">
        <f t="shared" si="12"/>
        <v>100</v>
      </c>
      <c r="T33" s="701" t="s">
        <v>14</v>
      </c>
      <c r="U33" s="702">
        <f t="shared" si="13"/>
        <v>100</v>
      </c>
      <c r="V33" s="701" t="s">
        <v>14</v>
      </c>
      <c r="W33" s="702">
        <f t="shared" si="14"/>
        <v>100</v>
      </c>
      <c r="X33" s="1351"/>
      <c r="Y33" s="3732"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782"/>
      <c r="Q34" s="703" t="str">
        <f t="shared" si="11"/>
        <v>项目建筑规模</v>
      </c>
      <c r="R34" s="704" t="s">
        <v>14</v>
      </c>
      <c r="S34" s="705" t="e">
        <f t="shared" si="12"/>
        <v>#N/A</v>
      </c>
      <c r="T34" s="704" t="s">
        <v>14</v>
      </c>
      <c r="U34" s="705" t="e">
        <f t="shared" si="13"/>
        <v>#N/A</v>
      </c>
      <c r="V34" s="704" t="s">
        <v>14</v>
      </c>
      <c r="W34" s="705" t="e">
        <f t="shared" si="14"/>
        <v>#N/A</v>
      </c>
      <c r="X34" s="706"/>
      <c r="Y34" s="3732"/>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782"/>
      <c r="Q35" s="1348" t="str">
        <f t="shared" si="11"/>
        <v>建筑结构</v>
      </c>
      <c r="R35" s="701" t="s">
        <v>14</v>
      </c>
      <c r="S35" s="702">
        <f t="shared" si="12"/>
        <v>100</v>
      </c>
      <c r="T35" s="701" t="s">
        <v>14</v>
      </c>
      <c r="U35" s="702">
        <f t="shared" si="13"/>
        <v>100</v>
      </c>
      <c r="V35" s="701" t="s">
        <v>14</v>
      </c>
      <c r="W35" s="702">
        <f t="shared" si="14"/>
        <v>100</v>
      </c>
      <c r="X35" s="1351"/>
      <c r="Y35" s="3732"/>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782"/>
      <c r="Q36" s="1348" t="str">
        <f t="shared" si="11"/>
        <v>公共部分装修</v>
      </c>
      <c r="R36" s="701" t="s">
        <v>14</v>
      </c>
      <c r="S36" s="702">
        <f t="shared" si="12"/>
        <v>100</v>
      </c>
      <c r="T36" s="701" t="s">
        <v>14</v>
      </c>
      <c r="U36" s="702">
        <f t="shared" si="13"/>
        <v>100</v>
      </c>
      <c r="V36" s="701" t="s">
        <v>14</v>
      </c>
      <c r="W36" s="702">
        <f t="shared" si="14"/>
        <v>100</v>
      </c>
      <c r="X36" s="1351"/>
      <c r="Y36" s="3732"/>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782"/>
      <c r="Q37" s="1348" t="str">
        <f t="shared" si="11"/>
        <v>成新度</v>
      </c>
      <c r="R37" s="701" t="s">
        <v>14</v>
      </c>
      <c r="S37" s="702" t="e">
        <f t="shared" si="12"/>
        <v>#N/A</v>
      </c>
      <c r="T37" s="701" t="s">
        <v>14</v>
      </c>
      <c r="U37" s="702" t="e">
        <f t="shared" si="13"/>
        <v>#N/A</v>
      </c>
      <c r="V37" s="701" t="s">
        <v>14</v>
      </c>
      <c r="W37" s="702" t="e">
        <f t="shared" si="14"/>
        <v>#N/A</v>
      </c>
      <c r="X37" s="1351"/>
      <c r="Y37" s="3732"/>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82"/>
      <c r="Q38" s="1339" t="str">
        <f t="shared" si="11"/>
        <v>写字楼等级</v>
      </c>
      <c r="R38" s="697" t="s">
        <v>14</v>
      </c>
      <c r="S38" s="698">
        <f t="shared" si="12"/>
        <v>100</v>
      </c>
      <c r="T38" s="697" t="s">
        <v>14</v>
      </c>
      <c r="U38" s="698">
        <f t="shared" si="13"/>
        <v>100</v>
      </c>
      <c r="V38" s="697" t="s">
        <v>14</v>
      </c>
      <c r="W38" s="698">
        <f t="shared" si="14"/>
        <v>100</v>
      </c>
      <c r="X38" s="699"/>
      <c r="Y38" s="3732"/>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782" t="s">
        <v>1696</v>
      </c>
      <c r="Q39" s="1348" t="str">
        <f t="shared" si="11"/>
        <v>物业管理</v>
      </c>
      <c r="R39" s="701" t="s">
        <v>14</v>
      </c>
      <c r="S39" s="702">
        <f t="shared" si="12"/>
        <v>100</v>
      </c>
      <c r="T39" s="701" t="s">
        <v>14</v>
      </c>
      <c r="U39" s="702">
        <f t="shared" si="13"/>
        <v>100</v>
      </c>
      <c r="V39" s="701" t="s">
        <v>14</v>
      </c>
      <c r="W39" s="702">
        <f t="shared" si="14"/>
        <v>100</v>
      </c>
      <c r="X39" s="1351"/>
      <c r="Y39" s="3732"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782"/>
      <c r="Q40" s="1348" t="str">
        <f t="shared" si="11"/>
        <v>市政基础设施</v>
      </c>
      <c r="R40" s="701" t="s">
        <v>14</v>
      </c>
      <c r="S40" s="702">
        <f t="shared" si="12"/>
        <v>100</v>
      </c>
      <c r="T40" s="701" t="s">
        <v>14</v>
      </c>
      <c r="U40" s="702">
        <f t="shared" si="13"/>
        <v>100</v>
      </c>
      <c r="V40" s="701" t="s">
        <v>14</v>
      </c>
      <c r="W40" s="702">
        <f t="shared" si="14"/>
        <v>100</v>
      </c>
      <c r="X40" s="1351"/>
      <c r="Y40" s="3732"/>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82"/>
      <c r="Q41" s="1348" t="str">
        <f t="shared" si="11"/>
        <v>层高</v>
      </c>
      <c r="R41" s="701" t="s">
        <v>14</v>
      </c>
      <c r="S41" s="702">
        <f t="shared" si="12"/>
        <v>100</v>
      </c>
      <c r="T41" s="701" t="s">
        <v>14</v>
      </c>
      <c r="U41" s="702">
        <f t="shared" si="13"/>
        <v>100</v>
      </c>
      <c r="V41" s="701" t="s">
        <v>14</v>
      </c>
      <c r="W41" s="702">
        <f t="shared" si="14"/>
        <v>100</v>
      </c>
      <c r="X41" s="1351"/>
      <c r="Y41" s="3732"/>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782"/>
      <c r="Q42" s="703" t="str">
        <f t="shared" si="11"/>
        <v>单套建筑面积</v>
      </c>
      <c r="R42" s="704" t="s">
        <v>14</v>
      </c>
      <c r="S42" s="705">
        <f t="shared" si="12"/>
        <v>100</v>
      </c>
      <c r="T42" s="704" t="s">
        <v>14</v>
      </c>
      <c r="U42" s="705">
        <f t="shared" si="13"/>
        <v>100</v>
      </c>
      <c r="V42" s="704" t="s">
        <v>14</v>
      </c>
      <c r="W42" s="705">
        <f t="shared" si="14"/>
        <v>100</v>
      </c>
      <c r="X42" s="706"/>
      <c r="Y42" s="3732"/>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782"/>
      <c r="Q43" s="1348" t="str">
        <f t="shared" si="11"/>
        <v>内部装修</v>
      </c>
      <c r="R43" s="701" t="s">
        <v>14</v>
      </c>
      <c r="S43" s="702">
        <f t="shared" si="12"/>
        <v>100</v>
      </c>
      <c r="T43" s="701" t="s">
        <v>14</v>
      </c>
      <c r="U43" s="702">
        <f t="shared" si="13"/>
        <v>100</v>
      </c>
      <c r="V43" s="701" t="s">
        <v>14</v>
      </c>
      <c r="W43" s="702">
        <f t="shared" si="14"/>
        <v>100</v>
      </c>
      <c r="X43" s="1351"/>
      <c r="Y43" s="3732"/>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782"/>
      <c r="Q44" s="1348" t="str">
        <f t="shared" si="11"/>
        <v>内部装修维护情况</v>
      </c>
      <c r="R44" s="701" t="s">
        <v>14</v>
      </c>
      <c r="S44" s="702">
        <f t="shared" si="12"/>
        <v>100</v>
      </c>
      <c r="T44" s="701" t="s">
        <v>14</v>
      </c>
      <c r="U44" s="702">
        <f t="shared" si="13"/>
        <v>100</v>
      </c>
      <c r="V44" s="701" t="s">
        <v>14</v>
      </c>
      <c r="W44" s="702">
        <f t="shared" si="14"/>
        <v>100</v>
      </c>
      <c r="X44" s="1351"/>
      <c r="Y44" s="3732"/>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782"/>
      <c r="Q45" s="1339">
        <f t="shared" si="11"/>
        <v>111</v>
      </c>
      <c r="R45" s="697" t="s">
        <v>14</v>
      </c>
      <c r="S45" s="698">
        <f t="shared" si="12"/>
        <v>100</v>
      </c>
      <c r="T45" s="697" t="s">
        <v>14</v>
      </c>
      <c r="U45" s="698">
        <f t="shared" si="13"/>
        <v>100</v>
      </c>
      <c r="V45" s="697" t="s">
        <v>14</v>
      </c>
      <c r="W45" s="698">
        <f t="shared" si="14"/>
        <v>100</v>
      </c>
      <c r="X45" s="699"/>
      <c r="Y45" s="3732"/>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82"/>
      <c r="Q46" s="1348">
        <f t="shared" si="11"/>
        <v>111</v>
      </c>
      <c r="R46" s="701" t="s">
        <v>14</v>
      </c>
      <c r="S46" s="702">
        <f t="shared" si="12"/>
        <v>100</v>
      </c>
      <c r="T46" s="701" t="s">
        <v>14</v>
      </c>
      <c r="U46" s="702">
        <f t="shared" si="13"/>
        <v>100</v>
      </c>
      <c r="V46" s="701" t="s">
        <v>14</v>
      </c>
      <c r="W46" s="702">
        <f t="shared" si="14"/>
        <v>100</v>
      </c>
      <c r="X46" s="1351"/>
      <c r="Y46" s="3732"/>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83"/>
      <c r="Q47" s="1348">
        <f t="shared" si="11"/>
        <v>111</v>
      </c>
      <c r="R47" s="701" t="s">
        <v>14</v>
      </c>
      <c r="S47" s="702">
        <f t="shared" si="12"/>
        <v>100</v>
      </c>
      <c r="T47" s="701" t="s">
        <v>14</v>
      </c>
      <c r="U47" s="702">
        <f t="shared" si="13"/>
        <v>100</v>
      </c>
      <c r="V47" s="701" t="s">
        <v>14</v>
      </c>
      <c r="W47" s="702">
        <f t="shared" si="14"/>
        <v>100</v>
      </c>
      <c r="X47" s="1351"/>
      <c r="Y47" s="3784"/>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38" t="str">
        <f>A48</f>
        <v>成交单价（元/平方米）</v>
      </c>
      <c r="Q48" s="3712"/>
      <c r="R48" s="3780">
        <f>E48</f>
        <v>0</v>
      </c>
      <c r="S48" s="3780"/>
      <c r="T48" s="3780">
        <f>G48</f>
        <v>0</v>
      </c>
      <c r="U48" s="3780"/>
      <c r="V48" s="3780">
        <f>I48</f>
        <v>0</v>
      </c>
      <c r="W48" s="3780"/>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38" t="str">
        <f>A49</f>
        <v>比较价值（元/平方米）</v>
      </c>
      <c r="Q49" s="3712"/>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2023-2</v>
      </c>
      <c r="D59" s="1181">
        <f>EDATE(C59,-1)</f>
        <v>44927</v>
      </c>
      <c r="E59" s="1181">
        <f>EDATE(D59,-1)</f>
        <v>44896</v>
      </c>
      <c r="F59" s="1181">
        <f t="shared" ref="F59:O59" si="16">EDATE(E59,-1)</f>
        <v>44866</v>
      </c>
      <c r="G59" s="1181">
        <f t="shared" si="16"/>
        <v>44835</v>
      </c>
      <c r="H59" s="1181">
        <f t="shared" si="16"/>
        <v>44805</v>
      </c>
      <c r="I59" s="1181">
        <f t="shared" si="16"/>
        <v>44774</v>
      </c>
      <c r="J59" s="1181">
        <f t="shared" si="16"/>
        <v>44743</v>
      </c>
      <c r="K59" s="1181">
        <f t="shared" si="16"/>
        <v>44713</v>
      </c>
      <c r="L59" s="1181">
        <f t="shared" si="16"/>
        <v>44682</v>
      </c>
      <c r="M59" s="1181">
        <f t="shared" si="16"/>
        <v>44652</v>
      </c>
      <c r="N59" s="1181">
        <f t="shared" si="16"/>
        <v>44621</v>
      </c>
      <c r="O59" s="1181">
        <f t="shared" si="16"/>
        <v>44593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13" t="s">
        <v>1770</v>
      </c>
      <c r="D4" s="3714"/>
      <c r="E4" s="3715" t="s">
        <v>1771</v>
      </c>
      <c r="F4" s="3716"/>
      <c r="G4" s="3713" t="s">
        <v>1772</v>
      </c>
      <c r="H4" s="3714"/>
      <c r="I4" s="3713" t="s">
        <v>1773</v>
      </c>
      <c r="J4" s="3714"/>
      <c r="K4" s="556" t="s">
        <v>1774</v>
      </c>
      <c r="L4" s="909"/>
      <c r="M4" s="910"/>
      <c r="N4" s="910"/>
      <c r="O4" s="910"/>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5"/>
      <c r="B5" s="356"/>
      <c r="C5" s="3797" t="s">
        <v>1673</v>
      </c>
      <c r="D5" s="3798"/>
      <c r="E5" s="3795" t="s">
        <v>1674</v>
      </c>
      <c r="F5" s="3796"/>
      <c r="G5" s="3797" t="s">
        <v>1675</v>
      </c>
      <c r="H5" s="3798"/>
      <c r="I5" s="3797" t="s">
        <v>1676</v>
      </c>
      <c r="J5" s="3798"/>
      <c r="K5" s="556"/>
      <c r="L5" s="909"/>
      <c r="M5" s="910"/>
      <c r="N5" s="910"/>
      <c r="O5" s="910"/>
      <c r="P5" s="3719"/>
      <c r="Q5" s="3720"/>
      <c r="R5" s="3702"/>
      <c r="S5" s="3703"/>
      <c r="T5" s="3702"/>
      <c r="U5" s="3703"/>
      <c r="V5" s="3725"/>
      <c r="W5" s="3725"/>
      <c r="X5" s="1351"/>
      <c r="Y5" s="3702"/>
      <c r="Z5" s="3703"/>
      <c r="AA5" s="3696"/>
      <c r="AB5" s="3696"/>
      <c r="AC5" s="3696"/>
    </row>
    <row r="6" spans="1:29" ht="15.75" thickBot="1">
      <c r="A6" s="357"/>
      <c r="B6" s="358"/>
      <c r="C6" s="3708" t="s">
        <v>1677</v>
      </c>
      <c r="D6" s="3709"/>
      <c r="E6" s="3799" t="s">
        <v>1677</v>
      </c>
      <c r="F6" s="3800"/>
      <c r="G6" s="3708" t="s">
        <v>1677</v>
      </c>
      <c r="H6" s="3709"/>
      <c r="I6" s="3708" t="s">
        <v>1677</v>
      </c>
      <c r="J6" s="3709"/>
      <c r="K6" s="556" t="s">
        <v>1678</v>
      </c>
      <c r="L6" s="909"/>
      <c r="M6" s="910"/>
      <c r="N6" s="910"/>
      <c r="O6" s="910"/>
      <c r="P6" s="3721"/>
      <c r="Q6" s="3722"/>
      <c r="R6" s="3702"/>
      <c r="S6" s="3703"/>
      <c r="T6" s="3723"/>
      <c r="U6" s="3724"/>
      <c r="V6" s="3725"/>
      <c r="W6" s="3725"/>
      <c r="X6" s="1351"/>
      <c r="Y6" s="3723"/>
      <c r="Z6" s="3724"/>
      <c r="AA6" s="3697"/>
      <c r="AB6" s="3697"/>
      <c r="AC6" s="3697"/>
    </row>
    <row r="7" spans="1:29" s="108" customFormat="1" ht="15.75" thickBot="1">
      <c r="A7" s="359" t="s">
        <v>1679</v>
      </c>
      <c r="B7" s="360"/>
      <c r="C7" s="361">
        <f>'数据-取费表'!B2</f>
        <v>44970</v>
      </c>
      <c r="D7" s="362">
        <v>100</v>
      </c>
      <c r="E7" s="363"/>
      <c r="F7" s="364">
        <f>SUMIF(52:52,YEAR(E7)&amp;"-"&amp;MONTH(E7),53:53)</f>
        <v>0</v>
      </c>
      <c r="G7" s="363"/>
      <c r="H7" s="362">
        <f>SUMIF(52:52,YEAR(G7)&amp;"-"&amp;MONTH(G7),53:53)</f>
        <v>0</v>
      </c>
      <c r="I7" s="363"/>
      <c r="J7" s="362">
        <f>SUMIF(52:52,YEAR(I7)&amp;"-"&amp;MONTH(I7),53:53)</f>
        <v>0</v>
      </c>
      <c r="K7" s="557"/>
      <c r="L7" s="911"/>
      <c r="M7" s="912"/>
      <c r="N7" s="912"/>
      <c r="O7" s="912"/>
      <c r="P7" s="3698" t="s">
        <v>1680</v>
      </c>
      <c r="Q7" s="3728"/>
      <c r="R7" s="697" t="s">
        <v>14</v>
      </c>
      <c r="S7" s="698">
        <f t="shared" ref="S7:S15" si="0">F7</f>
        <v>0</v>
      </c>
      <c r="T7" s="697" t="s">
        <v>14</v>
      </c>
      <c r="U7" s="698">
        <f t="shared" ref="U7:U15" si="1">H7</f>
        <v>0</v>
      </c>
      <c r="V7" s="697" t="s">
        <v>14</v>
      </c>
      <c r="W7" s="698">
        <f t="shared" ref="W7:W15" si="2">J7</f>
        <v>0</v>
      </c>
      <c r="X7" s="699"/>
      <c r="Y7" s="3698" t="s">
        <v>1680</v>
      </c>
      <c r="Z7" s="3699"/>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698" t="s">
        <v>1683</v>
      </c>
      <c r="Q8" s="3699"/>
      <c r="R8" s="697" t="s">
        <v>14</v>
      </c>
      <c r="S8" s="698">
        <f t="shared" si="0"/>
        <v>100</v>
      </c>
      <c r="T8" s="697" t="s">
        <v>14</v>
      </c>
      <c r="U8" s="698">
        <f t="shared" si="1"/>
        <v>100</v>
      </c>
      <c r="V8" s="697" t="s">
        <v>14</v>
      </c>
      <c r="W8" s="698">
        <f t="shared" si="2"/>
        <v>100</v>
      </c>
      <c r="X8" s="699"/>
      <c r="Y8" s="3698" t="s">
        <v>1683</v>
      </c>
      <c r="Z8" s="3699"/>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12" t="s">
        <v>1686</v>
      </c>
      <c r="Q9" s="1339" t="str">
        <f t="shared" ref="Q9:Q15" si="6">B9</f>
        <v>用途</v>
      </c>
      <c r="R9" s="697" t="s">
        <v>14</v>
      </c>
      <c r="S9" s="698">
        <f t="shared" si="0"/>
        <v>100</v>
      </c>
      <c r="T9" s="697" t="s">
        <v>14</v>
      </c>
      <c r="U9" s="698">
        <f t="shared" si="1"/>
        <v>100</v>
      </c>
      <c r="V9" s="697" t="s">
        <v>14</v>
      </c>
      <c r="W9" s="698">
        <f t="shared" si="2"/>
        <v>100</v>
      </c>
      <c r="X9" s="699"/>
      <c r="Y9" s="3663"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12"/>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12"/>
      <c r="Q11" s="1339" t="str">
        <f t="shared" si="6"/>
        <v>容积率</v>
      </c>
      <c r="R11" s="697" t="s">
        <v>14</v>
      </c>
      <c r="S11" s="698">
        <f t="shared" si="0"/>
        <v>100</v>
      </c>
      <c r="T11" s="697" t="s">
        <v>14</v>
      </c>
      <c r="U11" s="698">
        <f t="shared" si="1"/>
        <v>100</v>
      </c>
      <c r="V11" s="697" t="s">
        <v>14</v>
      </c>
      <c r="W11" s="698">
        <f t="shared" si="2"/>
        <v>100</v>
      </c>
      <c r="X11" s="699"/>
      <c r="Y11" s="3663"/>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12"/>
      <c r="Q12" s="1339">
        <f t="shared" si="6"/>
        <v>111</v>
      </c>
      <c r="R12" s="697" t="s">
        <v>14</v>
      </c>
      <c r="S12" s="698">
        <f t="shared" si="0"/>
        <v>100</v>
      </c>
      <c r="T12" s="697" t="s">
        <v>14</v>
      </c>
      <c r="U12" s="698">
        <f t="shared" si="1"/>
        <v>100</v>
      </c>
      <c r="V12" s="697" t="s">
        <v>14</v>
      </c>
      <c r="W12" s="698">
        <f t="shared" si="2"/>
        <v>100</v>
      </c>
      <c r="X12" s="699"/>
      <c r="Y12" s="3663"/>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12"/>
      <c r="Q13" s="1339">
        <f t="shared" si="6"/>
        <v>111</v>
      </c>
      <c r="R13" s="697" t="s">
        <v>14</v>
      </c>
      <c r="S13" s="698">
        <f t="shared" si="0"/>
        <v>100</v>
      </c>
      <c r="T13" s="697" t="s">
        <v>14</v>
      </c>
      <c r="U13" s="698">
        <f t="shared" si="1"/>
        <v>100</v>
      </c>
      <c r="V13" s="697" t="s">
        <v>14</v>
      </c>
      <c r="W13" s="698">
        <f t="shared" si="2"/>
        <v>100</v>
      </c>
      <c r="X13" s="699"/>
      <c r="Y13" s="3663"/>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12"/>
      <c r="Q14" s="1339">
        <f t="shared" si="6"/>
        <v>111</v>
      </c>
      <c r="R14" s="697" t="s">
        <v>14</v>
      </c>
      <c r="S14" s="698">
        <f t="shared" si="0"/>
        <v>100</v>
      </c>
      <c r="T14" s="697" t="s">
        <v>14</v>
      </c>
      <c r="U14" s="698">
        <f t="shared" si="1"/>
        <v>100</v>
      </c>
      <c r="V14" s="697" t="s">
        <v>14</v>
      </c>
      <c r="W14" s="698">
        <f t="shared" si="2"/>
        <v>100</v>
      </c>
      <c r="X14" s="699"/>
      <c r="Y14" s="3663"/>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9" t="s">
        <v>1691</v>
      </c>
      <c r="Q15" s="1348" t="str">
        <f t="shared" si="6"/>
        <v>产业集聚程度</v>
      </c>
      <c r="R15" s="701" t="s">
        <v>14</v>
      </c>
      <c r="S15" s="702">
        <f t="shared" si="0"/>
        <v>100</v>
      </c>
      <c r="T15" s="701" t="s">
        <v>14</v>
      </c>
      <c r="U15" s="702">
        <f t="shared" si="1"/>
        <v>100</v>
      </c>
      <c r="V15" s="701" t="s">
        <v>14</v>
      </c>
      <c r="W15" s="702">
        <f t="shared" si="2"/>
        <v>100</v>
      </c>
      <c r="X15" s="1351"/>
      <c r="Y15" s="3729"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30"/>
      <c r="Q16" s="1348"/>
      <c r="R16" s="701"/>
      <c r="S16" s="702"/>
      <c r="T16" s="701"/>
      <c r="U16" s="702"/>
      <c r="V16" s="701"/>
      <c r="W16" s="702"/>
      <c r="X16" s="1351"/>
      <c r="Y16" s="3730"/>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30"/>
      <c r="Q17" s="1348" t="str">
        <f>B17</f>
        <v>交通便捷度</v>
      </c>
      <c r="R17" s="701" t="s">
        <v>14</v>
      </c>
      <c r="S17" s="702">
        <f>F17</f>
        <v>100</v>
      </c>
      <c r="T17" s="701" t="s">
        <v>14</v>
      </c>
      <c r="U17" s="702">
        <f>H17</f>
        <v>100</v>
      </c>
      <c r="V17" s="701" t="s">
        <v>14</v>
      </c>
      <c r="W17" s="702">
        <f>J17</f>
        <v>100</v>
      </c>
      <c r="X17" s="1351"/>
      <c r="Y17" s="3730"/>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30"/>
      <c r="Q18" s="1348"/>
      <c r="R18" s="701"/>
      <c r="S18" s="702"/>
      <c r="T18" s="701"/>
      <c r="U18" s="702"/>
      <c r="V18" s="701"/>
      <c r="W18" s="702"/>
      <c r="X18" s="1351"/>
      <c r="Y18" s="3730"/>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30"/>
      <c r="Q19" s="1348" t="str">
        <f>B19</f>
        <v>公共配套设施</v>
      </c>
      <c r="R19" s="701" t="s">
        <v>14</v>
      </c>
      <c r="S19" s="702">
        <f>F19</f>
        <v>100</v>
      </c>
      <c r="T19" s="701" t="s">
        <v>14</v>
      </c>
      <c r="U19" s="702">
        <f>H19</f>
        <v>100</v>
      </c>
      <c r="V19" s="701" t="s">
        <v>14</v>
      </c>
      <c r="W19" s="702">
        <f>J19</f>
        <v>100</v>
      </c>
      <c r="X19" s="1351"/>
      <c r="Y19" s="3730"/>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30"/>
      <c r="Q20" s="1348"/>
      <c r="R20" s="701"/>
      <c r="S20" s="702"/>
      <c r="T20" s="701"/>
      <c r="U20" s="702"/>
      <c r="V20" s="701"/>
      <c r="W20" s="702"/>
      <c r="X20" s="1351"/>
      <c r="Y20" s="3730"/>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30"/>
      <c r="Q21" s="1348" t="str">
        <f>B21</f>
        <v>基础设施水平</v>
      </c>
      <c r="R21" s="701" t="s">
        <v>14</v>
      </c>
      <c r="S21" s="702">
        <f>F21</f>
        <v>100</v>
      </c>
      <c r="T21" s="701" t="s">
        <v>14</v>
      </c>
      <c r="U21" s="702">
        <f>H21</f>
        <v>100</v>
      </c>
      <c r="V21" s="701" t="s">
        <v>14</v>
      </c>
      <c r="W21" s="702">
        <f>J21</f>
        <v>100</v>
      </c>
      <c r="X21" s="1351"/>
      <c r="Y21" s="3730"/>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30"/>
      <c r="Q22" s="1348"/>
      <c r="R22" s="701"/>
      <c r="S22" s="702"/>
      <c r="T22" s="701"/>
      <c r="U22" s="702"/>
      <c r="V22" s="701"/>
      <c r="W22" s="702"/>
      <c r="X22" s="1351"/>
      <c r="Y22" s="3730"/>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30"/>
      <c r="Q23" s="1348" t="str">
        <f>B23</f>
        <v>环境质量</v>
      </c>
      <c r="R23" s="701" t="s">
        <v>14</v>
      </c>
      <c r="S23" s="702">
        <f>F23</f>
        <v>100</v>
      </c>
      <c r="T23" s="701" t="s">
        <v>14</v>
      </c>
      <c r="U23" s="702">
        <f>H23</f>
        <v>100</v>
      </c>
      <c r="V23" s="701" t="s">
        <v>14</v>
      </c>
      <c r="W23" s="702">
        <f>J23</f>
        <v>100</v>
      </c>
      <c r="X23" s="1351"/>
      <c r="Y23" s="3730"/>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30"/>
      <c r="Q24" s="1348"/>
      <c r="R24" s="701"/>
      <c r="S24" s="702"/>
      <c r="T24" s="701"/>
      <c r="U24" s="702"/>
      <c r="V24" s="701"/>
      <c r="W24" s="702"/>
      <c r="X24" s="1351"/>
      <c r="Y24" s="3730"/>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30"/>
      <c r="Q25" s="1348">
        <f>B25</f>
        <v>111</v>
      </c>
      <c r="R25" s="701" t="s">
        <v>14</v>
      </c>
      <c r="S25" s="702">
        <f>F25</f>
        <v>100</v>
      </c>
      <c r="T25" s="701" t="s">
        <v>14</v>
      </c>
      <c r="U25" s="702">
        <f>H25</f>
        <v>100</v>
      </c>
      <c r="V25" s="701" t="s">
        <v>14</v>
      </c>
      <c r="W25" s="702">
        <f>J25</f>
        <v>100</v>
      </c>
      <c r="X25" s="1351"/>
      <c r="Y25" s="3730"/>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30"/>
      <c r="Q26" s="1348">
        <f t="shared" ref="Q26:Q40" si="11">B26</f>
        <v>111</v>
      </c>
      <c r="R26" s="701" t="s">
        <v>14</v>
      </c>
      <c r="S26" s="702">
        <f>F26</f>
        <v>100</v>
      </c>
      <c r="T26" s="701" t="s">
        <v>14</v>
      </c>
      <c r="U26" s="702">
        <f>H26</f>
        <v>100</v>
      </c>
      <c r="V26" s="701" t="s">
        <v>14</v>
      </c>
      <c r="W26" s="702">
        <f>J26</f>
        <v>100</v>
      </c>
      <c r="X26" s="1351"/>
      <c r="Y26" s="3730"/>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30"/>
      <c r="Q27" s="1339">
        <f t="shared" si="11"/>
        <v>111</v>
      </c>
      <c r="R27" s="697" t="s">
        <v>14</v>
      </c>
      <c r="S27" s="698">
        <f>F27</f>
        <v>100</v>
      </c>
      <c r="T27" s="697" t="s">
        <v>14</v>
      </c>
      <c r="U27" s="698">
        <f>H27</f>
        <v>100</v>
      </c>
      <c r="V27" s="697" t="s">
        <v>14</v>
      </c>
      <c r="W27" s="698">
        <f>J27</f>
        <v>100</v>
      </c>
      <c r="X27" s="699"/>
      <c r="Y27" s="3730"/>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30"/>
      <c r="Q28" s="1348">
        <f t="shared" si="11"/>
        <v>111</v>
      </c>
      <c r="R28" s="701" t="s">
        <v>14</v>
      </c>
      <c r="S28" s="702">
        <f t="shared" ref="S28:S40" si="12">F28</f>
        <v>100</v>
      </c>
      <c r="T28" s="701" t="s">
        <v>14</v>
      </c>
      <c r="U28" s="702">
        <f t="shared" ref="U28:U40" si="13">H28</f>
        <v>100</v>
      </c>
      <c r="V28" s="701" t="s">
        <v>14</v>
      </c>
      <c r="W28" s="702">
        <f t="shared" ref="W28:W40" si="14">J28</f>
        <v>100</v>
      </c>
      <c r="X28" s="1351"/>
      <c r="Y28" s="3730"/>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31" t="s">
        <v>1696</v>
      </c>
      <c r="Q29" s="1348" t="str">
        <f t="shared" si="11"/>
        <v>建筑类型</v>
      </c>
      <c r="R29" s="701" t="s">
        <v>14</v>
      </c>
      <c r="S29" s="702">
        <f t="shared" si="12"/>
        <v>100</v>
      </c>
      <c r="T29" s="701" t="s">
        <v>14</v>
      </c>
      <c r="U29" s="702">
        <f t="shared" si="13"/>
        <v>100</v>
      </c>
      <c r="V29" s="701" t="s">
        <v>14</v>
      </c>
      <c r="W29" s="702">
        <f t="shared" si="14"/>
        <v>100</v>
      </c>
      <c r="X29" s="1351"/>
      <c r="Y29" s="3732"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32"/>
      <c r="Q30" s="703" t="str">
        <f t="shared" si="11"/>
        <v>项目建筑规模</v>
      </c>
      <c r="R30" s="704" t="s">
        <v>14</v>
      </c>
      <c r="S30" s="705" t="e">
        <f t="shared" si="12"/>
        <v>#N/A</v>
      </c>
      <c r="T30" s="704" t="s">
        <v>14</v>
      </c>
      <c r="U30" s="705" t="e">
        <f t="shared" si="13"/>
        <v>#N/A</v>
      </c>
      <c r="V30" s="704" t="s">
        <v>14</v>
      </c>
      <c r="W30" s="705" t="e">
        <f t="shared" si="14"/>
        <v>#N/A</v>
      </c>
      <c r="X30" s="706"/>
      <c r="Y30" s="3732"/>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32"/>
      <c r="Q31" s="1348" t="str">
        <f t="shared" si="11"/>
        <v>建筑结构</v>
      </c>
      <c r="R31" s="701" t="s">
        <v>14</v>
      </c>
      <c r="S31" s="702">
        <f t="shared" si="12"/>
        <v>100</v>
      </c>
      <c r="T31" s="701" t="s">
        <v>14</v>
      </c>
      <c r="U31" s="702">
        <f t="shared" si="13"/>
        <v>100</v>
      </c>
      <c r="V31" s="701" t="s">
        <v>14</v>
      </c>
      <c r="W31" s="702">
        <f t="shared" si="14"/>
        <v>100</v>
      </c>
      <c r="X31" s="1351"/>
      <c r="Y31" s="3732"/>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32"/>
      <c r="Q32" s="1348" t="str">
        <f t="shared" si="11"/>
        <v>公共部分装修</v>
      </c>
      <c r="R32" s="701" t="s">
        <v>14</v>
      </c>
      <c r="S32" s="702">
        <f t="shared" si="12"/>
        <v>100</v>
      </c>
      <c r="T32" s="701" t="s">
        <v>14</v>
      </c>
      <c r="U32" s="702">
        <f t="shared" si="13"/>
        <v>100</v>
      </c>
      <c r="V32" s="701" t="s">
        <v>14</v>
      </c>
      <c r="W32" s="702">
        <f t="shared" si="14"/>
        <v>100</v>
      </c>
      <c r="X32" s="1351"/>
      <c r="Y32" s="3732"/>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32"/>
      <c r="Q33" s="1348" t="str">
        <f t="shared" si="11"/>
        <v>成新度</v>
      </c>
      <c r="R33" s="701" t="s">
        <v>14</v>
      </c>
      <c r="S33" s="702" t="e">
        <f t="shared" si="12"/>
        <v>#N/A</v>
      </c>
      <c r="T33" s="701" t="s">
        <v>14</v>
      </c>
      <c r="U33" s="702" t="e">
        <f t="shared" si="13"/>
        <v>#N/A</v>
      </c>
      <c r="V33" s="701" t="s">
        <v>14</v>
      </c>
      <c r="W33" s="702" t="e">
        <f t="shared" si="14"/>
        <v>#N/A</v>
      </c>
      <c r="X33" s="1351"/>
      <c r="Y33" s="3732"/>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32"/>
      <c r="Q34" s="1339" t="str">
        <f t="shared" si="11"/>
        <v>物业管理</v>
      </c>
      <c r="R34" s="697" t="s">
        <v>14</v>
      </c>
      <c r="S34" s="698">
        <f t="shared" si="12"/>
        <v>100</v>
      </c>
      <c r="T34" s="697" t="s">
        <v>14</v>
      </c>
      <c r="U34" s="698">
        <f t="shared" si="13"/>
        <v>100</v>
      </c>
      <c r="V34" s="697" t="s">
        <v>14</v>
      </c>
      <c r="W34" s="698">
        <f t="shared" si="14"/>
        <v>100</v>
      </c>
      <c r="X34" s="699"/>
      <c r="Y34" s="3732"/>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32" t="s">
        <v>1696</v>
      </c>
      <c r="Q35" s="1348" t="str">
        <f t="shared" si="11"/>
        <v>市政基础设施</v>
      </c>
      <c r="R35" s="701" t="s">
        <v>14</v>
      </c>
      <c r="S35" s="702">
        <f t="shared" si="12"/>
        <v>100</v>
      </c>
      <c r="T35" s="701" t="s">
        <v>14</v>
      </c>
      <c r="U35" s="702">
        <f t="shared" si="13"/>
        <v>100</v>
      </c>
      <c r="V35" s="701" t="s">
        <v>14</v>
      </c>
      <c r="W35" s="702">
        <f t="shared" si="14"/>
        <v>100</v>
      </c>
      <c r="X35" s="1351"/>
      <c r="Y35" s="3732"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32"/>
      <c r="Q36" s="1348" t="str">
        <f t="shared" si="11"/>
        <v>内部装修</v>
      </c>
      <c r="R36" s="701" t="s">
        <v>14</v>
      </c>
      <c r="S36" s="702">
        <f t="shared" si="12"/>
        <v>100</v>
      </c>
      <c r="T36" s="701" t="s">
        <v>14</v>
      </c>
      <c r="U36" s="702">
        <f t="shared" si="13"/>
        <v>100</v>
      </c>
      <c r="V36" s="701" t="s">
        <v>14</v>
      </c>
      <c r="W36" s="702">
        <f t="shared" si="14"/>
        <v>100</v>
      </c>
      <c r="X36" s="1351"/>
      <c r="Y36" s="3732"/>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32"/>
      <c r="Q37" s="1348" t="str">
        <f t="shared" si="11"/>
        <v>内部装修状况</v>
      </c>
      <c r="R37" s="701" t="s">
        <v>14</v>
      </c>
      <c r="S37" s="702">
        <f t="shared" si="12"/>
        <v>100</v>
      </c>
      <c r="T37" s="701" t="s">
        <v>14</v>
      </c>
      <c r="U37" s="702">
        <f t="shared" si="13"/>
        <v>100</v>
      </c>
      <c r="V37" s="701" t="s">
        <v>14</v>
      </c>
      <c r="W37" s="702">
        <f t="shared" si="14"/>
        <v>100</v>
      </c>
      <c r="X37" s="1351"/>
      <c r="Y37" s="3732"/>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32"/>
      <c r="Q38" s="703">
        <f t="shared" si="11"/>
        <v>111</v>
      </c>
      <c r="R38" s="704" t="s">
        <v>14</v>
      </c>
      <c r="S38" s="705">
        <f t="shared" si="12"/>
        <v>100</v>
      </c>
      <c r="T38" s="704" t="s">
        <v>14</v>
      </c>
      <c r="U38" s="705">
        <f t="shared" si="13"/>
        <v>100</v>
      </c>
      <c r="V38" s="704" t="s">
        <v>14</v>
      </c>
      <c r="W38" s="705">
        <f t="shared" si="14"/>
        <v>100</v>
      </c>
      <c r="X38" s="706"/>
      <c r="Y38" s="3732"/>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32"/>
      <c r="Q39" s="1348">
        <f t="shared" si="11"/>
        <v>111</v>
      </c>
      <c r="R39" s="701" t="s">
        <v>14</v>
      </c>
      <c r="S39" s="702">
        <f t="shared" si="12"/>
        <v>100</v>
      </c>
      <c r="T39" s="701" t="s">
        <v>14</v>
      </c>
      <c r="U39" s="702">
        <f t="shared" si="13"/>
        <v>100</v>
      </c>
      <c r="V39" s="701" t="s">
        <v>14</v>
      </c>
      <c r="W39" s="702">
        <f t="shared" si="14"/>
        <v>100</v>
      </c>
      <c r="X39" s="1351"/>
      <c r="Y39" s="3732"/>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4"/>
      <c r="Q40" s="1348">
        <f t="shared" si="11"/>
        <v>111</v>
      </c>
      <c r="R40" s="701" t="s">
        <v>14</v>
      </c>
      <c r="S40" s="702">
        <f t="shared" si="12"/>
        <v>100</v>
      </c>
      <c r="T40" s="701" t="s">
        <v>14</v>
      </c>
      <c r="U40" s="702">
        <f t="shared" si="13"/>
        <v>100</v>
      </c>
      <c r="V40" s="701" t="s">
        <v>14</v>
      </c>
      <c r="W40" s="702">
        <f t="shared" si="14"/>
        <v>100</v>
      </c>
      <c r="X40" s="1351"/>
      <c r="Y40" s="3784"/>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12" t="str">
        <f>A41</f>
        <v>成交单价（元/平方米）</v>
      </c>
      <c r="Q41" s="3712"/>
      <c r="R41" s="3780">
        <f>E41</f>
        <v>0</v>
      </c>
      <c r="S41" s="3780"/>
      <c r="T41" s="3780">
        <f>G41</f>
        <v>0</v>
      </c>
      <c r="U41" s="3780"/>
      <c r="V41" s="3780">
        <f>I41</f>
        <v>0</v>
      </c>
      <c r="W41" s="3780"/>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12" t="str">
        <f>A42</f>
        <v>比较价值（元/平方米）</v>
      </c>
      <c r="Q42" s="3712"/>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34" t="str">
        <f>A43</f>
        <v>估价对象XX用房的比较价值（楼面单价，元/平方米）</v>
      </c>
      <c r="Q43" s="3735"/>
      <c r="R43" s="3779" t="e">
        <f>IF(F1="售价",ROUND(IF(D42="简单平均",AVERAGE(R42:V42),R42*F42+T42*H42+V42*J42),0),ROUND(IF(D42="简单平均",AVERAGE(R42:V42),R42*F42+T42*H42+V42*J42),1))</f>
        <v>#DIV/0!</v>
      </c>
      <c r="S43" s="3779"/>
      <c r="T43" s="3779"/>
      <c r="U43" s="3779"/>
      <c r="V43" s="3779"/>
      <c r="W43" s="3779"/>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2023-2</v>
      </c>
      <c r="D52" s="1181">
        <f>EDATE(C52,-1)</f>
        <v>44927</v>
      </c>
      <c r="E52" s="1181">
        <f t="shared" ref="E52:O52" si="16">EDATE(D52,-1)</f>
        <v>44896</v>
      </c>
      <c r="F52" s="1181">
        <f t="shared" si="16"/>
        <v>44866</v>
      </c>
      <c r="G52" s="1181">
        <f t="shared" si="16"/>
        <v>44835</v>
      </c>
      <c r="H52" s="1181">
        <f t="shared" si="16"/>
        <v>44805</v>
      </c>
      <c r="I52" s="1181">
        <f t="shared" si="16"/>
        <v>44774</v>
      </c>
      <c r="J52" s="1181">
        <f t="shared" si="16"/>
        <v>44743</v>
      </c>
      <c r="K52" s="1181">
        <f t="shared" si="16"/>
        <v>44713</v>
      </c>
      <c r="L52" s="1181">
        <f t="shared" si="16"/>
        <v>44682</v>
      </c>
      <c r="M52" s="1181">
        <f t="shared" si="16"/>
        <v>44652</v>
      </c>
      <c r="N52" s="1181">
        <f t="shared" si="16"/>
        <v>44621</v>
      </c>
      <c r="O52" s="1181">
        <f t="shared" si="16"/>
        <v>44593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估价结果一览表（市场价值不需“结果表-1”）</v>
      </c>
      <c r="B3" s="3509"/>
      <c r="C3" s="3509"/>
      <c r="D3" s="3509"/>
      <c r="E3" s="3509"/>
    </row>
    <row r="4" spans="1:5" ht="19.5" thickBot="1">
      <c r="A4" s="1489"/>
      <c r="B4" s="3507" t="s">
        <v>917</v>
      </c>
      <c r="C4" s="3507"/>
      <c r="D4" s="3507"/>
      <c r="E4" s="1489"/>
    </row>
    <row r="5" spans="1:5" ht="16.5" thickTop="1">
      <c r="A5" s="1487"/>
      <c r="B5" s="3505" t="s">
        <v>909</v>
      </c>
      <c r="C5" s="1490" t="s">
        <v>910</v>
      </c>
      <c r="D5" s="846">
        <f ca="1">结果表!H101</f>
        <v>3</v>
      </c>
      <c r="E5" s="1487"/>
    </row>
    <row r="6" spans="1:5" ht="15.75">
      <c r="A6" s="1487"/>
      <c r="B6" s="3505"/>
      <c r="C6" s="1490" t="s">
        <v>911</v>
      </c>
      <c r="D6" s="846" t="str">
        <f ca="1">NUMBERSTRING(INT(D5*10000),2)&amp;"元整"</f>
        <v>叁万元整</v>
      </c>
      <c r="E6" s="1487"/>
    </row>
    <row r="7" spans="1:5" ht="15.75">
      <c r="A7" s="1487"/>
      <c r="B7" s="3510"/>
      <c r="C7" s="1491" t="s">
        <v>912</v>
      </c>
      <c r="D7" s="847">
        <f ca="1">结果表!H102</f>
        <v>29096</v>
      </c>
      <c r="E7" s="1487"/>
    </row>
    <row r="8" spans="1:5" ht="15.75">
      <c r="A8" s="1487"/>
      <c r="B8" s="3511" t="str">
        <f>结果表!E103</f>
        <v>2.估价师知悉的法定优先受偿款</v>
      </c>
      <c r="C8" s="1492" t="s">
        <v>913</v>
      </c>
      <c r="D8" s="847">
        <f>结果表!H103</f>
        <v>0</v>
      </c>
      <c r="E8" s="1487"/>
    </row>
    <row r="9" spans="1:5" ht="15.75">
      <c r="A9" s="1487"/>
      <c r="B9" s="3513"/>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4" t="str">
        <f>结果表!E107</f>
        <v>3.房地产抵押价值</v>
      </c>
      <c r="C13" s="1495" t="s">
        <v>910</v>
      </c>
      <c r="D13" s="849">
        <f ca="1">结果表!H107</f>
        <v>3</v>
      </c>
      <c r="E13" s="1487"/>
    </row>
    <row r="14" spans="1:5" ht="15.75">
      <c r="A14" s="1487"/>
      <c r="B14" s="3505"/>
      <c r="C14" s="1490" t="s">
        <v>911</v>
      </c>
      <c r="D14" s="846" t="str">
        <f ca="1">NUMBERSTRING(INT(D13*10000),2)&amp;"元整"</f>
        <v>叁万元整</v>
      </c>
      <c r="E14" s="1487"/>
    </row>
    <row r="15" spans="1:5" ht="15">
      <c r="A15" s="1487"/>
      <c r="B15" s="3510"/>
      <c r="C15" s="1491" t="s">
        <v>921</v>
      </c>
      <c r="D15" s="855">
        <f ca="1">结果表!H108</f>
        <v>29096</v>
      </c>
      <c r="E15" s="1487"/>
    </row>
    <row r="16" spans="1:5" ht="15">
      <c r="A16" s="1487"/>
      <c r="B16" s="3511" t="str">
        <f>结果表!E109</f>
        <v>——</v>
      </c>
      <c r="C16" s="1495" t="s">
        <v>922</v>
      </c>
      <c r="D16" s="1496" t="str">
        <f>结果表!H109</f>
        <v>——</v>
      </c>
      <c r="E16" s="1487"/>
    </row>
    <row r="17" spans="1:5" ht="15.75">
      <c r="A17" s="1487"/>
      <c r="B17" s="3512"/>
      <c r="C17" s="1490" t="s">
        <v>923</v>
      </c>
      <c r="D17" s="846" t="e">
        <f>NUMBERSTRING(INT(D16*10000),2)&amp;"元整"</f>
        <v>#VALUE!</v>
      </c>
      <c r="E17" s="1487"/>
    </row>
    <row r="18" spans="1:5" ht="15">
      <c r="A18" s="1487"/>
      <c r="B18" s="3513"/>
      <c r="C18" s="1491" t="s">
        <v>912</v>
      </c>
      <c r="D18" s="855" t="str">
        <f>结果表!H110</f>
        <v>——</v>
      </c>
      <c r="E18" s="1487"/>
    </row>
    <row r="19" spans="1:5" ht="15.75">
      <c r="A19" s="1487"/>
      <c r="B19" s="3504" t="str">
        <f>结果表!E111</f>
        <v>——</v>
      </c>
      <c r="C19" s="1495" t="s">
        <v>910</v>
      </c>
      <c r="D19" s="847" t="str">
        <f>结果表!H111</f>
        <v>——</v>
      </c>
      <c r="E19" s="1487"/>
    </row>
    <row r="20" spans="1:5" ht="15.75">
      <c r="A20" s="1487"/>
      <c r="B20" s="3505"/>
      <c r="C20" s="1490" t="s">
        <v>923</v>
      </c>
      <c r="D20" s="846" t="e">
        <f>NUMBERSTRING(INT(D19*10000),2)&amp;"元整"</f>
        <v>#VALUE!</v>
      </c>
      <c r="E20" s="1487"/>
    </row>
    <row r="21" spans="1:5" ht="15.75" thickBot="1">
      <c r="A21" s="1487"/>
      <c r="B21" s="3506"/>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13" t="s">
        <v>1770</v>
      </c>
      <c r="D4" s="3714"/>
      <c r="E4" s="3715" t="s">
        <v>1771</v>
      </c>
      <c r="F4" s="3716"/>
      <c r="G4" s="3713" t="s">
        <v>1772</v>
      </c>
      <c r="H4" s="3714"/>
      <c r="I4" s="3713" t="s">
        <v>1773</v>
      </c>
      <c r="J4" s="3714"/>
      <c r="K4" s="556" t="s">
        <v>1774</v>
      </c>
      <c r="L4" s="2707"/>
      <c r="M4" s="2708"/>
      <c r="N4" s="2708"/>
      <c r="O4" s="2708"/>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5"/>
      <c r="B5" s="356"/>
      <c r="C5" s="3797" t="s">
        <v>1673</v>
      </c>
      <c r="D5" s="3798"/>
      <c r="E5" s="3795" t="s">
        <v>1674</v>
      </c>
      <c r="F5" s="3796"/>
      <c r="G5" s="3797" t="s">
        <v>1675</v>
      </c>
      <c r="H5" s="3798"/>
      <c r="I5" s="3797" t="s">
        <v>1676</v>
      </c>
      <c r="J5" s="3798"/>
      <c r="K5" s="556"/>
      <c r="L5" s="2707"/>
      <c r="M5" s="2708"/>
      <c r="N5" s="2708"/>
      <c r="O5" s="2708"/>
      <c r="P5" s="3719"/>
      <c r="Q5" s="3720"/>
      <c r="R5" s="3702"/>
      <c r="S5" s="3703"/>
      <c r="T5" s="3702"/>
      <c r="U5" s="3703"/>
      <c r="V5" s="3725"/>
      <c r="W5" s="3725"/>
      <c r="X5" s="1351"/>
      <c r="Y5" s="3702"/>
      <c r="Z5" s="3703"/>
      <c r="AA5" s="3696"/>
      <c r="AB5" s="3696"/>
      <c r="AC5" s="3696"/>
    </row>
    <row r="6" spans="1:29" ht="15.75" thickBot="1">
      <c r="A6" s="357"/>
      <c r="B6" s="358"/>
      <c r="C6" s="3708" t="s">
        <v>1677</v>
      </c>
      <c r="D6" s="3709"/>
      <c r="E6" s="3799" t="s">
        <v>1677</v>
      </c>
      <c r="F6" s="3800"/>
      <c r="G6" s="3708" t="s">
        <v>1677</v>
      </c>
      <c r="H6" s="3709"/>
      <c r="I6" s="3708" t="s">
        <v>1677</v>
      </c>
      <c r="J6" s="3709"/>
      <c r="K6" s="556" t="s">
        <v>1678</v>
      </c>
      <c r="L6" s="2707"/>
      <c r="M6" s="2708"/>
      <c r="N6" s="2708"/>
      <c r="O6" s="2708"/>
      <c r="P6" s="3721"/>
      <c r="Q6" s="3722"/>
      <c r="R6" s="3702"/>
      <c r="S6" s="3703"/>
      <c r="T6" s="3723"/>
      <c r="U6" s="3724"/>
      <c r="V6" s="3725"/>
      <c r="W6" s="3725"/>
      <c r="X6" s="1351"/>
      <c r="Y6" s="3723"/>
      <c r="Z6" s="3724"/>
      <c r="AA6" s="3697"/>
      <c r="AB6" s="3697"/>
      <c r="AC6" s="3697"/>
    </row>
    <row r="7" spans="1:29" s="108" customFormat="1" ht="15.75" thickBot="1">
      <c r="A7" s="359" t="s">
        <v>1679</v>
      </c>
      <c r="B7" s="360"/>
      <c r="C7" s="361">
        <f>'数据-取费表'!B2</f>
        <v>44970</v>
      </c>
      <c r="D7" s="362">
        <v>100</v>
      </c>
      <c r="E7" s="363"/>
      <c r="F7" s="364">
        <f>SUMIF(48:48,YEAR(E7)&amp;"-"&amp;MONTH(E7),49:49)</f>
        <v>0</v>
      </c>
      <c r="G7" s="363"/>
      <c r="H7" s="362">
        <f>SUMIF(48:48,YEAR(G7)&amp;"-"&amp;MONTH(G7),49:49)</f>
        <v>0</v>
      </c>
      <c r="I7" s="363"/>
      <c r="J7" s="362">
        <f>SUMIF(48:48,YEAR(I7)&amp;"-"&amp;MONTH(I7),49:49)</f>
        <v>0</v>
      </c>
      <c r="K7" s="557"/>
      <c r="L7" s="2709"/>
      <c r="M7" s="2710"/>
      <c r="N7" s="2710"/>
      <c r="O7" s="2710"/>
      <c r="P7" s="3698" t="s">
        <v>1680</v>
      </c>
      <c r="Q7" s="3728"/>
      <c r="R7" s="697" t="s">
        <v>14</v>
      </c>
      <c r="S7" s="698">
        <f t="shared" ref="S7:S14" si="0">F7</f>
        <v>0</v>
      </c>
      <c r="T7" s="697" t="s">
        <v>14</v>
      </c>
      <c r="U7" s="698">
        <f t="shared" ref="U7:U14" si="1">H7</f>
        <v>0</v>
      </c>
      <c r="V7" s="697" t="s">
        <v>14</v>
      </c>
      <c r="W7" s="698">
        <f t="shared" ref="W7:W14" si="2">J7</f>
        <v>0</v>
      </c>
      <c r="X7" s="699"/>
      <c r="Y7" s="3698" t="s">
        <v>1680</v>
      </c>
      <c r="Z7" s="3699"/>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698" t="s">
        <v>1683</v>
      </c>
      <c r="Q8" s="3699"/>
      <c r="R8" s="697" t="s">
        <v>14</v>
      </c>
      <c r="S8" s="698">
        <f t="shared" si="0"/>
        <v>100</v>
      </c>
      <c r="T8" s="697" t="s">
        <v>14</v>
      </c>
      <c r="U8" s="698">
        <f t="shared" si="1"/>
        <v>100</v>
      </c>
      <c r="V8" s="697" t="s">
        <v>14</v>
      </c>
      <c r="W8" s="698">
        <f t="shared" si="2"/>
        <v>100</v>
      </c>
      <c r="X8" s="699"/>
      <c r="Y8" s="3698" t="s">
        <v>1683</v>
      </c>
      <c r="Z8" s="3699"/>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12" t="s">
        <v>1686</v>
      </c>
      <c r="Q9" s="1339" t="str">
        <f t="shared" ref="Q9:Q14" si="6">B9</f>
        <v>用途</v>
      </c>
      <c r="R9" s="697" t="s">
        <v>14</v>
      </c>
      <c r="S9" s="698">
        <f t="shared" si="0"/>
        <v>100</v>
      </c>
      <c r="T9" s="697" t="s">
        <v>14</v>
      </c>
      <c r="U9" s="698">
        <f t="shared" si="1"/>
        <v>100</v>
      </c>
      <c r="V9" s="697" t="s">
        <v>14</v>
      </c>
      <c r="W9" s="698">
        <f t="shared" si="2"/>
        <v>100</v>
      </c>
      <c r="X9" s="699"/>
      <c r="Y9" s="3663"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12"/>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12"/>
      <c r="Q11" s="1339">
        <f t="shared" si="6"/>
        <v>111</v>
      </c>
      <c r="R11" s="697" t="s">
        <v>14</v>
      </c>
      <c r="S11" s="698">
        <f t="shared" si="0"/>
        <v>100</v>
      </c>
      <c r="T11" s="697" t="s">
        <v>14</v>
      </c>
      <c r="U11" s="698">
        <f t="shared" si="1"/>
        <v>100</v>
      </c>
      <c r="V11" s="697" t="s">
        <v>14</v>
      </c>
      <c r="W11" s="698">
        <f t="shared" si="2"/>
        <v>100</v>
      </c>
      <c r="X11" s="699"/>
      <c r="Y11" s="3663"/>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12"/>
      <c r="Q12" s="1339">
        <f t="shared" si="6"/>
        <v>111</v>
      </c>
      <c r="R12" s="697" t="s">
        <v>14</v>
      </c>
      <c r="S12" s="698">
        <f t="shared" si="0"/>
        <v>100</v>
      </c>
      <c r="T12" s="697" t="s">
        <v>14</v>
      </c>
      <c r="U12" s="698">
        <f t="shared" si="1"/>
        <v>100</v>
      </c>
      <c r="V12" s="697" t="s">
        <v>14</v>
      </c>
      <c r="W12" s="698">
        <f t="shared" si="2"/>
        <v>100</v>
      </c>
      <c r="X12" s="699"/>
      <c r="Y12" s="3663"/>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12"/>
      <c r="Q13" s="1339">
        <f t="shared" si="6"/>
        <v>111</v>
      </c>
      <c r="R13" s="697" t="s">
        <v>14</v>
      </c>
      <c r="S13" s="698">
        <f t="shared" si="0"/>
        <v>100</v>
      </c>
      <c r="T13" s="697" t="s">
        <v>14</v>
      </c>
      <c r="U13" s="698">
        <f t="shared" si="1"/>
        <v>100</v>
      </c>
      <c r="V13" s="697" t="s">
        <v>14</v>
      </c>
      <c r="W13" s="698">
        <f t="shared" si="2"/>
        <v>100</v>
      </c>
      <c r="X13" s="699"/>
      <c r="Y13" s="3663"/>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9" t="s">
        <v>1691</v>
      </c>
      <c r="Q14" s="1348" t="str">
        <f t="shared" si="6"/>
        <v>交通便捷度</v>
      </c>
      <c r="R14" s="701" t="s">
        <v>14</v>
      </c>
      <c r="S14" s="702">
        <f t="shared" si="0"/>
        <v>100</v>
      </c>
      <c r="T14" s="701" t="s">
        <v>14</v>
      </c>
      <c r="U14" s="702">
        <f t="shared" si="1"/>
        <v>100</v>
      </c>
      <c r="V14" s="701" t="s">
        <v>14</v>
      </c>
      <c r="W14" s="702">
        <f t="shared" si="2"/>
        <v>100</v>
      </c>
      <c r="X14" s="1351"/>
      <c r="Y14" s="3729"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30"/>
      <c r="Q15" s="1348"/>
      <c r="R15" s="701"/>
      <c r="S15" s="702"/>
      <c r="T15" s="701"/>
      <c r="U15" s="702"/>
      <c r="V15" s="701"/>
      <c r="W15" s="702"/>
      <c r="X15" s="1351"/>
      <c r="Y15" s="3730"/>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30"/>
      <c r="Q16" s="1348" t="str">
        <f>B16</f>
        <v>公共配套设施</v>
      </c>
      <c r="R16" s="701" t="s">
        <v>14</v>
      </c>
      <c r="S16" s="702">
        <f>F16</f>
        <v>100</v>
      </c>
      <c r="T16" s="701" t="s">
        <v>14</v>
      </c>
      <c r="U16" s="702">
        <f>H16</f>
        <v>100</v>
      </c>
      <c r="V16" s="701" t="s">
        <v>14</v>
      </c>
      <c r="W16" s="702">
        <f>J16</f>
        <v>100</v>
      </c>
      <c r="X16" s="1351"/>
      <c r="Y16" s="3730"/>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30"/>
      <c r="Q17" s="1348"/>
      <c r="R17" s="701"/>
      <c r="S17" s="702"/>
      <c r="T17" s="701"/>
      <c r="U17" s="702"/>
      <c r="V17" s="701"/>
      <c r="W17" s="702"/>
      <c r="X17" s="1351"/>
      <c r="Y17" s="3730"/>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30"/>
      <c r="Q18" s="1348" t="str">
        <f>B18</f>
        <v>基础设施水平</v>
      </c>
      <c r="R18" s="701" t="s">
        <v>14</v>
      </c>
      <c r="S18" s="702">
        <f>F18</f>
        <v>100</v>
      </c>
      <c r="T18" s="701" t="s">
        <v>14</v>
      </c>
      <c r="U18" s="702">
        <f>H18</f>
        <v>100</v>
      </c>
      <c r="V18" s="701" t="s">
        <v>14</v>
      </c>
      <c r="W18" s="702">
        <f>J18</f>
        <v>100</v>
      </c>
      <c r="X18" s="1351"/>
      <c r="Y18" s="3730"/>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30"/>
      <c r="Q19" s="1348"/>
      <c r="R19" s="701"/>
      <c r="S19" s="702"/>
      <c r="T19" s="701"/>
      <c r="U19" s="702"/>
      <c r="V19" s="701"/>
      <c r="W19" s="702"/>
      <c r="X19" s="1351"/>
      <c r="Y19" s="3730"/>
      <c r="Z19" s="1352"/>
      <c r="AA19" s="1349">
        <v>1</v>
      </c>
      <c r="AB19" s="1349">
        <v>1</v>
      </c>
      <c r="AC19" s="1349">
        <v>1</v>
      </c>
    </row>
    <row r="20" spans="1:29" ht="99.75">
      <c r="A20" s="355"/>
      <c r="B20" s="576" t="s">
        <v>1834</v>
      </c>
      <c r="C20" s="1895"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30"/>
      <c r="Q20" s="1348" t="str">
        <f>B20</f>
        <v>自然及人文环境</v>
      </c>
      <c r="R20" s="701" t="s">
        <v>14</v>
      </c>
      <c r="S20" s="702">
        <f>F20</f>
        <v>100</v>
      </c>
      <c r="T20" s="701" t="s">
        <v>14</v>
      </c>
      <c r="U20" s="702">
        <f>H20</f>
        <v>100</v>
      </c>
      <c r="V20" s="701" t="s">
        <v>14</v>
      </c>
      <c r="W20" s="702">
        <f>J20</f>
        <v>100</v>
      </c>
      <c r="X20" s="1351"/>
      <c r="Y20" s="3730"/>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30"/>
      <c r="Q21" s="1348"/>
      <c r="R21" s="701"/>
      <c r="S21" s="702"/>
      <c r="T21" s="701"/>
      <c r="U21" s="702"/>
      <c r="V21" s="701"/>
      <c r="W21" s="702"/>
      <c r="X21" s="1351"/>
      <c r="Y21" s="3730"/>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30"/>
      <c r="Q22" s="1348" t="str">
        <f>B22</f>
        <v>楼层</v>
      </c>
      <c r="R22" s="701" t="s">
        <v>14</v>
      </c>
      <c r="S22" s="702">
        <f>F22</f>
        <v>100</v>
      </c>
      <c r="T22" s="701" t="s">
        <v>14</v>
      </c>
      <c r="U22" s="702">
        <f>H22</f>
        <v>100</v>
      </c>
      <c r="V22" s="701" t="s">
        <v>14</v>
      </c>
      <c r="W22" s="702">
        <f>J22</f>
        <v>100</v>
      </c>
      <c r="X22" s="1351"/>
      <c r="Y22" s="3730"/>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30"/>
      <c r="Q23" s="1348">
        <f>B23</f>
        <v>111</v>
      </c>
      <c r="R23" s="701" t="s">
        <v>14</v>
      </c>
      <c r="S23" s="702">
        <f>F23</f>
        <v>100</v>
      </c>
      <c r="T23" s="701" t="s">
        <v>14</v>
      </c>
      <c r="U23" s="702">
        <f>H23</f>
        <v>100</v>
      </c>
      <c r="V23" s="701" t="s">
        <v>14</v>
      </c>
      <c r="W23" s="702">
        <f>J23</f>
        <v>100</v>
      </c>
      <c r="X23" s="1351"/>
      <c r="Y23" s="3730"/>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30"/>
      <c r="Q24" s="1348">
        <f t="shared" ref="Q24:Q36" si="11">B24</f>
        <v>111</v>
      </c>
      <c r="R24" s="701" t="s">
        <v>14</v>
      </c>
      <c r="S24" s="702">
        <f>F24</f>
        <v>100</v>
      </c>
      <c r="T24" s="701" t="s">
        <v>14</v>
      </c>
      <c r="U24" s="702">
        <f>H24</f>
        <v>100</v>
      </c>
      <c r="V24" s="701" t="s">
        <v>14</v>
      </c>
      <c r="W24" s="702">
        <f>J24</f>
        <v>100</v>
      </c>
      <c r="X24" s="1351"/>
      <c r="Y24" s="3730"/>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30"/>
      <c r="Q25" s="1339">
        <f t="shared" si="11"/>
        <v>111</v>
      </c>
      <c r="R25" s="697" t="s">
        <v>14</v>
      </c>
      <c r="S25" s="698">
        <f>F25</f>
        <v>100</v>
      </c>
      <c r="T25" s="697" t="s">
        <v>14</v>
      </c>
      <c r="U25" s="698">
        <f>H25</f>
        <v>100</v>
      </c>
      <c r="V25" s="697" t="s">
        <v>14</v>
      </c>
      <c r="W25" s="698">
        <f>J25</f>
        <v>100</v>
      </c>
      <c r="X25" s="699"/>
      <c r="Y25" s="3730"/>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31"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32"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32"/>
      <c r="Q27" s="703" t="str">
        <f t="shared" si="11"/>
        <v>项目停车位配比</v>
      </c>
      <c r="R27" s="704" t="s">
        <v>14</v>
      </c>
      <c r="S27" s="705">
        <f t="shared" si="12"/>
        <v>100</v>
      </c>
      <c r="T27" s="704" t="s">
        <v>14</v>
      </c>
      <c r="U27" s="705">
        <f t="shared" si="13"/>
        <v>100</v>
      </c>
      <c r="V27" s="704" t="s">
        <v>14</v>
      </c>
      <c r="W27" s="705">
        <f t="shared" si="14"/>
        <v>100</v>
      </c>
      <c r="X27" s="706"/>
      <c r="Y27" s="3732"/>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32"/>
      <c r="Q28" s="1348" t="str">
        <f t="shared" si="11"/>
        <v>公共部分装修</v>
      </c>
      <c r="R28" s="701" t="s">
        <v>14</v>
      </c>
      <c r="S28" s="702">
        <f t="shared" si="12"/>
        <v>100</v>
      </c>
      <c r="T28" s="701" t="s">
        <v>14</v>
      </c>
      <c r="U28" s="702">
        <f t="shared" si="13"/>
        <v>100</v>
      </c>
      <c r="V28" s="701" t="s">
        <v>14</v>
      </c>
      <c r="W28" s="702">
        <f t="shared" si="14"/>
        <v>100</v>
      </c>
      <c r="X28" s="1351"/>
      <c r="Y28" s="3732"/>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32"/>
      <c r="Q29" s="1348" t="str">
        <f t="shared" si="11"/>
        <v>成新率</v>
      </c>
      <c r="R29" s="701" t="s">
        <v>14</v>
      </c>
      <c r="S29" s="702" t="e">
        <f t="shared" si="12"/>
        <v>#N/A</v>
      </c>
      <c r="T29" s="701" t="s">
        <v>14</v>
      </c>
      <c r="U29" s="702" t="e">
        <f t="shared" si="13"/>
        <v>#N/A</v>
      </c>
      <c r="V29" s="701" t="s">
        <v>14</v>
      </c>
      <c r="W29" s="702" t="e">
        <f t="shared" si="14"/>
        <v>#N/A</v>
      </c>
      <c r="X29" s="1351"/>
      <c r="Y29" s="3732"/>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32"/>
      <c r="Q30" s="1348" t="str">
        <f t="shared" si="11"/>
        <v>物业等级</v>
      </c>
      <c r="R30" s="701" t="s">
        <v>14</v>
      </c>
      <c r="S30" s="702">
        <f t="shared" si="12"/>
        <v>100</v>
      </c>
      <c r="T30" s="701" t="s">
        <v>14</v>
      </c>
      <c r="U30" s="702">
        <f t="shared" si="13"/>
        <v>100</v>
      </c>
      <c r="V30" s="701" t="s">
        <v>14</v>
      </c>
      <c r="W30" s="702">
        <f t="shared" si="14"/>
        <v>100</v>
      </c>
      <c r="X30" s="1351"/>
      <c r="Y30" s="3732"/>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32"/>
      <c r="Q31" s="1339" t="str">
        <f t="shared" si="11"/>
        <v>停车位面积</v>
      </c>
      <c r="R31" s="697" t="s">
        <v>14</v>
      </c>
      <c r="S31" s="698" t="e">
        <f t="shared" si="12"/>
        <v>#N/A</v>
      </c>
      <c r="T31" s="697" t="s">
        <v>14</v>
      </c>
      <c r="U31" s="698" t="e">
        <f t="shared" si="13"/>
        <v>#N/A</v>
      </c>
      <c r="V31" s="697" t="s">
        <v>14</v>
      </c>
      <c r="W31" s="698" t="e">
        <f t="shared" si="14"/>
        <v>#N/A</v>
      </c>
      <c r="X31" s="699"/>
      <c r="Y31" s="3732"/>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32" t="s">
        <v>1696</v>
      </c>
      <c r="Q32" s="1348" t="str">
        <f t="shared" si="11"/>
        <v>车位类型</v>
      </c>
      <c r="R32" s="701" t="s">
        <v>14</v>
      </c>
      <c r="S32" s="702">
        <f t="shared" si="12"/>
        <v>100</v>
      </c>
      <c r="T32" s="701" t="s">
        <v>14</v>
      </c>
      <c r="U32" s="702">
        <f t="shared" si="13"/>
        <v>100</v>
      </c>
      <c r="V32" s="701" t="s">
        <v>14</v>
      </c>
      <c r="W32" s="702">
        <f t="shared" si="14"/>
        <v>100</v>
      </c>
      <c r="X32" s="1351"/>
      <c r="Y32" s="3732"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32"/>
      <c r="Q33" s="1348" t="str">
        <f t="shared" si="11"/>
        <v>是否直接入户</v>
      </c>
      <c r="R33" s="701" t="s">
        <v>14</v>
      </c>
      <c r="S33" s="702">
        <f t="shared" si="12"/>
        <v>100</v>
      </c>
      <c r="T33" s="701" t="s">
        <v>14</v>
      </c>
      <c r="U33" s="702">
        <f t="shared" si="13"/>
        <v>100</v>
      </c>
      <c r="V33" s="701" t="s">
        <v>14</v>
      </c>
      <c r="W33" s="702">
        <f t="shared" si="14"/>
        <v>100</v>
      </c>
      <c r="X33" s="1351"/>
      <c r="Y33" s="3732"/>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32"/>
      <c r="Q34" s="1348">
        <f t="shared" si="11"/>
        <v>111</v>
      </c>
      <c r="R34" s="701" t="s">
        <v>14</v>
      </c>
      <c r="S34" s="702">
        <f t="shared" si="12"/>
        <v>100</v>
      </c>
      <c r="T34" s="701" t="s">
        <v>14</v>
      </c>
      <c r="U34" s="702">
        <f t="shared" si="13"/>
        <v>100</v>
      </c>
      <c r="V34" s="701" t="s">
        <v>14</v>
      </c>
      <c r="W34" s="702">
        <f t="shared" si="14"/>
        <v>100</v>
      </c>
      <c r="X34" s="1351"/>
      <c r="Y34" s="3732"/>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32"/>
      <c r="Q35" s="703">
        <f t="shared" si="11"/>
        <v>111</v>
      </c>
      <c r="R35" s="704" t="s">
        <v>14</v>
      </c>
      <c r="S35" s="705">
        <f t="shared" si="12"/>
        <v>100</v>
      </c>
      <c r="T35" s="704" t="s">
        <v>14</v>
      </c>
      <c r="U35" s="705">
        <f t="shared" si="13"/>
        <v>100</v>
      </c>
      <c r="V35" s="704" t="s">
        <v>14</v>
      </c>
      <c r="W35" s="705">
        <f t="shared" si="14"/>
        <v>100</v>
      </c>
      <c r="X35" s="706"/>
      <c r="Y35" s="3732"/>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32"/>
      <c r="Q36" s="1348">
        <f t="shared" si="11"/>
        <v>111</v>
      </c>
      <c r="R36" s="701" t="s">
        <v>14</v>
      </c>
      <c r="S36" s="702">
        <f t="shared" si="12"/>
        <v>100</v>
      </c>
      <c r="T36" s="701" t="s">
        <v>14</v>
      </c>
      <c r="U36" s="702">
        <f t="shared" si="13"/>
        <v>100</v>
      </c>
      <c r="V36" s="701" t="s">
        <v>14</v>
      </c>
      <c r="W36" s="702">
        <f t="shared" si="14"/>
        <v>100</v>
      </c>
      <c r="X36" s="1351"/>
      <c r="Y36" s="3732"/>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12" t="str">
        <f>A37</f>
        <v>成交单价</v>
      </c>
      <c r="Q37" s="3712"/>
      <c r="R37" s="3780">
        <f>E37</f>
        <v>0</v>
      </c>
      <c r="S37" s="3780"/>
      <c r="T37" s="3780">
        <f>G37</f>
        <v>0</v>
      </c>
      <c r="U37" s="3780"/>
      <c r="V37" s="3780">
        <f>I37</f>
        <v>0</v>
      </c>
      <c r="W37" s="3780"/>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12" t="str">
        <f>A38</f>
        <v>比较价值（元/平方米）</v>
      </c>
      <c r="Q38" s="3712"/>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34" t="str">
        <f>A39</f>
        <v>估价对象XX用房的比较价值（楼面单价，元/平方米）</v>
      </c>
      <c r="Q39" s="3735"/>
      <c r="R39" s="3816" t="e">
        <f>IF(F1="售价",ROUND(IF(D38="简单平均",AVERAGE(R38:W38),R38*F38+T38*H38+V38*J38),0),ROUND(IF(D38="简单平均",AVERAGE(R38:V38),R38*F38+T38*H38+V38*J38),1))</f>
        <v>#DIV/0!</v>
      </c>
      <c r="S39" s="3816"/>
      <c r="T39" s="3816"/>
      <c r="U39" s="3816"/>
      <c r="V39" s="3816"/>
      <c r="W39" s="3816"/>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2023-2</v>
      </c>
      <c r="D48" s="1181">
        <f>EDATE(C48,-1)</f>
        <v>44927</v>
      </c>
      <c r="E48" s="1181">
        <f t="shared" ref="E48:O48" si="16">EDATE(D48,-1)</f>
        <v>44896</v>
      </c>
      <c r="F48" s="1181">
        <f t="shared" si="16"/>
        <v>44866</v>
      </c>
      <c r="G48" s="1181">
        <f t="shared" si="16"/>
        <v>44835</v>
      </c>
      <c r="H48" s="1181">
        <f t="shared" si="16"/>
        <v>44805</v>
      </c>
      <c r="I48" s="1181">
        <f t="shared" si="16"/>
        <v>44774</v>
      </c>
      <c r="J48" s="1181">
        <f t="shared" si="16"/>
        <v>44743</v>
      </c>
      <c r="K48" s="1181">
        <f t="shared" si="16"/>
        <v>44713</v>
      </c>
      <c r="L48" s="1181">
        <f t="shared" si="16"/>
        <v>44682</v>
      </c>
      <c r="M48" s="1181">
        <f t="shared" si="16"/>
        <v>44652</v>
      </c>
      <c r="N48" s="1181">
        <f t="shared" si="16"/>
        <v>44621</v>
      </c>
      <c r="O48" s="1181">
        <f t="shared" si="16"/>
        <v>44593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13" t="s">
        <v>1770</v>
      </c>
      <c r="D4" s="3714"/>
      <c r="E4" s="3715" t="s">
        <v>1771</v>
      </c>
      <c r="F4" s="3716"/>
      <c r="G4" s="3713" t="s">
        <v>1772</v>
      </c>
      <c r="H4" s="3714"/>
      <c r="I4" s="3713" t="s">
        <v>1773</v>
      </c>
      <c r="J4" s="3714"/>
      <c r="K4" s="556" t="s">
        <v>1774</v>
      </c>
      <c r="L4" s="2707"/>
      <c r="M4" s="2708"/>
      <c r="N4" s="2708"/>
      <c r="O4" s="2708"/>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5"/>
      <c r="B5" s="356"/>
      <c r="C5" s="3797" t="s">
        <v>1673</v>
      </c>
      <c r="D5" s="3798"/>
      <c r="E5" s="3795" t="s">
        <v>1674</v>
      </c>
      <c r="F5" s="3796"/>
      <c r="G5" s="3797" t="s">
        <v>1675</v>
      </c>
      <c r="H5" s="3798"/>
      <c r="I5" s="3797" t="s">
        <v>1676</v>
      </c>
      <c r="J5" s="3798"/>
      <c r="K5" s="556"/>
      <c r="L5" s="2707"/>
      <c r="M5" s="2708"/>
      <c r="N5" s="2708"/>
      <c r="O5" s="2708"/>
      <c r="P5" s="3719"/>
      <c r="Q5" s="3720"/>
      <c r="R5" s="3702"/>
      <c r="S5" s="3703"/>
      <c r="T5" s="3702"/>
      <c r="U5" s="3703"/>
      <c r="V5" s="3725"/>
      <c r="W5" s="3725"/>
      <c r="X5" s="1351"/>
      <c r="Y5" s="3702"/>
      <c r="Z5" s="3703"/>
      <c r="AA5" s="3696"/>
      <c r="AB5" s="3696"/>
      <c r="AC5" s="3696"/>
    </row>
    <row r="6" spans="1:29" ht="15.75" thickBot="1">
      <c r="A6" s="357"/>
      <c r="B6" s="358"/>
      <c r="C6" s="3708" t="s">
        <v>1677</v>
      </c>
      <c r="D6" s="3709"/>
      <c r="E6" s="3799" t="s">
        <v>1677</v>
      </c>
      <c r="F6" s="3800"/>
      <c r="G6" s="3708" t="s">
        <v>1677</v>
      </c>
      <c r="H6" s="3709"/>
      <c r="I6" s="3708" t="s">
        <v>1677</v>
      </c>
      <c r="J6" s="3709"/>
      <c r="K6" s="556" t="s">
        <v>1678</v>
      </c>
      <c r="L6" s="2707"/>
      <c r="M6" s="2708"/>
      <c r="N6" s="2708"/>
      <c r="O6" s="2708"/>
      <c r="P6" s="3721"/>
      <c r="Q6" s="3722"/>
      <c r="R6" s="3702"/>
      <c r="S6" s="3703"/>
      <c r="T6" s="3723"/>
      <c r="U6" s="3724"/>
      <c r="V6" s="3725"/>
      <c r="W6" s="3725"/>
      <c r="X6" s="1351"/>
      <c r="Y6" s="3723"/>
      <c r="Z6" s="3724"/>
      <c r="AA6" s="3697"/>
      <c r="AB6" s="3697"/>
      <c r="AC6" s="3697"/>
    </row>
    <row r="7" spans="1:29" s="108" customFormat="1" ht="15.75" thickBot="1">
      <c r="A7" s="359" t="s">
        <v>1679</v>
      </c>
      <c r="B7" s="360"/>
      <c r="C7" s="361">
        <f>'数据-取费表'!B2</f>
        <v>44970</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698" t="s">
        <v>1680</v>
      </c>
      <c r="Q7" s="3728"/>
      <c r="R7" s="697" t="s">
        <v>14</v>
      </c>
      <c r="S7" s="698">
        <f t="shared" ref="S7:S14" si="0">F7</f>
        <v>0</v>
      </c>
      <c r="T7" s="697" t="s">
        <v>14</v>
      </c>
      <c r="U7" s="698">
        <f t="shared" ref="U7:U14" si="1">H7</f>
        <v>0</v>
      </c>
      <c r="V7" s="697" t="s">
        <v>14</v>
      </c>
      <c r="W7" s="698">
        <f t="shared" ref="W7:W14" si="2">J7</f>
        <v>0</v>
      </c>
      <c r="X7" s="699"/>
      <c r="Y7" s="3698" t="s">
        <v>1680</v>
      </c>
      <c r="Z7" s="3699"/>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698" t="s">
        <v>1683</v>
      </c>
      <c r="Q8" s="3699"/>
      <c r="R8" s="697" t="s">
        <v>14</v>
      </c>
      <c r="S8" s="698">
        <f t="shared" si="0"/>
        <v>100</v>
      </c>
      <c r="T8" s="697" t="s">
        <v>14</v>
      </c>
      <c r="U8" s="698">
        <f t="shared" si="1"/>
        <v>100</v>
      </c>
      <c r="V8" s="697" t="s">
        <v>14</v>
      </c>
      <c r="W8" s="698">
        <f t="shared" si="2"/>
        <v>100</v>
      </c>
      <c r="X8" s="699"/>
      <c r="Y8" s="3698" t="s">
        <v>1683</v>
      </c>
      <c r="Z8" s="3699"/>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12" t="s">
        <v>1686</v>
      </c>
      <c r="Q9" s="1339" t="str">
        <f t="shared" ref="Q9:Q14" si="6">B9</f>
        <v>用途</v>
      </c>
      <c r="R9" s="697" t="s">
        <v>14</v>
      </c>
      <c r="S9" s="698">
        <f t="shared" si="0"/>
        <v>100</v>
      </c>
      <c r="T9" s="697" t="s">
        <v>14</v>
      </c>
      <c r="U9" s="698">
        <f t="shared" si="1"/>
        <v>100</v>
      </c>
      <c r="V9" s="697" t="s">
        <v>14</v>
      </c>
      <c r="W9" s="698">
        <f t="shared" si="2"/>
        <v>100</v>
      </c>
      <c r="X9" s="699"/>
      <c r="Y9" s="3663"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12"/>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12"/>
      <c r="Q11" s="1339">
        <f t="shared" si="6"/>
        <v>111</v>
      </c>
      <c r="R11" s="697" t="s">
        <v>14</v>
      </c>
      <c r="S11" s="698">
        <f t="shared" si="0"/>
        <v>100</v>
      </c>
      <c r="T11" s="697" t="s">
        <v>14</v>
      </c>
      <c r="U11" s="698">
        <f t="shared" si="1"/>
        <v>100</v>
      </c>
      <c r="V11" s="697" t="s">
        <v>14</v>
      </c>
      <c r="W11" s="698">
        <f t="shared" si="2"/>
        <v>100</v>
      </c>
      <c r="X11" s="699"/>
      <c r="Y11" s="3663"/>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12"/>
      <c r="Q12" s="1339">
        <f t="shared" si="6"/>
        <v>111</v>
      </c>
      <c r="R12" s="697" t="s">
        <v>14</v>
      </c>
      <c r="S12" s="698">
        <f t="shared" si="0"/>
        <v>100</v>
      </c>
      <c r="T12" s="697" t="s">
        <v>14</v>
      </c>
      <c r="U12" s="698">
        <f t="shared" si="1"/>
        <v>100</v>
      </c>
      <c r="V12" s="697" t="s">
        <v>14</v>
      </c>
      <c r="W12" s="698">
        <f t="shared" si="2"/>
        <v>100</v>
      </c>
      <c r="X12" s="699"/>
      <c r="Y12" s="3663"/>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12"/>
      <c r="Q13" s="1339">
        <f t="shared" si="6"/>
        <v>111</v>
      </c>
      <c r="R13" s="697" t="s">
        <v>14</v>
      </c>
      <c r="S13" s="698">
        <f t="shared" si="0"/>
        <v>100</v>
      </c>
      <c r="T13" s="697" t="s">
        <v>14</v>
      </c>
      <c r="U13" s="698">
        <f t="shared" si="1"/>
        <v>100</v>
      </c>
      <c r="V13" s="697" t="s">
        <v>14</v>
      </c>
      <c r="W13" s="698">
        <f t="shared" si="2"/>
        <v>100</v>
      </c>
      <c r="X13" s="699"/>
      <c r="Y13" s="3663"/>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9" t="s">
        <v>1691</v>
      </c>
      <c r="Q14" s="1348" t="str">
        <f t="shared" si="6"/>
        <v>交通便捷度</v>
      </c>
      <c r="R14" s="701" t="s">
        <v>14</v>
      </c>
      <c r="S14" s="702">
        <f t="shared" si="0"/>
        <v>100</v>
      </c>
      <c r="T14" s="701" t="s">
        <v>14</v>
      </c>
      <c r="U14" s="702">
        <f t="shared" si="1"/>
        <v>100</v>
      </c>
      <c r="V14" s="701" t="s">
        <v>14</v>
      </c>
      <c r="W14" s="702">
        <f t="shared" si="2"/>
        <v>100</v>
      </c>
      <c r="X14" s="1351"/>
      <c r="Y14" s="3729"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30"/>
      <c r="Q15" s="1348"/>
      <c r="R15" s="701"/>
      <c r="S15" s="702"/>
      <c r="T15" s="701"/>
      <c r="U15" s="702"/>
      <c r="V15" s="701"/>
      <c r="W15" s="702"/>
      <c r="X15" s="1351"/>
      <c r="Y15" s="3730"/>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30"/>
      <c r="Q16" s="1348" t="str">
        <f>B16</f>
        <v>公共配套设施</v>
      </c>
      <c r="R16" s="701" t="s">
        <v>14</v>
      </c>
      <c r="S16" s="702">
        <f>F16</f>
        <v>100</v>
      </c>
      <c r="T16" s="701" t="s">
        <v>14</v>
      </c>
      <c r="U16" s="702">
        <f>H16</f>
        <v>100</v>
      </c>
      <c r="V16" s="701" t="s">
        <v>14</v>
      </c>
      <c r="W16" s="702">
        <f>J16</f>
        <v>100</v>
      </c>
      <c r="X16" s="1351"/>
      <c r="Y16" s="3730"/>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30"/>
      <c r="Q17" s="1348"/>
      <c r="R17" s="701"/>
      <c r="S17" s="702"/>
      <c r="T17" s="701"/>
      <c r="U17" s="702"/>
      <c r="V17" s="701"/>
      <c r="W17" s="702"/>
      <c r="X17" s="1351"/>
      <c r="Y17" s="3730"/>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30"/>
      <c r="Q18" s="1348" t="str">
        <f>B18</f>
        <v>基础设施水平</v>
      </c>
      <c r="R18" s="701" t="s">
        <v>14</v>
      </c>
      <c r="S18" s="702">
        <f>F18</f>
        <v>100</v>
      </c>
      <c r="T18" s="701" t="s">
        <v>14</v>
      </c>
      <c r="U18" s="702">
        <f>H18</f>
        <v>100</v>
      </c>
      <c r="V18" s="701" t="s">
        <v>14</v>
      </c>
      <c r="W18" s="702">
        <f>J18</f>
        <v>100</v>
      </c>
      <c r="X18" s="1351"/>
      <c r="Y18" s="3730"/>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30"/>
      <c r="Q19" s="1348"/>
      <c r="R19" s="701"/>
      <c r="S19" s="702"/>
      <c r="T19" s="701"/>
      <c r="U19" s="702"/>
      <c r="V19" s="701"/>
      <c r="W19" s="702"/>
      <c r="X19" s="1351"/>
      <c r="Y19" s="3730"/>
      <c r="Z19" s="1352"/>
      <c r="AA19" s="1349">
        <v>1</v>
      </c>
      <c r="AB19" s="1349">
        <v>1</v>
      </c>
      <c r="AC19" s="1349">
        <v>1</v>
      </c>
    </row>
    <row r="20" spans="1:29" ht="99.75">
      <c r="A20" s="376"/>
      <c r="B20" s="399" t="s">
        <v>1834</v>
      </c>
      <c r="C20" s="1895"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30"/>
      <c r="Q20" s="1348" t="str">
        <f>B20</f>
        <v>自然及人文环境</v>
      </c>
      <c r="R20" s="701" t="s">
        <v>14</v>
      </c>
      <c r="S20" s="702">
        <f>F20</f>
        <v>100</v>
      </c>
      <c r="T20" s="701" t="s">
        <v>14</v>
      </c>
      <c r="U20" s="702">
        <f>H20</f>
        <v>100</v>
      </c>
      <c r="V20" s="701" t="s">
        <v>14</v>
      </c>
      <c r="W20" s="702">
        <f>J20</f>
        <v>100</v>
      </c>
      <c r="X20" s="1351"/>
      <c r="Y20" s="3730"/>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30"/>
      <c r="Q21" s="1348"/>
      <c r="R21" s="701"/>
      <c r="S21" s="702"/>
      <c r="T21" s="701"/>
      <c r="U21" s="702"/>
      <c r="V21" s="701"/>
      <c r="W21" s="702"/>
      <c r="X21" s="1351"/>
      <c r="Y21" s="3730"/>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30"/>
      <c r="Q22" s="1348" t="str">
        <f>B22</f>
        <v>楼层</v>
      </c>
      <c r="R22" s="701" t="s">
        <v>14</v>
      </c>
      <c r="S22" s="702">
        <f>F22</f>
        <v>100</v>
      </c>
      <c r="T22" s="701" t="s">
        <v>14</v>
      </c>
      <c r="U22" s="702">
        <f>H22</f>
        <v>100</v>
      </c>
      <c r="V22" s="701" t="s">
        <v>14</v>
      </c>
      <c r="W22" s="702">
        <f>J22</f>
        <v>100</v>
      </c>
      <c r="X22" s="1351"/>
      <c r="Y22" s="3730"/>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30"/>
      <c r="Q23" s="1348">
        <f>B23</f>
        <v>111</v>
      </c>
      <c r="R23" s="701" t="s">
        <v>14</v>
      </c>
      <c r="S23" s="702">
        <f>F23</f>
        <v>100</v>
      </c>
      <c r="T23" s="701" t="s">
        <v>14</v>
      </c>
      <c r="U23" s="702">
        <f>H23</f>
        <v>100</v>
      </c>
      <c r="V23" s="701" t="s">
        <v>14</v>
      </c>
      <c r="W23" s="702">
        <f>J23</f>
        <v>100</v>
      </c>
      <c r="X23" s="1351"/>
      <c r="Y23" s="3730"/>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30"/>
      <c r="Q24" s="1348">
        <f t="shared" ref="Q24:Q34" si="11">B24</f>
        <v>111</v>
      </c>
      <c r="R24" s="701" t="s">
        <v>14</v>
      </c>
      <c r="S24" s="702">
        <f>F24</f>
        <v>100</v>
      </c>
      <c r="T24" s="701" t="s">
        <v>14</v>
      </c>
      <c r="U24" s="702">
        <f>H24</f>
        <v>100</v>
      </c>
      <c r="V24" s="701" t="s">
        <v>14</v>
      </c>
      <c r="W24" s="702">
        <f>J24</f>
        <v>100</v>
      </c>
      <c r="X24" s="1351"/>
      <c r="Y24" s="3730"/>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30"/>
      <c r="Q25" s="1339">
        <f t="shared" si="11"/>
        <v>111</v>
      </c>
      <c r="R25" s="697" t="s">
        <v>14</v>
      </c>
      <c r="S25" s="698">
        <f>F25</f>
        <v>100</v>
      </c>
      <c r="T25" s="697" t="s">
        <v>14</v>
      </c>
      <c r="U25" s="698">
        <f>H25</f>
        <v>100</v>
      </c>
      <c r="V25" s="697" t="s">
        <v>14</v>
      </c>
      <c r="W25" s="698">
        <f>J25</f>
        <v>100</v>
      </c>
      <c r="X25" s="699"/>
      <c r="Y25" s="3730"/>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31"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32"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32"/>
      <c r="Q27" s="703" t="str">
        <f t="shared" si="11"/>
        <v>成新率</v>
      </c>
      <c r="R27" s="704" t="s">
        <v>14</v>
      </c>
      <c r="S27" s="705" t="e">
        <f t="shared" si="12"/>
        <v>#N/A</v>
      </c>
      <c r="T27" s="704" t="s">
        <v>14</v>
      </c>
      <c r="U27" s="705" t="e">
        <f t="shared" si="13"/>
        <v>#N/A</v>
      </c>
      <c r="V27" s="704" t="s">
        <v>14</v>
      </c>
      <c r="W27" s="705" t="e">
        <f t="shared" si="14"/>
        <v>#N/A</v>
      </c>
      <c r="X27" s="706"/>
      <c r="Y27" s="3732"/>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32"/>
      <c r="Q28" s="1348" t="str">
        <f t="shared" si="11"/>
        <v>物业等级</v>
      </c>
      <c r="R28" s="701" t="s">
        <v>14</v>
      </c>
      <c r="S28" s="702">
        <f t="shared" si="12"/>
        <v>100</v>
      </c>
      <c r="T28" s="701" t="s">
        <v>14</v>
      </c>
      <c r="U28" s="702">
        <f t="shared" si="13"/>
        <v>100</v>
      </c>
      <c r="V28" s="701" t="s">
        <v>14</v>
      </c>
      <c r="W28" s="702">
        <f t="shared" si="14"/>
        <v>100</v>
      </c>
      <c r="X28" s="1351"/>
      <c r="Y28" s="3732"/>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32"/>
      <c r="Q29" s="1348" t="str">
        <f t="shared" si="11"/>
        <v>有无电梯</v>
      </c>
      <c r="R29" s="701" t="s">
        <v>14</v>
      </c>
      <c r="S29" s="702">
        <f t="shared" si="12"/>
        <v>100</v>
      </c>
      <c r="T29" s="701" t="s">
        <v>14</v>
      </c>
      <c r="U29" s="702">
        <f t="shared" si="13"/>
        <v>100</v>
      </c>
      <c r="V29" s="701" t="s">
        <v>14</v>
      </c>
      <c r="W29" s="702">
        <f t="shared" si="14"/>
        <v>100</v>
      </c>
      <c r="X29" s="1351"/>
      <c r="Y29" s="3732"/>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32"/>
      <c r="Q30" s="1348" t="str">
        <f t="shared" si="11"/>
        <v>建筑面积</v>
      </c>
      <c r="R30" s="701" t="s">
        <v>14</v>
      </c>
      <c r="S30" s="702" t="e">
        <f t="shared" si="12"/>
        <v>#N/A</v>
      </c>
      <c r="T30" s="701" t="s">
        <v>14</v>
      </c>
      <c r="U30" s="702" t="e">
        <f t="shared" si="13"/>
        <v>#N/A</v>
      </c>
      <c r="V30" s="701" t="s">
        <v>14</v>
      </c>
      <c r="W30" s="702" t="e">
        <f t="shared" si="14"/>
        <v>#N/A</v>
      </c>
      <c r="X30" s="1351"/>
      <c r="Y30" s="3732"/>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32"/>
      <c r="Q31" s="1339" t="str">
        <f t="shared" si="11"/>
        <v>是否封闭</v>
      </c>
      <c r="R31" s="697" t="s">
        <v>14</v>
      </c>
      <c r="S31" s="698">
        <f t="shared" si="12"/>
        <v>100</v>
      </c>
      <c r="T31" s="697" t="s">
        <v>14</v>
      </c>
      <c r="U31" s="698">
        <f t="shared" si="13"/>
        <v>100</v>
      </c>
      <c r="V31" s="697" t="s">
        <v>14</v>
      </c>
      <c r="W31" s="698">
        <f t="shared" si="14"/>
        <v>100</v>
      </c>
      <c r="X31" s="699"/>
      <c r="Y31" s="3732"/>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32" t="s">
        <v>1696</v>
      </c>
      <c r="Q32" s="1348">
        <f t="shared" si="11"/>
        <v>111</v>
      </c>
      <c r="R32" s="701" t="s">
        <v>14</v>
      </c>
      <c r="S32" s="702">
        <f t="shared" si="12"/>
        <v>100</v>
      </c>
      <c r="T32" s="701" t="s">
        <v>14</v>
      </c>
      <c r="U32" s="702">
        <f t="shared" si="13"/>
        <v>100</v>
      </c>
      <c r="V32" s="701" t="s">
        <v>14</v>
      </c>
      <c r="W32" s="702">
        <f t="shared" si="14"/>
        <v>100</v>
      </c>
      <c r="X32" s="1351"/>
      <c r="Y32" s="3732"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32"/>
      <c r="Q33" s="1348">
        <f t="shared" si="11"/>
        <v>111</v>
      </c>
      <c r="R33" s="701" t="s">
        <v>14</v>
      </c>
      <c r="S33" s="702">
        <f t="shared" si="12"/>
        <v>100</v>
      </c>
      <c r="T33" s="701" t="s">
        <v>14</v>
      </c>
      <c r="U33" s="702">
        <f t="shared" si="13"/>
        <v>100</v>
      </c>
      <c r="V33" s="701" t="s">
        <v>14</v>
      </c>
      <c r="W33" s="702">
        <f t="shared" si="14"/>
        <v>100</v>
      </c>
      <c r="X33" s="1351"/>
      <c r="Y33" s="3732"/>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32"/>
      <c r="Q34" s="1348">
        <f t="shared" si="11"/>
        <v>111</v>
      </c>
      <c r="R34" s="701" t="s">
        <v>14</v>
      </c>
      <c r="S34" s="702">
        <f t="shared" si="12"/>
        <v>100</v>
      </c>
      <c r="T34" s="701" t="s">
        <v>14</v>
      </c>
      <c r="U34" s="702">
        <f t="shared" si="13"/>
        <v>100</v>
      </c>
      <c r="V34" s="701" t="s">
        <v>14</v>
      </c>
      <c r="W34" s="702">
        <f t="shared" si="14"/>
        <v>100</v>
      </c>
      <c r="X34" s="1351"/>
      <c r="Y34" s="3732"/>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12" t="str">
        <f>A35</f>
        <v>成交单价（元/平方米）</v>
      </c>
      <c r="Q35" s="3712"/>
      <c r="R35" s="3780">
        <f>E35</f>
        <v>0</v>
      </c>
      <c r="S35" s="3780"/>
      <c r="T35" s="3780">
        <f>G35</f>
        <v>0</v>
      </c>
      <c r="U35" s="3780"/>
      <c r="V35" s="3780">
        <f>I35</f>
        <v>0</v>
      </c>
      <c r="W35" s="3780"/>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12" t="str">
        <f>A36</f>
        <v>比较价值（元/平方米）</v>
      </c>
      <c r="Q36" s="3712"/>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34" t="str">
        <f>A37</f>
        <v>估价对象XX用房的比较价值（楼面单价，元/平方米）</v>
      </c>
      <c r="Q37" s="3735"/>
      <c r="R37" s="3816" t="e">
        <f>IF(F1="售价",ROUND(IF(D36="简单平均",AVERAGE(R36:W36),R36*F36+T36*H36+V36*J36),0),ROUND(IF(D36="简单平均",AVERAGE(R36:V36),R36*F36+T36*H36+V36*J36),1))</f>
        <v>#DIV/0!</v>
      </c>
      <c r="S37" s="3816"/>
      <c r="T37" s="3816"/>
      <c r="U37" s="3816"/>
      <c r="V37" s="3816"/>
      <c r="W37" s="3816"/>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2023-2</v>
      </c>
      <c r="D46" s="1181">
        <f>EDATE(C46,-1)</f>
        <v>44927</v>
      </c>
      <c r="E46" s="1181">
        <f t="shared" ref="E46:O46" si="16">EDATE(D46,-1)</f>
        <v>44896</v>
      </c>
      <c r="F46" s="1181">
        <f t="shared" si="16"/>
        <v>44866</v>
      </c>
      <c r="G46" s="1181">
        <f t="shared" si="16"/>
        <v>44835</v>
      </c>
      <c r="H46" s="1181">
        <f t="shared" si="16"/>
        <v>44805</v>
      </c>
      <c r="I46" s="1181">
        <f t="shared" si="16"/>
        <v>44774</v>
      </c>
      <c r="J46" s="1181">
        <f t="shared" si="16"/>
        <v>44743</v>
      </c>
      <c r="K46" s="1181">
        <f t="shared" si="16"/>
        <v>44713</v>
      </c>
      <c r="L46" s="1181">
        <f t="shared" si="16"/>
        <v>44682</v>
      </c>
      <c r="M46" s="1181">
        <f t="shared" si="16"/>
        <v>44652</v>
      </c>
      <c r="N46" s="1181">
        <f t="shared" si="16"/>
        <v>44621</v>
      </c>
      <c r="O46" s="1181">
        <f t="shared" si="16"/>
        <v>44593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13" t="s">
        <v>1770</v>
      </c>
      <c r="D4" s="3714"/>
      <c r="E4" s="3715" t="s">
        <v>1771</v>
      </c>
      <c r="F4" s="3716"/>
      <c r="G4" s="3713" t="s">
        <v>1772</v>
      </c>
      <c r="H4" s="3714"/>
      <c r="I4" s="3713" t="s">
        <v>1773</v>
      </c>
      <c r="J4" s="3714"/>
      <c r="K4" s="556" t="s">
        <v>1774</v>
      </c>
      <c r="L4" s="2707"/>
      <c r="M4" s="2708"/>
      <c r="N4" s="2708"/>
      <c r="O4" s="2708"/>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5"/>
      <c r="B5" s="356"/>
      <c r="C5" s="3797" t="s">
        <v>1673</v>
      </c>
      <c r="D5" s="3798"/>
      <c r="E5" s="3795" t="s">
        <v>1674</v>
      </c>
      <c r="F5" s="3796"/>
      <c r="G5" s="3797" t="s">
        <v>1675</v>
      </c>
      <c r="H5" s="3798"/>
      <c r="I5" s="3797" t="s">
        <v>1676</v>
      </c>
      <c r="J5" s="3798"/>
      <c r="K5" s="556"/>
      <c r="L5" s="2707"/>
      <c r="M5" s="2708"/>
      <c r="N5" s="2708"/>
      <c r="O5" s="2708"/>
      <c r="P5" s="3719"/>
      <c r="Q5" s="3720"/>
      <c r="R5" s="3702"/>
      <c r="S5" s="3703"/>
      <c r="T5" s="3702"/>
      <c r="U5" s="3703"/>
      <c r="V5" s="3725"/>
      <c r="W5" s="3725"/>
      <c r="X5" s="1351"/>
      <c r="Y5" s="3702"/>
      <c r="Z5" s="3703"/>
      <c r="AA5" s="3696"/>
      <c r="AB5" s="3696"/>
      <c r="AC5" s="3696"/>
    </row>
    <row r="6" spans="1:29" ht="15.75" thickBot="1">
      <c r="A6" s="357"/>
      <c r="B6" s="358"/>
      <c r="C6" s="3817" t="s">
        <v>1919</v>
      </c>
      <c r="D6" s="3727"/>
      <c r="E6" s="3818" t="s">
        <v>1919</v>
      </c>
      <c r="F6" s="3711"/>
      <c r="G6" s="3817" t="s">
        <v>1919</v>
      </c>
      <c r="H6" s="3727"/>
      <c r="I6" s="3817" t="s">
        <v>1919</v>
      </c>
      <c r="J6" s="3727"/>
      <c r="K6" s="556" t="s">
        <v>1678</v>
      </c>
      <c r="L6" s="2707"/>
      <c r="M6" s="2708"/>
      <c r="N6" s="2708"/>
      <c r="O6" s="2708"/>
      <c r="P6" s="3721"/>
      <c r="Q6" s="3722"/>
      <c r="R6" s="3702"/>
      <c r="S6" s="3703"/>
      <c r="T6" s="3723"/>
      <c r="U6" s="3724"/>
      <c r="V6" s="3725"/>
      <c r="W6" s="3725"/>
      <c r="X6" s="1351"/>
      <c r="Y6" s="3723"/>
      <c r="Z6" s="3724"/>
      <c r="AA6" s="3697"/>
      <c r="AB6" s="3697"/>
      <c r="AC6" s="3697"/>
    </row>
    <row r="7" spans="1:29" s="108" customFormat="1" ht="15.75" thickBot="1">
      <c r="A7" s="359" t="s">
        <v>1679</v>
      </c>
      <c r="B7" s="360"/>
      <c r="C7" s="361">
        <f>'数据-取费表'!B2</f>
        <v>44970</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698" t="s">
        <v>1680</v>
      </c>
      <c r="Q7" s="3728"/>
      <c r="R7" s="697" t="s">
        <v>14</v>
      </c>
      <c r="S7" s="698">
        <f t="shared" ref="S7:S15" si="0">F7</f>
        <v>0</v>
      </c>
      <c r="T7" s="697" t="s">
        <v>14</v>
      </c>
      <c r="U7" s="698">
        <f t="shared" ref="U7:U15" si="1">H7</f>
        <v>0</v>
      </c>
      <c r="V7" s="697" t="s">
        <v>14</v>
      </c>
      <c r="W7" s="698">
        <f t="shared" ref="W7:W15" si="2">J7</f>
        <v>0</v>
      </c>
      <c r="X7" s="699"/>
      <c r="Y7" s="3698" t="s">
        <v>1680</v>
      </c>
      <c r="Z7" s="3699"/>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698" t="s">
        <v>1683</v>
      </c>
      <c r="Q8" s="3699"/>
      <c r="R8" s="697" t="s">
        <v>14</v>
      </c>
      <c r="S8" s="698">
        <f t="shared" si="0"/>
        <v>0</v>
      </c>
      <c r="T8" s="697" t="s">
        <v>14</v>
      </c>
      <c r="U8" s="698">
        <f t="shared" si="1"/>
        <v>0</v>
      </c>
      <c r="V8" s="697" t="s">
        <v>14</v>
      </c>
      <c r="W8" s="698">
        <f t="shared" si="2"/>
        <v>0</v>
      </c>
      <c r="X8" s="699"/>
      <c r="Y8" s="3698" t="s">
        <v>1683</v>
      </c>
      <c r="Z8" s="3699"/>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12" t="s">
        <v>1686</v>
      </c>
      <c r="Q9" s="1339" t="str">
        <f t="shared" ref="Q9:Q15" si="6">B9</f>
        <v>用途</v>
      </c>
      <c r="R9" s="697" t="s">
        <v>14</v>
      </c>
      <c r="S9" s="698">
        <f t="shared" si="0"/>
        <v>100</v>
      </c>
      <c r="T9" s="697" t="s">
        <v>14</v>
      </c>
      <c r="U9" s="698">
        <f t="shared" si="1"/>
        <v>100</v>
      </c>
      <c r="V9" s="697" t="s">
        <v>14</v>
      </c>
      <c r="W9" s="698">
        <f t="shared" si="2"/>
        <v>100</v>
      </c>
      <c r="X9" s="699"/>
      <c r="Y9" s="3663"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12"/>
      <c r="Q10" s="1339" t="str">
        <f t="shared" si="6"/>
        <v>土地使用年限（年）</v>
      </c>
      <c r="R10" s="697" t="s">
        <v>14</v>
      </c>
      <c r="S10" s="698">
        <f t="shared" si="0"/>
        <v>100</v>
      </c>
      <c r="T10" s="697" t="s">
        <v>14</v>
      </c>
      <c r="U10" s="698">
        <f t="shared" si="1"/>
        <v>100</v>
      </c>
      <c r="V10" s="697" t="s">
        <v>14</v>
      </c>
      <c r="W10" s="698">
        <f t="shared" si="2"/>
        <v>100</v>
      </c>
      <c r="X10" s="699"/>
      <c r="Y10" s="3663"/>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12"/>
      <c r="Q11" s="1339" t="str">
        <f t="shared" si="6"/>
        <v>容积率</v>
      </c>
      <c r="R11" s="697" t="s">
        <v>14</v>
      </c>
      <c r="S11" s="698" t="e">
        <f t="shared" si="0"/>
        <v>#N/A</v>
      </c>
      <c r="T11" s="697" t="s">
        <v>14</v>
      </c>
      <c r="U11" s="698" t="e">
        <f t="shared" si="1"/>
        <v>#N/A</v>
      </c>
      <c r="V11" s="697" t="s">
        <v>14</v>
      </c>
      <c r="W11" s="698" t="e">
        <f t="shared" si="2"/>
        <v>#N/A</v>
      </c>
      <c r="X11" s="699"/>
      <c r="Y11" s="3663"/>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12"/>
      <c r="Q12" s="1339">
        <f t="shared" si="6"/>
        <v>111</v>
      </c>
      <c r="R12" s="697" t="s">
        <v>14</v>
      </c>
      <c r="S12" s="698">
        <f t="shared" si="0"/>
        <v>100</v>
      </c>
      <c r="T12" s="697" t="s">
        <v>14</v>
      </c>
      <c r="U12" s="698">
        <f t="shared" si="1"/>
        <v>100</v>
      </c>
      <c r="V12" s="697" t="s">
        <v>14</v>
      </c>
      <c r="W12" s="698">
        <f t="shared" si="2"/>
        <v>100</v>
      </c>
      <c r="X12" s="699"/>
      <c r="Y12" s="3663"/>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12"/>
      <c r="Q13" s="1339">
        <f t="shared" si="6"/>
        <v>111</v>
      </c>
      <c r="R13" s="697" t="s">
        <v>14</v>
      </c>
      <c r="S13" s="698">
        <f t="shared" si="0"/>
        <v>100</v>
      </c>
      <c r="T13" s="697" t="s">
        <v>14</v>
      </c>
      <c r="U13" s="698">
        <f t="shared" si="1"/>
        <v>100</v>
      </c>
      <c r="V13" s="697" t="s">
        <v>14</v>
      </c>
      <c r="W13" s="698">
        <f t="shared" si="2"/>
        <v>100</v>
      </c>
      <c r="X13" s="699"/>
      <c r="Y13" s="3663"/>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12"/>
      <c r="Q14" s="1339">
        <f t="shared" si="6"/>
        <v>111</v>
      </c>
      <c r="R14" s="697" t="s">
        <v>14</v>
      </c>
      <c r="S14" s="698">
        <f t="shared" si="0"/>
        <v>100</v>
      </c>
      <c r="T14" s="697" t="s">
        <v>14</v>
      </c>
      <c r="U14" s="698">
        <f t="shared" si="1"/>
        <v>100</v>
      </c>
      <c r="V14" s="697" t="s">
        <v>14</v>
      </c>
      <c r="W14" s="698">
        <f t="shared" si="2"/>
        <v>100</v>
      </c>
      <c r="X14" s="699"/>
      <c r="Y14" s="3663"/>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9" t="s">
        <v>1691</v>
      </c>
      <c r="Q15" s="1348" t="str">
        <f t="shared" si="6"/>
        <v>产业集聚程度</v>
      </c>
      <c r="R15" s="701" t="s">
        <v>14</v>
      </c>
      <c r="S15" s="702">
        <f t="shared" si="0"/>
        <v>100</v>
      </c>
      <c r="T15" s="701" t="s">
        <v>14</v>
      </c>
      <c r="U15" s="702">
        <f t="shared" si="1"/>
        <v>100</v>
      </c>
      <c r="V15" s="701" t="s">
        <v>14</v>
      </c>
      <c r="W15" s="702">
        <f t="shared" si="2"/>
        <v>100</v>
      </c>
      <c r="X15" s="1351"/>
      <c r="Y15" s="3729"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30"/>
      <c r="Q16" s="1348"/>
      <c r="R16" s="701"/>
      <c r="S16" s="702"/>
      <c r="T16" s="701"/>
      <c r="U16" s="702"/>
      <c r="V16" s="701"/>
      <c r="W16" s="702"/>
      <c r="X16" s="1351"/>
      <c r="Y16" s="3730"/>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30"/>
      <c r="Q17" s="1348" t="str">
        <f>B17</f>
        <v>交通便捷度</v>
      </c>
      <c r="R17" s="701" t="s">
        <v>14</v>
      </c>
      <c r="S17" s="702">
        <f>F17</f>
        <v>100</v>
      </c>
      <c r="T17" s="701" t="s">
        <v>14</v>
      </c>
      <c r="U17" s="702">
        <f>H17</f>
        <v>100</v>
      </c>
      <c r="V17" s="701" t="s">
        <v>14</v>
      </c>
      <c r="W17" s="702">
        <f>J17</f>
        <v>100</v>
      </c>
      <c r="X17" s="1351"/>
      <c r="Y17" s="3730"/>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30"/>
      <c r="Q18" s="1348"/>
      <c r="R18" s="701"/>
      <c r="S18" s="702"/>
      <c r="T18" s="701"/>
      <c r="U18" s="702"/>
      <c r="V18" s="701"/>
      <c r="W18" s="702"/>
      <c r="X18" s="1351"/>
      <c r="Y18" s="3730"/>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30"/>
      <c r="Q19" s="1348" t="str">
        <f t="shared" ref="Q19:Q33" si="8">B19</f>
        <v>区域土地利用方向</v>
      </c>
      <c r="R19" s="701" t="s">
        <v>14</v>
      </c>
      <c r="S19" s="702">
        <f>F19</f>
        <v>100</v>
      </c>
      <c r="T19" s="701" t="s">
        <v>14</v>
      </c>
      <c r="U19" s="702">
        <f>H19</f>
        <v>100</v>
      </c>
      <c r="V19" s="701" t="s">
        <v>14</v>
      </c>
      <c r="W19" s="702">
        <f>J19</f>
        <v>100</v>
      </c>
      <c r="X19" s="1351"/>
      <c r="Y19" s="3730"/>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30"/>
      <c r="Q20" s="1348"/>
      <c r="R20" s="701"/>
      <c r="S20" s="702"/>
      <c r="T20" s="701"/>
      <c r="U20" s="702"/>
      <c r="V20" s="701"/>
      <c r="W20" s="702"/>
      <c r="X20" s="1351"/>
      <c r="Y20" s="3730"/>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30"/>
      <c r="Q21" s="1348" t="str">
        <f t="shared" si="8"/>
        <v>环境状况</v>
      </c>
      <c r="R21" s="701" t="s">
        <v>14</v>
      </c>
      <c r="S21" s="702">
        <f>F21</f>
        <v>100</v>
      </c>
      <c r="T21" s="701" t="s">
        <v>14</v>
      </c>
      <c r="U21" s="702">
        <f>H21</f>
        <v>100</v>
      </c>
      <c r="V21" s="701" t="s">
        <v>14</v>
      </c>
      <c r="W21" s="702">
        <f>J21</f>
        <v>100</v>
      </c>
      <c r="X21" s="1351"/>
      <c r="Y21" s="3730"/>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30"/>
      <c r="Q22" s="1348"/>
      <c r="R22" s="701"/>
      <c r="S22" s="702"/>
      <c r="T22" s="701"/>
      <c r="U22" s="702"/>
      <c r="V22" s="701"/>
      <c r="W22" s="702"/>
      <c r="X22" s="1351"/>
      <c r="Y22" s="3730"/>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30"/>
      <c r="Q23" s="1339" t="str">
        <f t="shared" si="8"/>
        <v>公共配套设施</v>
      </c>
      <c r="R23" s="697" t="s">
        <v>14</v>
      </c>
      <c r="S23" s="698">
        <f>F23</f>
        <v>100</v>
      </c>
      <c r="T23" s="697" t="s">
        <v>14</v>
      </c>
      <c r="U23" s="698">
        <f>H23</f>
        <v>100</v>
      </c>
      <c r="V23" s="697" t="s">
        <v>14</v>
      </c>
      <c r="W23" s="698">
        <f>J23</f>
        <v>100</v>
      </c>
      <c r="X23" s="699"/>
      <c r="Y23" s="3730"/>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30"/>
      <c r="Q24" s="1339"/>
      <c r="R24" s="697"/>
      <c r="S24" s="698"/>
      <c r="T24" s="697"/>
      <c r="U24" s="698"/>
      <c r="V24" s="697"/>
      <c r="W24" s="698"/>
      <c r="X24" s="699"/>
      <c r="Y24" s="3730"/>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30"/>
      <c r="Q25" s="1339" t="str">
        <f t="shared" ref="Q25" si="9">B25</f>
        <v>基础设施水平</v>
      </c>
      <c r="R25" s="697" t="s">
        <v>14</v>
      </c>
      <c r="S25" s="698">
        <f>F25</f>
        <v>100</v>
      </c>
      <c r="T25" s="697" t="s">
        <v>14</v>
      </c>
      <c r="U25" s="698">
        <f>H25</f>
        <v>100</v>
      </c>
      <c r="V25" s="697" t="s">
        <v>14</v>
      </c>
      <c r="W25" s="698">
        <f>J25</f>
        <v>100</v>
      </c>
      <c r="X25" s="699"/>
      <c r="Y25" s="3730"/>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30"/>
      <c r="Q26" s="1339"/>
      <c r="R26" s="697"/>
      <c r="S26" s="698"/>
      <c r="T26" s="697"/>
      <c r="U26" s="698"/>
      <c r="V26" s="697"/>
      <c r="W26" s="698"/>
      <c r="X26" s="699"/>
      <c r="Y26" s="3730"/>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30"/>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30"/>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30"/>
      <c r="Q28" s="1348" t="str">
        <f t="shared" si="8"/>
        <v>毗邻道路的类型与等级</v>
      </c>
      <c r="R28" s="701" t="s">
        <v>14</v>
      </c>
      <c r="S28" s="702">
        <f t="shared" si="10"/>
        <v>100</v>
      </c>
      <c r="T28" s="701" t="s">
        <v>14</v>
      </c>
      <c r="U28" s="702">
        <f t="shared" si="11"/>
        <v>100</v>
      </c>
      <c r="V28" s="701" t="s">
        <v>14</v>
      </c>
      <c r="W28" s="702">
        <f t="shared" si="12"/>
        <v>100</v>
      </c>
      <c r="X28" s="1351"/>
      <c r="Y28" s="3730"/>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30"/>
      <c r="Q29" s="1348"/>
      <c r="R29" s="701"/>
      <c r="S29" s="702"/>
      <c r="T29" s="701"/>
      <c r="U29" s="702"/>
      <c r="V29" s="701"/>
      <c r="W29" s="702"/>
      <c r="X29" s="1351"/>
      <c r="Y29" s="3730"/>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30"/>
      <c r="Q30" s="1348" t="str">
        <f t="shared" si="8"/>
        <v>土地级别</v>
      </c>
      <c r="R30" s="701" t="s">
        <v>14</v>
      </c>
      <c r="S30" s="702">
        <f t="shared" si="10"/>
        <v>100</v>
      </c>
      <c r="T30" s="701" t="s">
        <v>14</v>
      </c>
      <c r="U30" s="702">
        <f t="shared" si="11"/>
        <v>100</v>
      </c>
      <c r="V30" s="701" t="s">
        <v>14</v>
      </c>
      <c r="W30" s="702">
        <f t="shared" si="12"/>
        <v>100</v>
      </c>
      <c r="X30" s="1351"/>
      <c r="Y30" s="3730"/>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30"/>
      <c r="Q31" s="1348">
        <f t="shared" si="8"/>
        <v>111</v>
      </c>
      <c r="R31" s="701" t="s">
        <v>14</v>
      </c>
      <c r="S31" s="702">
        <f t="shared" si="10"/>
        <v>100</v>
      </c>
      <c r="T31" s="701" t="s">
        <v>14</v>
      </c>
      <c r="U31" s="702">
        <f t="shared" si="11"/>
        <v>100</v>
      </c>
      <c r="V31" s="701" t="s">
        <v>14</v>
      </c>
      <c r="W31" s="702">
        <f t="shared" si="12"/>
        <v>100</v>
      </c>
      <c r="X31" s="1351"/>
      <c r="Y31" s="3730"/>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31" t="s">
        <v>1696</v>
      </c>
      <c r="Q32" s="1348">
        <f t="shared" si="8"/>
        <v>111</v>
      </c>
      <c r="R32" s="701" t="s">
        <v>14</v>
      </c>
      <c r="S32" s="702">
        <f t="shared" si="10"/>
        <v>100</v>
      </c>
      <c r="T32" s="701" t="s">
        <v>14</v>
      </c>
      <c r="U32" s="702">
        <f t="shared" si="11"/>
        <v>100</v>
      </c>
      <c r="V32" s="701" t="s">
        <v>14</v>
      </c>
      <c r="W32" s="702">
        <f t="shared" si="12"/>
        <v>100</v>
      </c>
      <c r="X32" s="1351"/>
      <c r="Y32" s="3732"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32"/>
      <c r="Q33" s="1348">
        <f t="shared" si="8"/>
        <v>111</v>
      </c>
      <c r="R33" s="704" t="s">
        <v>14</v>
      </c>
      <c r="S33" s="705">
        <f t="shared" si="10"/>
        <v>100</v>
      </c>
      <c r="T33" s="704" t="s">
        <v>14</v>
      </c>
      <c r="U33" s="705">
        <f t="shared" si="11"/>
        <v>100</v>
      </c>
      <c r="V33" s="704" t="s">
        <v>14</v>
      </c>
      <c r="W33" s="705">
        <f t="shared" si="12"/>
        <v>100</v>
      </c>
      <c r="X33" s="706"/>
      <c r="Y33" s="3732"/>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32"/>
      <c r="Q34" s="1348" t="str">
        <f>B34</f>
        <v>宗地面积</v>
      </c>
      <c r="R34" s="701" t="s">
        <v>14</v>
      </c>
      <c r="S34" s="702" t="e">
        <f t="shared" si="10"/>
        <v>#N/A</v>
      </c>
      <c r="T34" s="701" t="s">
        <v>14</v>
      </c>
      <c r="U34" s="702" t="e">
        <f t="shared" si="11"/>
        <v>#N/A</v>
      </c>
      <c r="V34" s="701" t="s">
        <v>14</v>
      </c>
      <c r="W34" s="702" t="e">
        <f t="shared" si="12"/>
        <v>#N/A</v>
      </c>
      <c r="X34" s="1351"/>
      <c r="Y34" s="3732"/>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32"/>
      <c r="Q35" s="1348" t="str">
        <f t="shared" ref="Q35:Q40" si="14">B35</f>
        <v>宗地形状</v>
      </c>
      <c r="R35" s="701" t="s">
        <v>14</v>
      </c>
      <c r="S35" s="702">
        <f t="shared" si="10"/>
        <v>100</v>
      </c>
      <c r="T35" s="701" t="s">
        <v>14</v>
      </c>
      <c r="U35" s="702">
        <f t="shared" si="11"/>
        <v>100</v>
      </c>
      <c r="V35" s="701" t="s">
        <v>14</v>
      </c>
      <c r="W35" s="702">
        <f t="shared" si="12"/>
        <v>100</v>
      </c>
      <c r="X35" s="1351"/>
      <c r="Y35" s="3732"/>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32"/>
      <c r="Q36" s="1348" t="str">
        <f t="shared" si="14"/>
        <v>宗地开发程度</v>
      </c>
      <c r="R36" s="697" t="s">
        <v>14</v>
      </c>
      <c r="S36" s="698">
        <f t="shared" si="10"/>
        <v>100</v>
      </c>
      <c r="T36" s="697" t="s">
        <v>14</v>
      </c>
      <c r="U36" s="698">
        <f t="shared" si="11"/>
        <v>100</v>
      </c>
      <c r="V36" s="697" t="s">
        <v>14</v>
      </c>
      <c r="W36" s="698">
        <f t="shared" si="12"/>
        <v>100</v>
      </c>
      <c r="X36" s="699"/>
      <c r="Y36" s="3732"/>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32" t="s">
        <v>1696</v>
      </c>
      <c r="Q37" s="1348" t="str">
        <f t="shared" si="14"/>
        <v>工程地质条件</v>
      </c>
      <c r="R37" s="701" t="s">
        <v>14</v>
      </c>
      <c r="S37" s="702">
        <f t="shared" si="10"/>
        <v>100</v>
      </c>
      <c r="T37" s="701" t="s">
        <v>14</v>
      </c>
      <c r="U37" s="702">
        <f t="shared" si="11"/>
        <v>100</v>
      </c>
      <c r="V37" s="701" t="s">
        <v>14</v>
      </c>
      <c r="W37" s="702">
        <f t="shared" si="12"/>
        <v>100</v>
      </c>
      <c r="X37" s="1351"/>
      <c r="Y37" s="3732"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32"/>
      <c r="Q38" s="1348">
        <f t="shared" si="14"/>
        <v>111</v>
      </c>
      <c r="R38" s="701" t="s">
        <v>14</v>
      </c>
      <c r="S38" s="702">
        <f t="shared" si="10"/>
        <v>100</v>
      </c>
      <c r="T38" s="701" t="s">
        <v>14</v>
      </c>
      <c r="U38" s="702">
        <f t="shared" si="11"/>
        <v>100</v>
      </c>
      <c r="V38" s="701" t="s">
        <v>14</v>
      </c>
      <c r="W38" s="702">
        <f t="shared" si="12"/>
        <v>100</v>
      </c>
      <c r="X38" s="1351"/>
      <c r="Y38" s="3732"/>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32"/>
      <c r="Q39" s="1348">
        <f t="shared" si="14"/>
        <v>111</v>
      </c>
      <c r="R39" s="701" t="s">
        <v>14</v>
      </c>
      <c r="S39" s="702">
        <f t="shared" si="10"/>
        <v>100</v>
      </c>
      <c r="T39" s="701" t="s">
        <v>14</v>
      </c>
      <c r="U39" s="702">
        <f t="shared" si="11"/>
        <v>100</v>
      </c>
      <c r="V39" s="701" t="s">
        <v>14</v>
      </c>
      <c r="W39" s="702">
        <f t="shared" si="12"/>
        <v>100</v>
      </c>
      <c r="X39" s="1351"/>
      <c r="Y39" s="3732"/>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32"/>
      <c r="Q40" s="1348">
        <f t="shared" si="14"/>
        <v>111</v>
      </c>
      <c r="R40" s="704" t="s">
        <v>14</v>
      </c>
      <c r="S40" s="705">
        <f t="shared" si="10"/>
        <v>100</v>
      </c>
      <c r="T40" s="704" t="s">
        <v>14</v>
      </c>
      <c r="U40" s="705">
        <f t="shared" si="11"/>
        <v>100</v>
      </c>
      <c r="V40" s="704" t="s">
        <v>14</v>
      </c>
      <c r="W40" s="705">
        <f t="shared" si="12"/>
        <v>100</v>
      </c>
      <c r="X40" s="706"/>
      <c r="Y40" s="3732"/>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12" t="str">
        <f>A41</f>
        <v>成交单价</v>
      </c>
      <c r="Q41" s="3712"/>
      <c r="R41" s="3725">
        <f>E41</f>
        <v>0</v>
      </c>
      <c r="S41" s="3725"/>
      <c r="T41" s="3725">
        <f>G41</f>
        <v>0</v>
      </c>
      <c r="U41" s="3725"/>
      <c r="V41" s="3725">
        <f>I41</f>
        <v>0</v>
      </c>
      <c r="W41" s="3725"/>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12" t="str">
        <f>A42</f>
        <v>比较价值（元/平方米）</v>
      </c>
      <c r="Q42" s="3712"/>
      <c r="R42" s="3733" t="e">
        <f>ROUND(PRODUCT(R41,AA7:AA40),0)</f>
        <v>#DIV/0!</v>
      </c>
      <c r="S42" s="3733"/>
      <c r="T42" s="3733" t="e">
        <f>ROUND(PRODUCT(T41,AB7:AB40),0)</f>
        <v>#DIV/0!</v>
      </c>
      <c r="U42" s="3733"/>
      <c r="V42" s="3733" t="e">
        <f>ROUND(PRODUCT(V41,AC7:AC40),0)</f>
        <v>#DIV/0!</v>
      </c>
      <c r="W42" s="3733"/>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34" t="str">
        <f>A43</f>
        <v>估价对象XX用房的比较价值（楼面单价，元/平方米）</v>
      </c>
      <c r="Q43" s="3735"/>
      <c r="R43" s="3736" t="e">
        <f>ROUND(IF(D42="简单平均",AVERAGE(R42:W42),R42*F42+T42*H42+V42*J42),0)</f>
        <v>#DIV/0!</v>
      </c>
      <c r="S43" s="3736"/>
      <c r="T43" s="3736"/>
      <c r="U43" s="3736"/>
      <c r="V43" s="3736"/>
      <c r="W43" s="3736"/>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13" t="s">
        <v>1887</v>
      </c>
      <c r="H50" s="3737"/>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38"/>
      <c r="H51" s="3712"/>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2023-2-1</v>
      </c>
      <c r="D63" s="688">
        <f>EDATE(C63,-3)</f>
        <v>44866</v>
      </c>
      <c r="E63" s="688">
        <f>EDATE(D63,-3)</f>
        <v>44774</v>
      </c>
      <c r="F63" s="688">
        <f t="shared" ref="F63:O63" si="18">EDATE(E63,-3)</f>
        <v>44682</v>
      </c>
      <c r="G63" s="688">
        <f t="shared" si="18"/>
        <v>44593</v>
      </c>
      <c r="H63" s="688">
        <f t="shared" si="18"/>
        <v>44501</v>
      </c>
      <c r="I63" s="688">
        <f t="shared" si="18"/>
        <v>44409</v>
      </c>
      <c r="J63" s="688">
        <f t="shared" si="18"/>
        <v>44317</v>
      </c>
      <c r="K63" s="688">
        <f t="shared" si="18"/>
        <v>44228</v>
      </c>
      <c r="L63" s="688">
        <f t="shared" si="18"/>
        <v>44136</v>
      </c>
      <c r="M63" s="688">
        <f t="shared" si="18"/>
        <v>44044</v>
      </c>
      <c r="N63" s="688">
        <f t="shared" si="18"/>
        <v>43952</v>
      </c>
      <c r="O63" s="688">
        <f t="shared" si="18"/>
        <v>43862</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22" t="s">
        <v>2084</v>
      </c>
      <c r="D1" s="3823"/>
      <c r="E1" s="3823"/>
      <c r="F1" s="3823"/>
      <c r="G1" s="3823"/>
      <c r="H1" s="3823"/>
      <c r="I1" s="3823"/>
      <c r="J1" s="3823"/>
      <c r="K1" s="3823"/>
      <c r="L1" s="3823"/>
      <c r="M1" s="3823"/>
      <c r="N1" s="3823"/>
      <c r="O1" s="3823"/>
      <c r="P1" s="3823"/>
      <c r="Q1" s="3823"/>
      <c r="R1" s="3823"/>
      <c r="S1" s="3824"/>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19" t="s">
        <v>27</v>
      </c>
      <c r="D22" s="3820"/>
      <c r="E22" s="3820"/>
      <c r="F22" s="3820"/>
      <c r="G22" s="3820"/>
      <c r="H22" s="3820"/>
      <c r="I22" s="3820"/>
      <c r="J22" s="3820"/>
      <c r="K22" s="3820"/>
      <c r="L22" s="3820"/>
      <c r="M22" s="3820"/>
      <c r="N22" s="3820"/>
      <c r="O22" s="3820"/>
      <c r="P22" s="3820"/>
      <c r="Q22" s="3821"/>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32"/>
      <c r="B4" s="3833"/>
      <c r="C4" s="3833"/>
      <c r="D4" s="3834"/>
      <c r="E4" s="3834"/>
      <c r="F4" s="3834"/>
      <c r="G4" s="3834"/>
      <c r="H4" s="3834"/>
      <c r="I4" s="3834"/>
      <c r="J4" s="3835"/>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29" t="s">
        <v>1960</v>
      </c>
      <c r="X8" s="3830"/>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31"/>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3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36" t="s">
        <v>3258</v>
      </c>
      <c r="B20" s="164" t="s">
        <v>1994</v>
      </c>
      <c r="C20" s="3317" t="e">
        <f>ROUND(IF(F21="与级别开发程度一致",0,(G21-E21)/C21),0)</f>
        <v>#DIV/0!</v>
      </c>
      <c r="D20" s="3333" t="s">
        <v>1998</v>
      </c>
      <c r="E20" s="3334"/>
      <c r="F20" s="3842" t="s">
        <v>1995</v>
      </c>
      <c r="G20" s="3843"/>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37"/>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44970</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8</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40"/>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41"/>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41"/>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周边3公里范围内有南海子公园、志远庄公园等自然景观，人文景观较少，综合评价环境状况一般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周边3公里范围内有南海子公园、志远庄公园等自然景观，人文景观较少，综合评价环境状况一般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周边3公里范围内有南海子公园、志远庄公园等自然景观，人文景观较少，综合评价环境状况一般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周边3公里范围内有南海子公园、志远庄公园等自然景观，人文景观较少，综合评价环境状况一般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38" t="s">
        <v>3298</v>
      </c>
      <c r="B103" s="3838"/>
      <c r="C103" s="3838"/>
      <c r="D103" s="3838"/>
      <c r="E103" s="3838"/>
      <c r="F103" s="3838"/>
      <c r="G103" s="3838"/>
      <c r="H103" s="3838"/>
      <c r="I103" s="3838"/>
      <c r="J103" s="3838"/>
      <c r="K103" s="3382"/>
      <c r="L103" s="3382"/>
      <c r="M103" s="3382"/>
      <c r="N103" s="3382"/>
    </row>
    <row r="104" spans="1:14">
      <c r="A104" s="3839" t="s">
        <v>3299</v>
      </c>
      <c r="B104" s="3839" t="s">
        <v>3300</v>
      </c>
      <c r="C104" s="3383" t="s">
        <v>3301</v>
      </c>
      <c r="D104" s="3384"/>
      <c r="E104" s="3384"/>
      <c r="F104" s="3384"/>
      <c r="G104" s="3384"/>
      <c r="H104" s="3384"/>
      <c r="I104" s="3384"/>
      <c r="J104" s="3385"/>
      <c r="K104" s="3386"/>
      <c r="L104" s="3386"/>
      <c r="M104" s="3386"/>
      <c r="N104" s="3386"/>
    </row>
    <row r="105" spans="1:14">
      <c r="A105" s="3839"/>
      <c r="B105" s="3839"/>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25"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26"/>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26"/>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26"/>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26"/>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26"/>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27"/>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28" t="s">
        <v>3315</v>
      </c>
      <c r="B113" s="3828"/>
      <c r="C113" s="3828"/>
      <c r="D113" s="3828"/>
      <c r="E113" s="3828"/>
      <c r="F113" s="3828"/>
      <c r="G113" s="3828"/>
      <c r="H113" s="3828"/>
      <c r="I113" s="3828"/>
      <c r="J113" s="3828"/>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1" t="s">
        <v>2607</v>
      </c>
      <c r="B20" s="3844" t="s">
        <v>2628</v>
      </c>
      <c r="C20" s="3095" t="s">
        <v>2439</v>
      </c>
      <c r="D20" s="3096"/>
      <c r="E20" s="3097">
        <v>1</v>
      </c>
      <c r="F20" s="3098" t="s">
        <v>2440</v>
      </c>
      <c r="G20" s="3098"/>
    </row>
    <row r="21" spans="1:13" ht="19.5" customHeight="1">
      <c r="A21" s="3852"/>
      <c r="B21" s="3845"/>
      <c r="C21" s="3099" t="s">
        <v>2441</v>
      </c>
      <c r="D21" s="3100"/>
      <c r="E21" s="3101">
        <v>1</v>
      </c>
      <c r="F21" s="3098" t="s">
        <v>2442</v>
      </c>
      <c r="G21" s="3098"/>
    </row>
    <row r="22" spans="1:13" ht="19.5" customHeight="1">
      <c r="A22" s="3852"/>
      <c r="B22" s="3845"/>
      <c r="C22" s="3099" t="s">
        <v>2443</v>
      </c>
      <c r="D22" s="3100"/>
      <c r="E22" s="3101">
        <v>0.9</v>
      </c>
      <c r="F22" s="3098" t="s">
        <v>2444</v>
      </c>
      <c r="G22" s="3098"/>
    </row>
    <row r="23" spans="1:13" ht="19.5" customHeight="1">
      <c r="A23" s="3852"/>
      <c r="B23" s="3845"/>
      <c r="C23" s="3099" t="s">
        <v>2445</v>
      </c>
      <c r="D23" s="3100"/>
      <c r="E23" s="3101">
        <v>0.9</v>
      </c>
      <c r="F23" s="3098" t="s">
        <v>2446</v>
      </c>
      <c r="G23" s="3098"/>
    </row>
    <row r="24" spans="1:13" ht="19.5" customHeight="1">
      <c r="A24" s="3852"/>
      <c r="B24" s="3845"/>
      <c r="C24" s="3099" t="s">
        <v>2447</v>
      </c>
      <c r="D24" s="3100"/>
      <c r="E24" s="3101">
        <v>0.8</v>
      </c>
      <c r="F24" s="3098" t="s">
        <v>2448</v>
      </c>
      <c r="G24" s="3098"/>
    </row>
    <row r="25" spans="1:13" ht="19.5" customHeight="1" thickBot="1">
      <c r="A25" s="3853"/>
      <c r="B25" s="3846"/>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7" t="s">
        <v>2631</v>
      </c>
      <c r="B27" s="3844" t="s">
        <v>2612</v>
      </c>
      <c r="C27" s="3095" t="s">
        <v>2452</v>
      </c>
      <c r="D27" s="3096"/>
      <c r="E27" s="3097">
        <v>1</v>
      </c>
      <c r="F27" s="3098" t="s">
        <v>2453</v>
      </c>
      <c r="G27" s="3098"/>
    </row>
    <row r="28" spans="1:13" ht="19.5" customHeight="1">
      <c r="A28" s="3848"/>
      <c r="B28" s="3845"/>
      <c r="C28" s="3099" t="s">
        <v>2454</v>
      </c>
      <c r="D28" s="3100"/>
      <c r="E28" s="3101">
        <v>1</v>
      </c>
      <c r="F28" s="3098" t="s">
        <v>2455</v>
      </c>
      <c r="G28" s="3098"/>
    </row>
    <row r="29" spans="1:13" ht="19.5" customHeight="1">
      <c r="A29" s="3848"/>
      <c r="B29" s="3845"/>
      <c r="C29" s="3099" t="s">
        <v>2456</v>
      </c>
      <c r="D29" s="3100"/>
      <c r="E29" s="3101">
        <v>0.8</v>
      </c>
      <c r="F29" s="3098" t="s">
        <v>2457</v>
      </c>
      <c r="G29" s="3098"/>
    </row>
    <row r="30" spans="1:13" ht="19.5" customHeight="1">
      <c r="A30" s="3848"/>
      <c r="B30" s="3845"/>
      <c r="C30" s="3099" t="s">
        <v>2458</v>
      </c>
      <c r="D30" s="3100"/>
      <c r="E30" s="3101">
        <v>0.8</v>
      </c>
      <c r="F30" s="3098" t="s">
        <v>2459</v>
      </c>
      <c r="G30" s="3098"/>
    </row>
    <row r="31" spans="1:13" ht="19.5" customHeight="1">
      <c r="A31" s="3848"/>
      <c r="B31" s="3845"/>
      <c r="C31" s="3099" t="s">
        <v>2460</v>
      </c>
      <c r="D31" s="3100"/>
      <c r="E31" s="3101">
        <v>0.8</v>
      </c>
      <c r="F31" s="3098" t="s">
        <v>2461</v>
      </c>
      <c r="G31" s="3098"/>
    </row>
    <row r="32" spans="1:13" ht="19.5" customHeight="1">
      <c r="A32" s="3848"/>
      <c r="B32" s="3845"/>
      <c r="C32" s="3099" t="s">
        <v>2462</v>
      </c>
      <c r="D32" s="3100"/>
      <c r="E32" s="3101">
        <v>0.7</v>
      </c>
      <c r="F32" s="3098" t="s">
        <v>2463</v>
      </c>
      <c r="G32" s="3098"/>
    </row>
    <row r="33" spans="1:7" ht="19.5" customHeight="1">
      <c r="A33" s="3848"/>
      <c r="B33" s="3845"/>
      <c r="C33" s="3099" t="s">
        <v>2464</v>
      </c>
      <c r="D33" s="3100"/>
      <c r="E33" s="3101">
        <v>0.8</v>
      </c>
      <c r="F33" s="3098" t="s">
        <v>2465</v>
      </c>
      <c r="G33" s="3098"/>
    </row>
    <row r="34" spans="1:7" ht="19.5" customHeight="1">
      <c r="A34" s="3848"/>
      <c r="B34" s="3845"/>
      <c r="C34" s="3099" t="s">
        <v>2466</v>
      </c>
      <c r="D34" s="3100"/>
      <c r="E34" s="3101">
        <v>0.6</v>
      </c>
      <c r="F34" s="3098" t="s">
        <v>2467</v>
      </c>
      <c r="G34" s="3098"/>
    </row>
    <row r="35" spans="1:7" ht="19.5" customHeight="1">
      <c r="A35" s="3848"/>
      <c r="B35" s="3845"/>
      <c r="C35" s="3099" t="s">
        <v>2468</v>
      </c>
      <c r="D35" s="3100"/>
      <c r="E35" s="3101">
        <v>0.2</v>
      </c>
      <c r="F35" s="3098" t="s">
        <v>2469</v>
      </c>
      <c r="G35" s="3098"/>
    </row>
    <row r="36" spans="1:7" ht="19.5" customHeight="1">
      <c r="A36" s="3848"/>
      <c r="B36" s="3845"/>
      <c r="C36" s="3099" t="s">
        <v>2470</v>
      </c>
      <c r="D36" s="3100"/>
      <c r="E36" s="3101">
        <v>0.2</v>
      </c>
      <c r="F36" s="3098" t="s">
        <v>2471</v>
      </c>
      <c r="G36" s="3098"/>
    </row>
    <row r="37" spans="1:7" ht="19.5" customHeight="1">
      <c r="A37" s="3848"/>
      <c r="B37" s="3850" t="s">
        <v>2632</v>
      </c>
      <c r="C37" s="3099" t="s">
        <v>2472</v>
      </c>
      <c r="D37" s="3100"/>
      <c r="E37" s="3101">
        <v>0.6</v>
      </c>
      <c r="F37" s="3098" t="s">
        <v>2473</v>
      </c>
      <c r="G37" s="3098"/>
    </row>
    <row r="38" spans="1:7" ht="19.5" customHeight="1">
      <c r="A38" s="3848"/>
      <c r="B38" s="3845"/>
      <c r="C38" s="3099" t="s">
        <v>2474</v>
      </c>
      <c r="D38" s="3100"/>
      <c r="E38" s="3101">
        <v>0.6</v>
      </c>
      <c r="F38" s="3098" t="s">
        <v>2475</v>
      </c>
      <c r="G38" s="3098"/>
    </row>
    <row r="39" spans="1:7" ht="19.5" customHeight="1" thickBot="1">
      <c r="A39" s="3849"/>
      <c r="B39" s="3846"/>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1" t="s">
        <v>2610</v>
      </c>
      <c r="B41" s="3844" t="s">
        <v>2634</v>
      </c>
      <c r="C41" s="3095" t="s">
        <v>2479</v>
      </c>
      <c r="D41" s="3096"/>
      <c r="E41" s="3097">
        <v>1</v>
      </c>
      <c r="F41" s="3098" t="s">
        <v>2480</v>
      </c>
      <c r="G41" s="3098"/>
    </row>
    <row r="42" spans="1:7" ht="19.5" customHeight="1">
      <c r="A42" s="3852"/>
      <c r="B42" s="3845"/>
      <c r="C42" s="3099" t="s">
        <v>2481</v>
      </c>
      <c r="D42" s="3100"/>
      <c r="E42" s="3101">
        <v>1</v>
      </c>
      <c r="F42" s="3098" t="s">
        <v>2482</v>
      </c>
      <c r="G42" s="3098"/>
    </row>
    <row r="43" spans="1:7" ht="19.5" customHeight="1">
      <c r="A43" s="3852"/>
      <c r="B43" s="3854"/>
      <c r="C43" s="3099" t="s">
        <v>2483</v>
      </c>
      <c r="D43" s="3100"/>
      <c r="E43" s="3101">
        <v>1.5</v>
      </c>
      <c r="F43" s="3098" t="s">
        <v>2484</v>
      </c>
      <c r="G43" s="3098"/>
    </row>
    <row r="44" spans="1:7" ht="19.5" customHeight="1">
      <c r="A44" s="3852"/>
      <c r="B44" s="3110" t="s">
        <v>2635</v>
      </c>
      <c r="C44" s="3099" t="s">
        <v>2636</v>
      </c>
      <c r="D44" s="3100"/>
      <c r="E44" s="3101">
        <v>2</v>
      </c>
      <c r="F44" s="3098" t="s">
        <v>2485</v>
      </c>
      <c r="G44" s="3098"/>
    </row>
    <row r="45" spans="1:7" ht="19.5" customHeight="1">
      <c r="A45" s="3852"/>
      <c r="B45" s="3850" t="s">
        <v>2637</v>
      </c>
      <c r="C45" s="3099" t="s">
        <v>2486</v>
      </c>
      <c r="D45" s="3100"/>
      <c r="E45" s="3101">
        <v>1</v>
      </c>
      <c r="F45" s="3098" t="s">
        <v>2487</v>
      </c>
      <c r="G45" s="3098"/>
    </row>
    <row r="46" spans="1:7" ht="19.5" customHeight="1">
      <c r="A46" s="3852"/>
      <c r="B46" s="3845"/>
      <c r="C46" s="3099" t="s">
        <v>2488</v>
      </c>
      <c r="D46" s="3100"/>
      <c r="E46" s="3101">
        <v>1</v>
      </c>
      <c r="F46" s="3098" t="s">
        <v>2489</v>
      </c>
      <c r="G46" s="3098"/>
    </row>
    <row r="47" spans="1:7" ht="19.5" customHeight="1">
      <c r="A47" s="3852"/>
      <c r="B47" s="3845"/>
      <c r="C47" s="3099" t="s">
        <v>2490</v>
      </c>
      <c r="D47" s="3100"/>
      <c r="E47" s="3101">
        <v>1</v>
      </c>
      <c r="F47" s="3098" t="s">
        <v>2491</v>
      </c>
      <c r="G47" s="3098"/>
    </row>
    <row r="48" spans="1:7" ht="19.5" customHeight="1">
      <c r="A48" s="3852"/>
      <c r="B48" s="3845"/>
      <c r="C48" s="3099" t="s">
        <v>2492</v>
      </c>
      <c r="D48" s="3100"/>
      <c r="E48" s="3101">
        <v>1</v>
      </c>
      <c r="F48" s="3098" t="s">
        <v>2493</v>
      </c>
      <c r="G48" s="3098"/>
    </row>
    <row r="49" spans="1:7" ht="19.5" customHeight="1">
      <c r="A49" s="3852"/>
      <c r="B49" s="3845"/>
      <c r="C49" s="3099" t="s">
        <v>2494</v>
      </c>
      <c r="D49" s="3100"/>
      <c r="E49" s="3101">
        <v>1</v>
      </c>
      <c r="F49" s="3098" t="s">
        <v>2495</v>
      </c>
      <c r="G49" s="3098"/>
    </row>
    <row r="50" spans="1:7" ht="19.5" customHeight="1">
      <c r="A50" s="3852"/>
      <c r="B50" s="3845"/>
      <c r="C50" s="3099" t="s">
        <v>2496</v>
      </c>
      <c r="D50" s="3100"/>
      <c r="E50" s="3101">
        <v>1</v>
      </c>
      <c r="F50" s="3098" t="s">
        <v>2497</v>
      </c>
      <c r="G50" s="3098"/>
    </row>
    <row r="51" spans="1:7" ht="19.5" customHeight="1" thickBot="1">
      <c r="A51" s="3853"/>
      <c r="B51" s="3846"/>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50" t="s">
        <v>2651</v>
      </c>
      <c r="C73" s="3084" t="s">
        <v>2652</v>
      </c>
      <c r="D73" s="3084" t="s">
        <v>2653</v>
      </c>
      <c r="E73" s="3110">
        <v>0.2</v>
      </c>
      <c r="F73" s="3110">
        <v>25</v>
      </c>
    </row>
    <row r="74" spans="1:7" ht="25.5">
      <c r="A74" s="3110">
        <v>2</v>
      </c>
      <c r="B74" s="3845"/>
      <c r="C74" s="3084" t="s">
        <v>2654</v>
      </c>
      <c r="D74" s="3084" t="s">
        <v>2655</v>
      </c>
      <c r="E74" s="3110">
        <v>0.2</v>
      </c>
      <c r="F74" s="3110">
        <v>25</v>
      </c>
    </row>
    <row r="75" spans="1:7" ht="25.5">
      <c r="A75" s="3110">
        <v>3</v>
      </c>
      <c r="B75" s="3845"/>
      <c r="C75" s="3084" t="s">
        <v>2656</v>
      </c>
      <c r="D75" s="3084" t="s">
        <v>2657</v>
      </c>
      <c r="E75" s="3110">
        <v>0.2</v>
      </c>
      <c r="F75" s="3110">
        <v>25</v>
      </c>
    </row>
    <row r="76" spans="1:7" ht="14.25">
      <c r="A76" s="3110">
        <v>4</v>
      </c>
      <c r="B76" s="3845"/>
      <c r="C76" s="3084" t="s">
        <v>2658</v>
      </c>
      <c r="D76" s="3084" t="s">
        <v>2659</v>
      </c>
      <c r="E76" s="3110">
        <v>0.15</v>
      </c>
      <c r="F76" s="3110">
        <v>20</v>
      </c>
    </row>
    <row r="77" spans="1:7" ht="25.5">
      <c r="A77" s="3110">
        <v>5</v>
      </c>
      <c r="B77" s="3845"/>
      <c r="C77" s="3084" t="s">
        <v>2660</v>
      </c>
      <c r="D77" s="3084" t="s">
        <v>2661</v>
      </c>
      <c r="E77" s="3110">
        <v>0.15</v>
      </c>
      <c r="F77" s="3110">
        <v>20</v>
      </c>
    </row>
    <row r="78" spans="1:7" ht="25.5">
      <c r="A78" s="3110">
        <v>6</v>
      </c>
      <c r="B78" s="3845"/>
      <c r="C78" s="3084" t="s">
        <v>2662</v>
      </c>
      <c r="D78" s="3084" t="s">
        <v>2663</v>
      </c>
      <c r="E78" s="3110">
        <v>0.15</v>
      </c>
      <c r="F78" s="3110">
        <v>20</v>
      </c>
    </row>
    <row r="79" spans="1:7" ht="25.5">
      <c r="A79" s="3110">
        <v>7</v>
      </c>
      <c r="B79" s="3845"/>
      <c r="C79" s="3084" t="s">
        <v>2664</v>
      </c>
      <c r="D79" s="3084" t="s">
        <v>2665</v>
      </c>
      <c r="E79" s="3110">
        <v>0.15</v>
      </c>
      <c r="F79" s="3110">
        <v>20</v>
      </c>
    </row>
    <row r="80" spans="1:7" ht="25.5">
      <c r="A80" s="3110">
        <v>8</v>
      </c>
      <c r="B80" s="3845"/>
      <c r="C80" s="3084" t="s">
        <v>2666</v>
      </c>
      <c r="D80" s="3084" t="s">
        <v>2667</v>
      </c>
      <c r="E80" s="3110">
        <v>0.1</v>
      </c>
      <c r="F80" s="3110">
        <v>15</v>
      </c>
    </row>
    <row r="81" spans="1:6" ht="25.5">
      <c r="A81" s="3110">
        <v>9</v>
      </c>
      <c r="B81" s="3845"/>
      <c r="C81" s="3084" t="s">
        <v>2668</v>
      </c>
      <c r="D81" s="3084" t="s">
        <v>2669</v>
      </c>
      <c r="E81" s="3110">
        <v>0.1</v>
      </c>
      <c r="F81" s="3110">
        <v>15</v>
      </c>
    </row>
    <row r="82" spans="1:6" ht="25.5">
      <c r="A82" s="3110">
        <v>10</v>
      </c>
      <c r="B82" s="3845"/>
      <c r="C82" s="3084" t="s">
        <v>2670</v>
      </c>
      <c r="D82" s="3084" t="s">
        <v>2671</v>
      </c>
      <c r="E82" s="3110">
        <v>0.1</v>
      </c>
      <c r="F82" s="3110">
        <v>15</v>
      </c>
    </row>
    <row r="83" spans="1:6" ht="25.5">
      <c r="A83" s="3110">
        <v>11</v>
      </c>
      <c r="B83" s="3845"/>
      <c r="C83" s="3084" t="s">
        <v>2672</v>
      </c>
      <c r="D83" s="3084" t="s">
        <v>2673</v>
      </c>
      <c r="E83" s="3110">
        <v>0.1</v>
      </c>
      <c r="F83" s="3110">
        <v>15</v>
      </c>
    </row>
    <row r="84" spans="1:6" ht="25.5">
      <c r="A84" s="3110">
        <v>12</v>
      </c>
      <c r="B84" s="3845"/>
      <c r="C84" s="3084" t="s">
        <v>2674</v>
      </c>
      <c r="D84" s="3084" t="s">
        <v>2675</v>
      </c>
      <c r="E84" s="3110">
        <v>0.1</v>
      </c>
      <c r="F84" s="3110">
        <v>15</v>
      </c>
    </row>
    <row r="85" spans="1:6" ht="14.25">
      <c r="A85" s="3110">
        <v>13</v>
      </c>
      <c r="B85" s="3845"/>
      <c r="C85" s="3084" t="s">
        <v>2676</v>
      </c>
      <c r="D85" s="3084" t="s">
        <v>2677</v>
      </c>
      <c r="E85" s="3110">
        <v>0.1</v>
      </c>
      <c r="F85" s="3110">
        <v>15</v>
      </c>
    </row>
    <row r="86" spans="1:6" ht="14.25">
      <c r="A86" s="3110">
        <v>14</v>
      </c>
      <c r="B86" s="3845"/>
      <c r="C86" s="3084" t="s">
        <v>2678</v>
      </c>
      <c r="D86" s="3084" t="s">
        <v>2679</v>
      </c>
      <c r="E86" s="3110">
        <v>0.1</v>
      </c>
      <c r="F86" s="3110">
        <v>15</v>
      </c>
    </row>
    <row r="87" spans="1:6" ht="14.25">
      <c r="A87" s="3110">
        <v>15</v>
      </c>
      <c r="B87" s="3845"/>
      <c r="C87" s="3084" t="s">
        <v>2680</v>
      </c>
      <c r="D87" s="3084" t="s">
        <v>2681</v>
      </c>
      <c r="E87" s="3110">
        <v>0.1</v>
      </c>
      <c r="F87" s="3110">
        <v>15</v>
      </c>
    </row>
    <row r="88" spans="1:6" ht="25.5">
      <c r="A88" s="3110">
        <v>16</v>
      </c>
      <c r="B88" s="3845"/>
      <c r="C88" s="3084" t="s">
        <v>2682</v>
      </c>
      <c r="D88" s="3084" t="s">
        <v>2683</v>
      </c>
      <c r="E88" s="3110">
        <v>0.1</v>
      </c>
      <c r="F88" s="3110">
        <v>15</v>
      </c>
    </row>
    <row r="89" spans="1:6" ht="25.5">
      <c r="A89" s="3110">
        <v>17</v>
      </c>
      <c r="B89" s="3854"/>
      <c r="C89" s="3084" t="s">
        <v>2684</v>
      </c>
      <c r="D89" s="3084" t="s">
        <v>2685</v>
      </c>
      <c r="E89" s="3110">
        <v>0.1</v>
      </c>
      <c r="F89" s="3110">
        <v>15</v>
      </c>
    </row>
    <row r="90" spans="1:6" ht="14.25">
      <c r="A90" s="3110">
        <v>18</v>
      </c>
      <c r="B90" s="3850" t="s">
        <v>2686</v>
      </c>
      <c r="C90" s="3084" t="s">
        <v>2687</v>
      </c>
      <c r="D90" s="3084" t="s">
        <v>2688</v>
      </c>
      <c r="E90" s="3110">
        <v>0.2</v>
      </c>
      <c r="F90" s="3110">
        <v>25</v>
      </c>
    </row>
    <row r="91" spans="1:6" ht="25.5">
      <c r="A91" s="3110">
        <v>19</v>
      </c>
      <c r="B91" s="3845"/>
      <c r="C91" s="3084" t="s">
        <v>2689</v>
      </c>
      <c r="D91" s="3084" t="s">
        <v>2690</v>
      </c>
      <c r="E91" s="3110">
        <v>0.2</v>
      </c>
      <c r="F91" s="3110">
        <v>25</v>
      </c>
    </row>
    <row r="92" spans="1:6" ht="14.25">
      <c r="A92" s="3110">
        <v>20</v>
      </c>
      <c r="B92" s="3845"/>
      <c r="C92" s="3084" t="s">
        <v>2691</v>
      </c>
      <c r="D92" s="3084" t="s">
        <v>2692</v>
      </c>
      <c r="E92" s="3110">
        <v>0.15</v>
      </c>
      <c r="F92" s="3110">
        <v>20</v>
      </c>
    </row>
    <row r="93" spans="1:6" ht="25.5">
      <c r="A93" s="3110">
        <v>21</v>
      </c>
      <c r="B93" s="3845"/>
      <c r="C93" s="3084" t="s">
        <v>2693</v>
      </c>
      <c r="D93" s="3084" t="s">
        <v>2694</v>
      </c>
      <c r="E93" s="3110">
        <v>0.15</v>
      </c>
      <c r="F93" s="3110">
        <v>20</v>
      </c>
    </row>
    <row r="94" spans="1:6" ht="25.5">
      <c r="A94" s="3110">
        <v>22</v>
      </c>
      <c r="B94" s="3845"/>
      <c r="C94" s="3084" t="s">
        <v>2695</v>
      </c>
      <c r="D94" s="3084" t="s">
        <v>2696</v>
      </c>
      <c r="E94" s="3110">
        <v>0.15</v>
      </c>
      <c r="F94" s="3110">
        <v>20</v>
      </c>
    </row>
    <row r="95" spans="1:6" ht="38.25">
      <c r="A95" s="3110">
        <v>23</v>
      </c>
      <c r="B95" s="3845"/>
      <c r="C95" s="3084" t="s">
        <v>2697</v>
      </c>
      <c r="D95" s="3084" t="s">
        <v>2698</v>
      </c>
      <c r="E95" s="3110">
        <v>0.15</v>
      </c>
      <c r="F95" s="3110">
        <v>20</v>
      </c>
    </row>
    <row r="96" spans="1:6" ht="14.25">
      <c r="A96" s="3110">
        <v>24</v>
      </c>
      <c r="B96" s="3845"/>
      <c r="C96" s="3084" t="s">
        <v>2699</v>
      </c>
      <c r="D96" s="3084" t="s">
        <v>2700</v>
      </c>
      <c r="E96" s="3110">
        <v>0.1</v>
      </c>
      <c r="F96" s="3110">
        <v>15</v>
      </c>
    </row>
    <row r="97" spans="1:6" ht="25.5">
      <c r="A97" s="3110">
        <v>25</v>
      </c>
      <c r="B97" s="3845"/>
      <c r="C97" s="3084" t="s">
        <v>2701</v>
      </c>
      <c r="D97" s="3084" t="s">
        <v>2702</v>
      </c>
      <c r="E97" s="3110">
        <v>0.1</v>
      </c>
      <c r="F97" s="3110">
        <v>15</v>
      </c>
    </row>
    <row r="98" spans="1:6" ht="25.5">
      <c r="A98" s="3110">
        <v>26</v>
      </c>
      <c r="B98" s="3845"/>
      <c r="C98" s="3084" t="s">
        <v>2703</v>
      </c>
      <c r="D98" s="3084" t="s">
        <v>2704</v>
      </c>
      <c r="E98" s="3110">
        <v>0.1</v>
      </c>
      <c r="F98" s="3110">
        <v>15</v>
      </c>
    </row>
    <row r="99" spans="1:6" ht="25.5">
      <c r="A99" s="3110">
        <v>27</v>
      </c>
      <c r="B99" s="3845"/>
      <c r="C99" s="3084" t="s">
        <v>2705</v>
      </c>
      <c r="D99" s="3084" t="s">
        <v>2706</v>
      </c>
      <c r="E99" s="3110">
        <v>0.1</v>
      </c>
      <c r="F99" s="3110">
        <v>15</v>
      </c>
    </row>
    <row r="100" spans="1:6" ht="25.5">
      <c r="A100" s="3110">
        <v>28</v>
      </c>
      <c r="B100" s="3845"/>
      <c r="C100" s="3084" t="s">
        <v>2707</v>
      </c>
      <c r="D100" s="3084" t="s">
        <v>2708</v>
      </c>
      <c r="E100" s="3110">
        <v>0.1</v>
      </c>
      <c r="F100" s="3110">
        <v>15</v>
      </c>
    </row>
    <row r="101" spans="1:6" ht="25.5">
      <c r="A101" s="3110">
        <v>29</v>
      </c>
      <c r="B101" s="3845"/>
      <c r="C101" s="3084" t="s">
        <v>2709</v>
      </c>
      <c r="D101" s="3084" t="s">
        <v>2710</v>
      </c>
      <c r="E101" s="3110">
        <v>0.1</v>
      </c>
      <c r="F101" s="3110">
        <v>15</v>
      </c>
    </row>
    <row r="102" spans="1:6" ht="25.5">
      <c r="A102" s="3110">
        <v>30</v>
      </c>
      <c r="B102" s="3845"/>
      <c r="C102" s="3084" t="s">
        <v>2711</v>
      </c>
      <c r="D102" s="3084" t="s">
        <v>2712</v>
      </c>
      <c r="E102" s="3110">
        <v>0.1</v>
      </c>
      <c r="F102" s="3110">
        <v>15</v>
      </c>
    </row>
    <row r="103" spans="1:6" ht="25.5">
      <c r="A103" s="3110">
        <v>31</v>
      </c>
      <c r="B103" s="3845"/>
      <c r="C103" s="3084" t="s">
        <v>2713</v>
      </c>
      <c r="D103" s="3084" t="s">
        <v>2714</v>
      </c>
      <c r="E103" s="3110">
        <v>0.1</v>
      </c>
      <c r="F103" s="3110">
        <v>15</v>
      </c>
    </row>
    <row r="104" spans="1:6" ht="25.5">
      <c r="A104" s="3110">
        <v>32</v>
      </c>
      <c r="B104" s="3845"/>
      <c r="C104" s="3084" t="s">
        <v>2715</v>
      </c>
      <c r="D104" s="3084" t="s">
        <v>2716</v>
      </c>
      <c r="E104" s="3110">
        <v>0.1</v>
      </c>
      <c r="F104" s="3110">
        <v>15</v>
      </c>
    </row>
    <row r="105" spans="1:6" ht="25.5">
      <c r="A105" s="3110">
        <v>33</v>
      </c>
      <c r="B105" s="3845"/>
      <c r="C105" s="3084" t="s">
        <v>2717</v>
      </c>
      <c r="D105" s="3084" t="s">
        <v>2718</v>
      </c>
      <c r="E105" s="3110">
        <v>0.1</v>
      </c>
      <c r="F105" s="3110">
        <v>15</v>
      </c>
    </row>
    <row r="106" spans="1:6" ht="25.5">
      <c r="A106" s="3110">
        <v>34</v>
      </c>
      <c r="B106" s="3854"/>
      <c r="C106" s="3084" t="s">
        <v>2719</v>
      </c>
      <c r="D106" s="3084" t="s">
        <v>2720</v>
      </c>
      <c r="E106" s="3110">
        <v>0.1</v>
      </c>
      <c r="F106" s="3110">
        <v>15</v>
      </c>
    </row>
    <row r="107" spans="1:6" ht="25.5">
      <c r="A107" s="3110">
        <v>35</v>
      </c>
      <c r="B107" s="3850" t="s">
        <v>2721</v>
      </c>
      <c r="C107" s="3110" t="s">
        <v>2722</v>
      </c>
      <c r="D107" s="3084" t="s">
        <v>2723</v>
      </c>
      <c r="E107" s="3110">
        <v>0.15</v>
      </c>
      <c r="F107" s="3110">
        <v>20</v>
      </c>
    </row>
    <row r="108" spans="1:6" ht="25.5">
      <c r="A108" s="3110">
        <v>36</v>
      </c>
      <c r="B108" s="3845"/>
      <c r="C108" s="3110" t="s">
        <v>2724</v>
      </c>
      <c r="D108" s="3084" t="s">
        <v>2725</v>
      </c>
      <c r="E108" s="3110">
        <v>0.15</v>
      </c>
      <c r="F108" s="3110">
        <v>20</v>
      </c>
    </row>
    <row r="109" spans="1:6" ht="25.5">
      <c r="A109" s="3110">
        <v>37</v>
      </c>
      <c r="B109" s="3845"/>
      <c r="C109" s="3110" t="s">
        <v>2726</v>
      </c>
      <c r="D109" s="3084" t="s">
        <v>2727</v>
      </c>
      <c r="E109" s="3110">
        <v>0.15</v>
      </c>
      <c r="F109" s="3110">
        <v>20</v>
      </c>
    </row>
    <row r="110" spans="1:6" ht="14.25">
      <c r="A110" s="3110">
        <v>38</v>
      </c>
      <c r="B110" s="3845"/>
      <c r="C110" s="3110" t="s">
        <v>2728</v>
      </c>
      <c r="D110" s="3084" t="s">
        <v>2729</v>
      </c>
      <c r="E110" s="3110">
        <v>0.1</v>
      </c>
      <c r="F110" s="3110">
        <v>15</v>
      </c>
    </row>
    <row r="111" spans="1:6" ht="25.5">
      <c r="A111" s="3110">
        <v>39</v>
      </c>
      <c r="B111" s="3845"/>
      <c r="C111" s="3110" t="s">
        <v>2730</v>
      </c>
      <c r="D111" s="3084" t="s">
        <v>2731</v>
      </c>
      <c r="E111" s="3110">
        <v>0.1</v>
      </c>
      <c r="F111" s="3110">
        <v>15</v>
      </c>
    </row>
    <row r="112" spans="1:6" ht="25.5">
      <c r="A112" s="3110">
        <v>40</v>
      </c>
      <c r="B112" s="3854"/>
      <c r="C112" s="3110" t="s">
        <v>2732</v>
      </c>
      <c r="D112" s="3084" t="s">
        <v>2733</v>
      </c>
      <c r="E112" s="3110">
        <v>0.1</v>
      </c>
      <c r="F112" s="3110">
        <v>15</v>
      </c>
    </row>
    <row r="113" spans="1:6" ht="25.5">
      <c r="A113" s="3110">
        <v>41</v>
      </c>
      <c r="B113" s="3855" t="s">
        <v>2734</v>
      </c>
      <c r="C113" s="3110" t="s">
        <v>2735</v>
      </c>
      <c r="D113" s="3084" t="s">
        <v>2736</v>
      </c>
      <c r="E113" s="3110">
        <v>0.1</v>
      </c>
      <c r="F113" s="3110">
        <v>15</v>
      </c>
    </row>
    <row r="114" spans="1:6" ht="14.25">
      <c r="A114" s="3110">
        <v>42</v>
      </c>
      <c r="B114" s="3855"/>
      <c r="C114" s="3110" t="s">
        <v>2737</v>
      </c>
      <c r="D114" s="3084" t="s">
        <v>2738</v>
      </c>
      <c r="E114" s="3110">
        <v>0.1</v>
      </c>
      <c r="F114" s="3110">
        <v>15</v>
      </c>
    </row>
    <row r="115" spans="1:6" ht="25.5">
      <c r="A115" s="3110">
        <v>43</v>
      </c>
      <c r="B115" s="3855"/>
      <c r="C115" s="3110" t="s">
        <v>2739</v>
      </c>
      <c r="D115" s="3084" t="s">
        <v>2740</v>
      </c>
      <c r="E115" s="3110">
        <v>0.1</v>
      </c>
      <c r="F115" s="3110">
        <v>15</v>
      </c>
    </row>
    <row r="116" spans="1:6" ht="25.5">
      <c r="A116" s="3110">
        <v>44</v>
      </c>
      <c r="B116" s="3850" t="s">
        <v>2741</v>
      </c>
      <c r="C116" s="3110" t="s">
        <v>2742</v>
      </c>
      <c r="D116" s="3084" t="s">
        <v>2743</v>
      </c>
      <c r="E116" s="3110">
        <v>0.1</v>
      </c>
      <c r="F116" s="3110">
        <v>15</v>
      </c>
    </row>
    <row r="117" spans="1:6" ht="25.5">
      <c r="A117" s="3110">
        <v>45</v>
      </c>
      <c r="B117" s="3854"/>
      <c r="C117" s="3084" t="s">
        <v>2744</v>
      </c>
      <c r="D117" s="3084" t="s">
        <v>2745</v>
      </c>
      <c r="E117" s="3110">
        <v>0.1</v>
      </c>
      <c r="F117" s="3110">
        <v>15</v>
      </c>
    </row>
    <row r="118" spans="1:6" ht="25.5">
      <c r="A118" s="3110">
        <v>46</v>
      </c>
      <c r="B118" s="3850" t="s">
        <v>2746</v>
      </c>
      <c r="C118" s="3110" t="s">
        <v>2747</v>
      </c>
      <c r="D118" s="3084" t="s">
        <v>2748</v>
      </c>
      <c r="E118" s="3110">
        <v>0.1</v>
      </c>
      <c r="F118" s="3110">
        <v>15</v>
      </c>
    </row>
    <row r="119" spans="1:6" ht="25.5">
      <c r="A119" s="3110">
        <v>47</v>
      </c>
      <c r="B119" s="3854"/>
      <c r="C119" s="3110" t="s">
        <v>2749</v>
      </c>
      <c r="D119" s="3084" t="s">
        <v>2750</v>
      </c>
      <c r="E119" s="3110">
        <v>0.1</v>
      </c>
      <c r="F119" s="3110">
        <v>15</v>
      </c>
    </row>
    <row r="120" spans="1:6" ht="25.5">
      <c r="A120" s="3110">
        <v>48</v>
      </c>
      <c r="B120" s="3850" t="s">
        <v>2751</v>
      </c>
      <c r="C120" s="3110" t="s">
        <v>2752</v>
      </c>
      <c r="D120" s="3084" t="s">
        <v>2753</v>
      </c>
      <c r="E120" s="3110">
        <v>0.1</v>
      </c>
      <c r="F120" s="3110">
        <v>15</v>
      </c>
    </row>
    <row r="121" spans="1:6" ht="14.25">
      <c r="A121" s="3110">
        <v>49</v>
      </c>
      <c r="B121" s="3854"/>
      <c r="C121" s="3110" t="s">
        <v>2754</v>
      </c>
      <c r="D121" s="3084" t="s">
        <v>2755</v>
      </c>
      <c r="E121" s="3110">
        <v>0.1</v>
      </c>
      <c r="F121" s="3110">
        <v>15</v>
      </c>
    </row>
    <row r="122" spans="1:6" ht="25.5">
      <c r="A122" s="3110">
        <v>50</v>
      </c>
      <c r="B122" s="3855" t="s">
        <v>2756</v>
      </c>
      <c r="C122" s="3110" t="s">
        <v>2757</v>
      </c>
      <c r="D122" s="3084" t="s">
        <v>2758</v>
      </c>
      <c r="E122" s="3110">
        <v>0.1</v>
      </c>
      <c r="F122" s="3110">
        <v>15</v>
      </c>
    </row>
    <row r="123" spans="1:6" ht="25.5">
      <c r="A123" s="3110">
        <v>51</v>
      </c>
      <c r="B123" s="3855"/>
      <c r="C123" s="3110" t="s">
        <v>2759</v>
      </c>
      <c r="D123" s="3084" t="s">
        <v>2760</v>
      </c>
      <c r="E123" s="3110">
        <v>0.1</v>
      </c>
      <c r="F123" s="3110">
        <v>15</v>
      </c>
    </row>
    <row r="124" spans="1:6" ht="25.5">
      <c r="A124" s="3110">
        <v>52</v>
      </c>
      <c r="B124" s="3855" t="s">
        <v>2761</v>
      </c>
      <c r="C124" s="3110" t="s">
        <v>2762</v>
      </c>
      <c r="D124" s="3084" t="s">
        <v>2763</v>
      </c>
      <c r="E124" s="3110">
        <v>0.1</v>
      </c>
      <c r="F124" s="3110">
        <v>15</v>
      </c>
    </row>
    <row r="125" spans="1:6" ht="25.5">
      <c r="A125" s="3110">
        <v>53</v>
      </c>
      <c r="B125" s="3855"/>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55" t="s">
        <v>2769</v>
      </c>
      <c r="C127" s="3110" t="s">
        <v>2770</v>
      </c>
      <c r="D127" s="3084" t="s">
        <v>2771</v>
      </c>
      <c r="E127" s="3110">
        <v>0.1</v>
      </c>
      <c r="F127" s="3110">
        <v>15</v>
      </c>
    </row>
    <row r="128" spans="1:6" ht="14.25">
      <c r="A128" s="3110">
        <v>56</v>
      </c>
      <c r="B128" s="3855"/>
      <c r="C128" s="3110" t="s">
        <v>2772</v>
      </c>
      <c r="D128" s="3084" t="s">
        <v>2773</v>
      </c>
      <c r="E128" s="3110">
        <v>0.1</v>
      </c>
      <c r="F128" s="3110">
        <v>15</v>
      </c>
    </row>
    <row r="129" spans="1:6" ht="25.5">
      <c r="A129" s="3110">
        <v>57</v>
      </c>
      <c r="B129" s="3855"/>
      <c r="C129" s="3110" t="s">
        <v>2774</v>
      </c>
      <c r="D129" s="3084" t="s">
        <v>2775</v>
      </c>
      <c r="E129" s="3110">
        <v>0.1</v>
      </c>
      <c r="F129" s="3110">
        <v>15</v>
      </c>
    </row>
    <row r="130" spans="1:6" ht="25.5">
      <c r="A130" s="3110">
        <v>58</v>
      </c>
      <c r="B130" s="3855" t="s">
        <v>2776</v>
      </c>
      <c r="C130" s="3110" t="s">
        <v>2777</v>
      </c>
      <c r="D130" s="3084" t="s">
        <v>2778</v>
      </c>
      <c r="E130" s="3110">
        <v>0.1</v>
      </c>
      <c r="F130" s="3110">
        <v>15</v>
      </c>
    </row>
    <row r="131" spans="1:6" ht="25.5">
      <c r="A131" s="3110">
        <v>59</v>
      </c>
      <c r="B131" s="3855"/>
      <c r="C131" s="3110" t="s">
        <v>2779</v>
      </c>
      <c r="D131" s="3084" t="s">
        <v>2780</v>
      </c>
      <c r="E131" s="3110">
        <v>0.1</v>
      </c>
      <c r="F131" s="3110">
        <v>15</v>
      </c>
    </row>
    <row r="132" spans="1:6" ht="25.5">
      <c r="A132" s="3110">
        <v>60</v>
      </c>
      <c r="B132" s="3850" t="s">
        <v>2781</v>
      </c>
      <c r="C132" s="3110" t="s">
        <v>2782</v>
      </c>
      <c r="D132" s="3084" t="s">
        <v>2783</v>
      </c>
      <c r="E132" s="3110">
        <v>0.1</v>
      </c>
      <c r="F132" s="3110">
        <v>15</v>
      </c>
    </row>
    <row r="133" spans="1:6" ht="25.5">
      <c r="A133" s="3110">
        <v>61</v>
      </c>
      <c r="B133" s="3854"/>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55" t="s">
        <v>2789</v>
      </c>
      <c r="C135" s="3110" t="s">
        <v>2790</v>
      </c>
      <c r="D135" s="3084" t="s">
        <v>2791</v>
      </c>
      <c r="E135" s="3110">
        <v>0.1</v>
      </c>
      <c r="F135" s="3110">
        <v>15</v>
      </c>
    </row>
    <row r="136" spans="1:6" ht="14.25">
      <c r="A136" s="3110">
        <v>64</v>
      </c>
      <c r="B136" s="3855"/>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0.12</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687" t="s">
        <v>94</v>
      </c>
    </row>
    <row r="43" spans="1:7" ht="13.5" customHeight="1">
      <c r="A43" s="776" t="s">
        <v>347</v>
      </c>
      <c r="B43" s="212" t="s">
        <v>426</v>
      </c>
      <c r="C43" s="235">
        <f ca="1">ROUND(IF('数据-取费表'!B22&lt;=1,C39*F22*'数据-取费表'!B21/2,C39*(POWER((1+F22),'数据-取费表'!B21/2)-1)),0)</f>
        <v>0</v>
      </c>
      <c r="D43" s="235"/>
      <c r="E43" s="235"/>
      <c r="F43" s="236"/>
      <c r="G43" s="3688"/>
    </row>
    <row r="44" spans="1:7" ht="13.5" customHeight="1">
      <c r="A44" s="776" t="s">
        <v>348</v>
      </c>
      <c r="B44" s="212" t="s">
        <v>428</v>
      </c>
      <c r="C44" s="235">
        <f ca="1">ROUND(IF('数据-取费表'!B22&lt;=1,C40*F22*'数据-取费表'!B21/2,C40*(POWER((1+F22),'数据-取费表'!B21/2)-1)),4)</f>
        <v>2.2000000000000001E-3</v>
      </c>
      <c r="D44" s="235"/>
      <c r="E44" s="235"/>
      <c r="F44" s="236"/>
      <c r="G44" s="3689"/>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58" t="s">
        <v>2843</v>
      </c>
      <c r="B1" s="3858"/>
      <c r="C1" s="3858"/>
      <c r="D1" s="3858"/>
      <c r="E1" s="3858"/>
      <c r="F1" s="3858"/>
      <c r="G1" s="3859"/>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56"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57"/>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4" t="str">
        <f>IF(项目基本情况!B9="房地产市场价值","估价结果一览表","结果表-2")</f>
        <v>估价结果一览表</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房地产市场价值</v>
      </c>
      <c r="I2" s="3515"/>
    </row>
    <row r="3" spans="1:9" ht="15">
      <c r="A3" s="3516"/>
      <c r="B3" s="3516"/>
      <c r="C3" s="3516"/>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29096</v>
      </c>
    </row>
    <row r="5" spans="1:9" ht="30" customHeight="1">
      <c r="A5" s="3516" t="s">
        <v>927</v>
      </c>
      <c r="B5" s="3516"/>
      <c r="C5" s="3516"/>
      <c r="D5" s="3516" t="e">
        <f ca="1">结果表!D119</f>
        <v>#REF!</v>
      </c>
      <c r="E5" s="3516"/>
      <c r="F5" s="3516" t="e">
        <f ca="1">结果表!F119</f>
        <v>#REF!</v>
      </c>
      <c r="G5" s="3516"/>
      <c r="H5" s="3516" t="str">
        <f ca="1">结果表!H119</f>
        <v>叁万元整</v>
      </c>
      <c r="I5" s="3516"/>
    </row>
    <row r="6" spans="1:9" ht="15.75">
      <c r="A6" s="3517" t="str">
        <f>结果表!A120</f>
        <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
      </c>
      <c r="B8" s="3517"/>
      <c r="C8" s="3517"/>
      <c r="D8" s="3517">
        <f ca="1">结果表!D122</f>
        <v>3</v>
      </c>
      <c r="E8" s="3517"/>
      <c r="F8" s="3517"/>
      <c r="G8" s="3517"/>
      <c r="H8" s="3517"/>
      <c r="I8" s="3517"/>
    </row>
    <row r="9" spans="1:9" ht="15">
      <c r="A9" s="3516" t="s">
        <v>927</v>
      </c>
      <c r="B9" s="3516"/>
      <c r="C9" s="3516"/>
      <c r="D9" s="3516" t="str">
        <f ca="1">结果表!D123</f>
        <v>叁万元整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60" t="s">
        <v>3185</v>
      </c>
      <c r="B1" s="3860"/>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25" defaultRowHeight="14.25"/>
  <cols>
    <col min="1" max="16384" width="13.125" style="3282"/>
  </cols>
  <sheetData>
    <row r="1" spans="1:6">
      <c r="A1" s="3861" t="s">
        <v>3236</v>
      </c>
      <c r="B1" s="3861"/>
      <c r="C1" s="3861"/>
      <c r="D1" s="3861"/>
      <c r="E1" s="3861"/>
      <c r="F1" s="3862"/>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44970</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3" t="s">
        <v>949</v>
      </c>
      <c r="B1" s="3523"/>
      <c r="C1" s="3523"/>
      <c r="D1" s="3523"/>
    </row>
    <row r="2" spans="1:4" ht="18">
      <c r="A2" s="3524" t="s">
        <v>933</v>
      </c>
      <c r="B2" s="3524"/>
      <c r="C2" s="3524"/>
      <c r="D2" s="3524"/>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4" t="s">
        <v>939</v>
      </c>
      <c r="B6" s="3524"/>
      <c r="C6" s="3524"/>
      <c r="D6" s="3524"/>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7"/>
      <c r="C12" s="3527"/>
      <c r="D12" s="3527"/>
    </row>
    <row r="13" spans="1:4" ht="30" customHeight="1">
      <c r="A13" s="3526" t="str">
        <f>IF(项目基本情况!B8="抵押","3.抵押双方在办理抵押登记手续时，应使用本公司出具的正式《房地产评估报告》，特提醒报告使用者注意。","——")</f>
        <v>——</v>
      </c>
      <c r="B13" s="3527"/>
      <c r="C13" s="3527"/>
      <c r="D13" s="3527"/>
    </row>
    <row r="14" spans="1:4" ht="15.75" customHeight="1">
      <c r="A14" s="3526" t="str">
        <f>IF(项目基本情况!B8="抵押","4.本次评估估价师所知悉的法定优先受偿款情况说明如下：","——")</f>
        <v>——</v>
      </c>
      <c r="B14" s="3527"/>
      <c r="C14" s="3527"/>
      <c r="D14" s="3527"/>
    </row>
    <row r="15" spans="1:4" ht="42" customHeight="1">
      <c r="A15" s="3526" t="str">
        <f>IF(项目基本情况!B8="抵押","（1）"&amp;CONCATENATE(项目基本情况!L20,项目基本情况!L21,项目基本情况!L22),"——")</f>
        <v>——</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945</v>
      </c>
      <c r="B22" s="3531"/>
      <c r="C22" s="3531"/>
      <c r="D22" s="353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37" t="s">
        <v>956</v>
      </c>
      <c r="B15" s="3532" t="s">
        <v>109</v>
      </c>
      <c r="C15" s="3533"/>
    </row>
    <row r="16" spans="1:7" ht="14.25">
      <c r="A16" s="3538"/>
      <c r="B16" s="3532" t="s">
        <v>42</v>
      </c>
      <c r="C16" s="3533"/>
    </row>
    <row r="17" spans="1:3" ht="14.25">
      <c r="A17" s="3538"/>
      <c r="B17" s="3535" t="s">
        <v>957</v>
      </c>
      <c r="C17" s="1528" t="s">
        <v>956</v>
      </c>
    </row>
    <row r="18" spans="1:3" ht="14.25">
      <c r="A18" s="3538"/>
      <c r="B18" s="3535"/>
      <c r="C18" s="1528" t="s">
        <v>958</v>
      </c>
    </row>
    <row r="19" spans="1:3" ht="14.25">
      <c r="A19" s="3538"/>
      <c r="B19" s="3535"/>
      <c r="C19" s="1528" t="s">
        <v>959</v>
      </c>
    </row>
    <row r="20" spans="1:3" ht="14.25">
      <c r="A20" s="3539"/>
      <c r="B20" s="3534" t="s">
        <v>960</v>
      </c>
      <c r="C20" s="3533"/>
    </row>
    <row r="21" spans="1:3" ht="14.25">
      <c r="A21" s="1529" t="s">
        <v>961</v>
      </c>
      <c r="B21" s="1530"/>
      <c r="C21" s="1531"/>
    </row>
    <row r="22" spans="1:3" ht="14.25">
      <c r="A22" s="3536" t="s">
        <v>962</v>
      </c>
      <c r="B22" s="3534" t="s">
        <v>963</v>
      </c>
      <c r="C22" s="3533"/>
    </row>
    <row r="23" spans="1:3" ht="14.25">
      <c r="A23" s="3536"/>
      <c r="B23" s="3534" t="s">
        <v>964</v>
      </c>
      <c r="C23" s="3533"/>
    </row>
    <row r="24" spans="1:3" ht="14.25">
      <c r="A24" s="3536"/>
      <c r="B24" s="3534" t="s">
        <v>965</v>
      </c>
      <c r="C24" s="3533"/>
    </row>
    <row r="25" spans="1:3" ht="14.25">
      <c r="A25" s="3536"/>
      <c r="B25" s="3535" t="s">
        <v>966</v>
      </c>
      <c r="C25" s="1528" t="s">
        <v>967</v>
      </c>
    </row>
    <row r="26" spans="1:3" ht="14.25">
      <c r="A26" s="3536"/>
      <c r="B26" s="3535"/>
      <c r="C26" s="1528" t="s">
        <v>968</v>
      </c>
    </row>
    <row r="27" spans="1:3" ht="14.25">
      <c r="A27" s="3536"/>
      <c r="B27" s="3535"/>
      <c r="C27" s="1528" t="s">
        <v>969</v>
      </c>
    </row>
    <row r="28" spans="1:3" ht="14.25">
      <c r="A28" s="3536"/>
      <c r="B28" s="3535"/>
      <c r="C28" s="1528" t="s">
        <v>970</v>
      </c>
    </row>
    <row r="29" spans="1:3" ht="14.25">
      <c r="A29" s="3536"/>
      <c r="B29" s="3535"/>
      <c r="C29" s="1528" t="s">
        <v>971</v>
      </c>
    </row>
    <row r="30" spans="1:3" ht="14.25">
      <c r="A30" s="3536"/>
      <c r="B30" s="3535"/>
      <c r="C30" s="1528" t="s">
        <v>972</v>
      </c>
    </row>
    <row r="31" spans="1:3" ht="14.25">
      <c r="A31" s="3536"/>
      <c r="B31" s="3535"/>
      <c r="C31" s="1528" t="s">
        <v>973</v>
      </c>
    </row>
    <row r="32" spans="1:3" ht="14.25">
      <c r="A32" s="3536"/>
      <c r="B32" s="3535"/>
      <c r="C32" s="1528" t="s">
        <v>974</v>
      </c>
    </row>
    <row r="33" spans="1:3" ht="14.25">
      <c r="A33" s="3536"/>
      <c r="B33" s="3535"/>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44985</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6"/>
      <c r="E18" s="3542" t="s">
        <v>2162</v>
      </c>
      <c r="F18" s="3541"/>
      <c r="G18" s="3541"/>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2023-02-28T07:34:03Z</dcterms:modified>
</cp:coreProperties>
</file>