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商业" sheetId="43" r:id="rId22"/>
    <sheet name="基准地价修正-办公" sheetId="82" r:id="rId23"/>
    <sheet name="收益法（汇总）" sheetId="70" r:id="rId24"/>
    <sheet name="收益法-商业"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办公" sheetId="81" r:id="rId47"/>
    <sheet name="面积指标"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'基准地价修正-办公'!$A$1:$J$44,'基准地价修正-办公'!$A$47:$H$101,'基准地价修正-办公'!$R$1:$V$16</definedName>
    <definedName name="_xlnm.Print_Area" localSheetId="21">'基准地价修正-商业'!$A$1:$J$44,'基准地价修正-商业'!$A$47:$H$101,'基准地价修正-商业'!$R$1:$V$16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3">'收益法（汇总）'!$A$1:$F$13</definedName>
    <definedName name="_xlnm.Print_Area" localSheetId="46">'收益法-办公'!$A$1:$F$43,'收益法-办公'!$H$3:$M$29,'收益法-办公'!$A$46:$F$71,'收益法-办公'!$I$46:$N$65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7" i="1" l="1"/>
  <c r="V20" i="1"/>
  <c r="J50" i="80"/>
  <c r="J51" i="80"/>
  <c r="J49" i="80"/>
  <c r="H51" i="80"/>
  <c r="H50" i="80"/>
  <c r="J52" i="80" l="1"/>
  <c r="C14" i="74" l="1"/>
  <c r="B14" i="74"/>
  <c r="O25" i="9"/>
  <c r="O24" i="9"/>
  <c r="N25" i="9"/>
  <c r="N24" i="9"/>
  <c r="N23" i="9"/>
  <c r="AG21" i="1"/>
  <c r="AH6" i="1"/>
  <c r="AH7" i="1"/>
  <c r="D33" i="82"/>
  <c r="U2"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c r="D101" i="82"/>
  <c r="B101" i="82"/>
  <c r="N100" i="82"/>
  <c r="M100" i="82"/>
  <c r="K100" i="82"/>
  <c r="J100" i="82" s="1"/>
  <c r="D100" i="82"/>
  <c r="B100" i="82"/>
  <c r="M99" i="82"/>
  <c r="N99" i="82" s="1"/>
  <c r="K99" i="82"/>
  <c r="J99" i="82"/>
  <c r="D99" i="82"/>
  <c r="B99" i="82"/>
  <c r="N98" i="82"/>
  <c r="M98" i="82"/>
  <c r="K98" i="82"/>
  <c r="J98" i="82" s="1"/>
  <c r="D98" i="82"/>
  <c r="N97" i="82"/>
  <c r="M97" i="82"/>
  <c r="K97" i="82"/>
  <c r="J97" i="82" s="1"/>
  <c r="D97" i="82"/>
  <c r="B97" i="82"/>
  <c r="N96" i="82"/>
  <c r="M96" i="82"/>
  <c r="K96" i="82"/>
  <c r="J96" i="82" s="1"/>
  <c r="D96" i="82"/>
  <c r="M95" i="82"/>
  <c r="N95" i="82" s="1"/>
  <c r="K95" i="82"/>
  <c r="J95" i="82"/>
  <c r="D95" i="82"/>
  <c r="B95" i="82"/>
  <c r="N94" i="82"/>
  <c r="M94" i="82"/>
  <c r="K94" i="82"/>
  <c r="J94" i="82" s="1"/>
  <c r="D94" i="82"/>
  <c r="B94" i="82"/>
  <c r="M93" i="82"/>
  <c r="N93" i="82" s="1"/>
  <c r="K93" i="82"/>
  <c r="J93" i="82"/>
  <c r="F93" i="82"/>
  <c r="H101" i="82" s="1"/>
  <c r="D93" i="82"/>
  <c r="E93" i="82" s="1"/>
  <c r="B91" i="82" s="1"/>
  <c r="N90" i="82"/>
  <c r="M90" i="82"/>
  <c r="K90" i="82"/>
  <c r="J90" i="82" s="1"/>
  <c r="D90" i="82"/>
  <c r="B90" i="82"/>
  <c r="M89" i="82"/>
  <c r="N89" i="82" s="1"/>
  <c r="K89" i="82"/>
  <c r="J89" i="82"/>
  <c r="D89" i="82"/>
  <c r="M88" i="82"/>
  <c r="N88" i="82" s="1"/>
  <c r="K88" i="82"/>
  <c r="J88" i="82"/>
  <c r="D88" i="82"/>
  <c r="B88" i="82"/>
  <c r="N87" i="82"/>
  <c r="M87" i="82"/>
  <c r="K87" i="82"/>
  <c r="J87" i="82" s="1"/>
  <c r="D87" i="82"/>
  <c r="B87" i="82"/>
  <c r="M86" i="82"/>
  <c r="N86" i="82" s="1"/>
  <c r="K86" i="82"/>
  <c r="J86" i="82"/>
  <c r="D86" i="82"/>
  <c r="B86" i="82"/>
  <c r="N85" i="82"/>
  <c r="M85" i="82"/>
  <c r="K85" i="82"/>
  <c r="J85" i="82" s="1"/>
  <c r="D85" i="82"/>
  <c r="B85" i="82"/>
  <c r="M84" i="82"/>
  <c r="N84" i="82" s="1"/>
  <c r="K84" i="82"/>
  <c r="J84" i="82"/>
  <c r="D84" i="82"/>
  <c r="B84" i="82"/>
  <c r="N83" i="82"/>
  <c r="M83" i="82"/>
  <c r="K83" i="82"/>
  <c r="J83" i="82" s="1"/>
  <c r="F83" i="82"/>
  <c r="H89" i="82" s="1"/>
  <c r="E83" i="82"/>
  <c r="B81" i="82" s="1"/>
  <c r="D83" i="82"/>
  <c r="B83" i="82"/>
  <c r="N80" i="82"/>
  <c r="M80" i="82"/>
  <c r="K80" i="82"/>
  <c r="J80" i="82" s="1"/>
  <c r="D80" i="82"/>
  <c r="N79" i="82"/>
  <c r="M79" i="82"/>
  <c r="K79" i="82"/>
  <c r="J79" i="82" s="1"/>
  <c r="D79" i="82"/>
  <c r="B79" i="82"/>
  <c r="N78" i="82"/>
  <c r="M78" i="82"/>
  <c r="K78" i="82"/>
  <c r="J78" i="82" s="1"/>
  <c r="D78" i="82"/>
  <c r="M77" i="82"/>
  <c r="N77" i="82" s="1"/>
  <c r="K77" i="82"/>
  <c r="J77" i="82"/>
  <c r="D77" i="82"/>
  <c r="B77" i="82"/>
  <c r="N76" i="82"/>
  <c r="M76" i="82"/>
  <c r="K76" i="82"/>
  <c r="J76" i="82" s="1"/>
  <c r="D76" i="82"/>
  <c r="B76" i="82"/>
  <c r="M75" i="82"/>
  <c r="N75" i="82" s="1"/>
  <c r="K75" i="82"/>
  <c r="J75" i="82"/>
  <c r="D75" i="82"/>
  <c r="B75" i="82"/>
  <c r="N74" i="82"/>
  <c r="M74" i="82"/>
  <c r="K74" i="82"/>
  <c r="J74" i="82" s="1"/>
  <c r="D74" i="82"/>
  <c r="B74" i="82"/>
  <c r="M73" i="82"/>
  <c r="N73" i="82" s="1"/>
  <c r="K73" i="82"/>
  <c r="J73" i="82"/>
  <c r="D73" i="82"/>
  <c r="B73" i="82"/>
  <c r="N72" i="82"/>
  <c r="M72" i="82"/>
  <c r="K72" i="82"/>
  <c r="J72" i="82" s="1"/>
  <c r="F72" i="82"/>
  <c r="H78" i="82" s="1"/>
  <c r="E72" i="82"/>
  <c r="B70" i="82" s="1"/>
  <c r="D72" i="82"/>
  <c r="B72" i="82"/>
  <c r="N69" i="82"/>
  <c r="M69" i="82"/>
  <c r="K69" i="82"/>
  <c r="J69" i="82" s="1"/>
  <c r="D69" i="82"/>
  <c r="B69" i="82"/>
  <c r="M68" i="82"/>
  <c r="N68" i="82" s="1"/>
  <c r="K68" i="82"/>
  <c r="J68" i="82"/>
  <c r="D68" i="82"/>
  <c r="B68" i="82"/>
  <c r="N67" i="82"/>
  <c r="M67" i="82"/>
  <c r="K67" i="82"/>
  <c r="J67" i="82" s="1"/>
  <c r="D67" i="82"/>
  <c r="B67" i="82"/>
  <c r="M66" i="82"/>
  <c r="N66" i="82" s="1"/>
  <c r="K66" i="82"/>
  <c r="J66" i="82"/>
  <c r="D66" i="82"/>
  <c r="M65" i="82"/>
  <c r="N65" i="82" s="1"/>
  <c r="K65" i="82"/>
  <c r="J65" i="82"/>
  <c r="D65" i="82"/>
  <c r="B65" i="82"/>
  <c r="N64" i="82"/>
  <c r="M64" i="82"/>
  <c r="K64" i="82"/>
  <c r="J64" i="82" s="1"/>
  <c r="D64" i="82"/>
  <c r="N63" i="82"/>
  <c r="M63" i="82"/>
  <c r="K63" i="82"/>
  <c r="J63" i="82" s="1"/>
  <c r="D63" i="82"/>
  <c r="B63" i="82"/>
  <c r="N62" i="82"/>
  <c r="M62" i="82"/>
  <c r="K62" i="82"/>
  <c r="J62" i="82" s="1"/>
  <c r="D62" i="82"/>
  <c r="B62" i="82"/>
  <c r="N61" i="82"/>
  <c r="M61" i="82"/>
  <c r="K61" i="82"/>
  <c r="J61" i="82" s="1"/>
  <c r="E61" i="82"/>
  <c r="B59" i="82" s="1"/>
  <c r="D61" i="82"/>
  <c r="B61" i="82"/>
  <c r="N58" i="82"/>
  <c r="M58" i="82"/>
  <c r="K58" i="82"/>
  <c r="J58" i="82" s="1"/>
  <c r="D58" i="82"/>
  <c r="B58" i="82"/>
  <c r="N57" i="82"/>
  <c r="M57" i="82"/>
  <c r="K57" i="82"/>
  <c r="J57" i="82" s="1"/>
  <c r="D57" i="82" s="1"/>
  <c r="B57" i="82"/>
  <c r="M56" i="82"/>
  <c r="N56" i="82" s="1"/>
  <c r="K56" i="82"/>
  <c r="J56" i="82"/>
  <c r="D56" i="82"/>
  <c r="B56" i="82"/>
  <c r="N55" i="82"/>
  <c r="M55" i="82"/>
  <c r="K55" i="82"/>
  <c r="J55" i="82" s="1"/>
  <c r="N54" i="82"/>
  <c r="M54" i="82"/>
  <c r="K54" i="82"/>
  <c r="J54" i="82" s="1"/>
  <c r="D54" i="82"/>
  <c r="B54" i="82"/>
  <c r="N53" i="82"/>
  <c r="M53" i="82"/>
  <c r="K53" i="82"/>
  <c r="J53" i="82" s="1"/>
  <c r="M52" i="82"/>
  <c r="N52" i="82" s="1"/>
  <c r="K52" i="82"/>
  <c r="J52" i="82"/>
  <c r="D52" i="82"/>
  <c r="B52" i="82"/>
  <c r="N51" i="82"/>
  <c r="M51" i="82"/>
  <c r="K51" i="82"/>
  <c r="J51" i="82" s="1"/>
  <c r="D51" i="82"/>
  <c r="B51" i="82"/>
  <c r="N50" i="82"/>
  <c r="M50" i="82"/>
  <c r="K50" i="82"/>
  <c r="J50" i="82" s="1"/>
  <c r="D50" i="82"/>
  <c r="B50" i="82"/>
  <c r="H42" i="82"/>
  <c r="H41" i="82"/>
  <c r="H40" i="82"/>
  <c r="H39" i="82"/>
  <c r="H38" i="82"/>
  <c r="H37" i="82"/>
  <c r="J24" i="82"/>
  <c r="I24" i="82"/>
  <c r="C24" i="82" s="1"/>
  <c r="G24" i="82"/>
  <c r="E44" i="82" s="1"/>
  <c r="C44" i="82" s="1"/>
  <c r="E24" i="82"/>
  <c r="P32" i="82" s="1"/>
  <c r="O23" i="82"/>
  <c r="M23" i="82"/>
  <c r="I23" i="82"/>
  <c r="G23" i="82"/>
  <c r="P29" i="82" s="1"/>
  <c r="C23" i="82"/>
  <c r="C22" i="82"/>
  <c r="I18" i="82"/>
  <c r="E17" i="82" s="1"/>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E8" i="82"/>
  <c r="C7" i="82"/>
  <c r="G3" i="82"/>
  <c r="I2" i="82"/>
  <c r="M5" i="82" s="1"/>
  <c r="G2" i="82"/>
  <c r="D1" i="82"/>
  <c r="U2" i="43"/>
  <c r="D37" i="43"/>
  <c r="D33" i="43"/>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B35" i="1"/>
  <c r="B21" i="1"/>
  <c r="Y7" i="1"/>
  <c r="W7" i="1"/>
  <c r="V7" i="1"/>
  <c r="AM7" i="1"/>
  <c r="AL7" i="1"/>
  <c r="AK7" i="1"/>
  <c r="F50" i="80"/>
  <c r="Y6" i="1"/>
  <c r="V21" i="1"/>
  <c r="U6" i="1" s="1"/>
  <c r="W21" i="1"/>
  <c r="W20" i="1"/>
  <c r="W19" i="1"/>
  <c r="Q7" i="1"/>
  <c r="N7" i="1"/>
  <c r="L7" i="1"/>
  <c r="J7" i="1"/>
  <c r="F20" i="6"/>
  <c r="G19" i="6"/>
  <c r="F19" i="6"/>
  <c r="M26" i="3"/>
  <c r="M27" i="3"/>
  <c r="M28" i="3"/>
  <c r="M29" i="3"/>
  <c r="M30" i="3"/>
  <c r="M31" i="3"/>
  <c r="M32" i="3"/>
  <c r="M33" i="3"/>
  <c r="M34" i="3"/>
  <c r="M35" i="3"/>
  <c r="M36" i="3"/>
  <c r="M25" i="3"/>
  <c r="K22" i="3"/>
  <c r="K23" i="3"/>
  <c r="K24" i="3"/>
  <c r="K21" i="3"/>
  <c r="I14" i="3"/>
  <c r="I15" i="3"/>
  <c r="I16" i="3"/>
  <c r="I17" i="3"/>
  <c r="I18" i="3"/>
  <c r="I19" i="3"/>
  <c r="I20" i="3"/>
  <c r="C31" i="3"/>
  <c r="C32" i="3"/>
  <c r="C33" i="3"/>
  <c r="C34" i="3"/>
  <c r="C35" i="3"/>
  <c r="C36" i="3"/>
  <c r="C14" i="3"/>
  <c r="C15" i="3"/>
  <c r="C16" i="3"/>
  <c r="C17" i="3"/>
  <c r="C18" i="3"/>
  <c r="C19" i="3"/>
  <c r="C20" i="3"/>
  <c r="C21" i="3"/>
  <c r="C22" i="3"/>
  <c r="C23" i="3"/>
  <c r="C24" i="3"/>
  <c r="C25" i="3"/>
  <c r="C26" i="3"/>
  <c r="C27" i="3"/>
  <c r="C28" i="3"/>
  <c r="C29" i="3"/>
  <c r="C30" i="3"/>
  <c r="I13" i="3"/>
  <c r="C13" i="3"/>
  <c r="A3" i="3"/>
  <c r="F10" i="4"/>
  <c r="D3" i="4"/>
  <c r="M6" i="81"/>
  <c r="O26" i="9" l="1"/>
  <c r="N1" i="82"/>
  <c r="M1" i="82"/>
  <c r="M2" i="82"/>
  <c r="M6" i="82"/>
  <c r="M7" i="82"/>
  <c r="H83" i="82"/>
  <c r="N4" i="82"/>
  <c r="M3" i="82"/>
  <c r="C6" i="82" s="1"/>
  <c r="H72" i="82"/>
  <c r="H85" i="82"/>
  <c r="H74" i="82"/>
  <c r="S2" i="82"/>
  <c r="S6" i="82"/>
  <c r="M12" i="82"/>
  <c r="M11" i="82"/>
  <c r="M10" i="82"/>
  <c r="N9" i="82"/>
  <c r="N12" i="82"/>
  <c r="N11" i="82"/>
  <c r="N10" i="82"/>
  <c r="M9" i="82"/>
  <c r="M8" i="82"/>
  <c r="N2" i="82"/>
  <c r="B116" i="82"/>
  <c r="J26" i="82"/>
  <c r="G26" i="82"/>
  <c r="E26" i="82"/>
  <c r="H26" i="82"/>
  <c r="F26" i="82"/>
  <c r="N3" i="82"/>
  <c r="F61" i="82" s="1"/>
  <c r="M4" i="82"/>
  <c r="S4" i="82"/>
  <c r="N5" i="82"/>
  <c r="N6" i="82"/>
  <c r="N7" i="82"/>
  <c r="Z7" i="82"/>
  <c r="N8" i="82"/>
  <c r="H116" i="82"/>
  <c r="F50" i="82"/>
  <c r="F42" i="82"/>
  <c r="F41" i="82"/>
  <c r="F40" i="82"/>
  <c r="F39" i="82"/>
  <c r="F38" i="82"/>
  <c r="F37" i="82"/>
  <c r="C27" i="82"/>
  <c r="C25" i="82" s="1"/>
  <c r="O21" i="82"/>
  <c r="M21" i="82"/>
  <c r="K21" i="82"/>
  <c r="I21" i="82"/>
  <c r="D21" i="82"/>
  <c r="N21" i="82"/>
  <c r="L21" i="82"/>
  <c r="J21" i="82"/>
  <c r="H21" i="82"/>
  <c r="G21" i="82" s="1"/>
  <c r="E21" i="82"/>
  <c r="C21" i="82"/>
  <c r="S3" i="82"/>
  <c r="S5" i="82"/>
  <c r="X7" i="82"/>
  <c r="E9" i="82"/>
  <c r="E11" i="82"/>
  <c r="E10" i="82"/>
  <c r="P26" i="82"/>
  <c r="P27" i="82"/>
  <c r="P28" i="82"/>
  <c r="M32" i="82"/>
  <c r="O32" i="82"/>
  <c r="Q32" i="82"/>
  <c r="D55" i="82"/>
  <c r="M24" i="82"/>
  <c r="P25" i="82"/>
  <c r="N32" i="82"/>
  <c r="D53" i="82"/>
  <c r="E50" i="82" s="1"/>
  <c r="B48" i="82" s="1"/>
  <c r="C28" i="82" s="1"/>
  <c r="H76" i="82"/>
  <c r="H79" i="82"/>
  <c r="H80" i="82"/>
  <c r="H87" i="82"/>
  <c r="H90" i="82"/>
  <c r="H94" i="82"/>
  <c r="H97" i="82"/>
  <c r="H98" i="82"/>
  <c r="H100" i="82"/>
  <c r="H73" i="82"/>
  <c r="H75" i="82"/>
  <c r="H77" i="82"/>
  <c r="H84" i="82"/>
  <c r="H86" i="82"/>
  <c r="H88" i="82"/>
  <c r="H93" i="82"/>
  <c r="H95" i="82"/>
  <c r="H96" i="82"/>
  <c r="H99" i="82"/>
  <c r="D24" i="81"/>
  <c r="P61"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L47" i="81"/>
  <c r="C76" i="81"/>
  <c r="F42" i="81"/>
  <c r="M22" i="81"/>
  <c r="F7" i="81"/>
  <c r="F37" i="81"/>
  <c r="F26" i="81"/>
  <c r="F13" i="81"/>
  <c r="F43" i="81"/>
  <c r="M24" i="81"/>
  <c r="M9" i="81"/>
  <c r="F36" i="81"/>
  <c r="M26" i="81"/>
  <c r="F16" i="81"/>
  <c r="M28" i="81"/>
  <c r="F9" i="81"/>
  <c r="M8" i="81"/>
  <c r="M27" i="81"/>
  <c r="J15" i="81"/>
  <c r="L48" i="81"/>
  <c r="F40" i="81"/>
  <c r="F8" i="81"/>
  <c r="F38" i="81"/>
  <c r="M29" i="81"/>
  <c r="M23" i="81"/>
  <c r="F6" i="81"/>
  <c r="H67" i="82" l="1"/>
  <c r="H61" i="82"/>
  <c r="H64" i="82"/>
  <c r="H66" i="82"/>
  <c r="H62" i="82"/>
  <c r="H63" i="82"/>
  <c r="H68" i="82"/>
  <c r="H69" i="82"/>
  <c r="H65" i="82"/>
  <c r="C20" i="82"/>
  <c r="H57" i="82"/>
  <c r="H55" i="82"/>
  <c r="H54" i="82"/>
  <c r="H51" i="82"/>
  <c r="H58" i="82"/>
  <c r="H56" i="82"/>
  <c r="H53" i="82"/>
  <c r="H52" i="82"/>
  <c r="H50" i="82"/>
  <c r="D26" i="82"/>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B122" i="82"/>
  <c r="C122" i="82" s="1"/>
  <c r="D121" i="82"/>
  <c r="E121" i="82" s="1"/>
  <c r="F121" i="82" s="1"/>
  <c r="B121" i="82"/>
  <c r="C121" i="82" s="1"/>
  <c r="D120" i="82"/>
  <c r="E120" i="82" s="1"/>
  <c r="F120" i="82" s="1"/>
  <c r="G120" i="82" s="1"/>
  <c r="H120" i="82" s="1"/>
  <c r="B120" i="82"/>
  <c r="C120" i="82" s="1"/>
  <c r="D119" i="82"/>
  <c r="E119" i="82" s="1"/>
  <c r="F119" i="82" s="1"/>
  <c r="G119" i="82" s="1"/>
  <c r="H119" i="82" s="1"/>
  <c r="B119" i="82"/>
  <c r="C119" i="82" s="1"/>
  <c r="D118" i="82"/>
  <c r="E118" i="82" s="1"/>
  <c r="F118" i="82" s="1"/>
  <c r="G118" i="82" s="1"/>
  <c r="H118" i="82" s="1"/>
  <c r="B118" i="82"/>
  <c r="C6" i="81"/>
  <c r="F64" i="81"/>
  <c r="F66" i="81"/>
  <c r="F51" i="81"/>
  <c r="F68" i="81"/>
  <c r="F71" i="81"/>
  <c r="L57" i="81"/>
  <c r="L56" i="81"/>
  <c r="J53" i="81"/>
  <c r="J57" i="81"/>
  <c r="J55" i="81" s="1"/>
  <c r="J58" i="81" s="1"/>
  <c r="Q50" i="81" s="1"/>
  <c r="J60" i="81"/>
  <c r="Q48" i="81" s="1"/>
  <c r="I54" i="81"/>
  <c r="L60" i="81"/>
  <c r="J59" i="81"/>
  <c r="C27" i="81"/>
  <c r="F65" i="81"/>
  <c r="F50" i="81"/>
  <c r="M7" i="81"/>
  <c r="J6" i="81" s="1"/>
  <c r="N59" i="81"/>
  <c r="L59" i="81"/>
  <c r="L58" i="81"/>
  <c r="M59" i="81"/>
  <c r="Q71" i="81"/>
  <c r="P28" i="79"/>
  <c r="P26" i="79"/>
  <c r="C17" i="81"/>
  <c r="C118" i="82" l="1"/>
  <c r="D116" i="82"/>
  <c r="D5" i="82"/>
  <c r="C5" i="82"/>
  <c r="J19" i="81"/>
  <c r="J18" i="81"/>
  <c r="Q60" i="81"/>
  <c r="Q73" i="81"/>
  <c r="L46" i="81"/>
  <c r="C49" i="81"/>
  <c r="Q61" i="81"/>
  <c r="Q74" i="81"/>
  <c r="Q66" i="81"/>
  <c r="Q57" i="81"/>
  <c r="F1" i="81"/>
  <c r="Q52" i="81"/>
  <c r="C33" i="81"/>
  <c r="C32" i="81"/>
  <c r="B10" i="74"/>
  <c r="C33" i="82" l="1"/>
  <c r="E33" i="82" s="1"/>
  <c r="T12" i="82"/>
  <c r="V12" i="82" s="1"/>
  <c r="T11" i="82"/>
  <c r="V11" i="82" s="1"/>
  <c r="T10" i="82"/>
  <c r="V10" i="82" s="1"/>
  <c r="T16" i="82"/>
  <c r="V16" i="82" s="1"/>
  <c r="T15" i="82"/>
  <c r="V15" i="82" s="1"/>
  <c r="T14" i="82"/>
  <c r="V14" i="82" s="1"/>
  <c r="T13" i="82"/>
  <c r="V13" i="82" s="1"/>
  <c r="T9" i="82"/>
  <c r="V9" i="82" s="1"/>
  <c r="T8" i="82"/>
  <c r="V8" i="82" s="1"/>
  <c r="T7" i="82"/>
  <c r="V7" i="82" s="1"/>
  <c r="T6" i="82"/>
  <c r="V6" i="82" s="1"/>
  <c r="T5" i="82"/>
  <c r="V5" i="82" s="1"/>
  <c r="T3" i="82"/>
  <c r="V3" i="82" s="1"/>
  <c r="T2" i="82"/>
  <c r="V2" i="82" s="1"/>
  <c r="T4" i="82"/>
  <c r="V4" i="82" s="1"/>
  <c r="C42" i="82"/>
  <c r="C41" i="82"/>
  <c r="C40" i="82"/>
  <c r="C39" i="82"/>
  <c r="C38" i="82"/>
  <c r="C37" i="82"/>
  <c r="C61"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G37" i="82" l="1"/>
  <c r="I37" i="82" s="1"/>
  <c r="E37" i="82"/>
  <c r="G39" i="82"/>
  <c r="I39" i="82" s="1"/>
  <c r="E39" i="82"/>
  <c r="G41" i="82"/>
  <c r="I41" i="82" s="1"/>
  <c r="E41" i="82"/>
  <c r="G38" i="82"/>
  <c r="I38" i="82" s="1"/>
  <c r="E38" i="82"/>
  <c r="G40" i="82"/>
  <c r="I40" i="82" s="1"/>
  <c r="E40" i="82"/>
  <c r="G42" i="82"/>
  <c r="I42" i="82" s="1"/>
  <c r="E42" i="82"/>
  <c r="C34" i="82"/>
  <c r="E34" i="82" s="1"/>
  <c r="C7" i="78"/>
  <c r="C5" i="78"/>
  <c r="C6" i="78"/>
  <c r="F13" i="1"/>
  <c r="D13" i="1"/>
  <c r="D12" i="1"/>
  <c r="D11" i="1"/>
  <c r="D10" i="1"/>
  <c r="D9" i="1"/>
  <c r="D8" i="1"/>
  <c r="D7" i="1"/>
  <c r="D6" i="1"/>
  <c r="C31" i="82" l="1"/>
  <c r="C30" i="82"/>
  <c r="B2" i="82" s="1"/>
  <c r="B3" i="82" s="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7" i="79"/>
  <c r="W7" i="79" s="1"/>
  <c r="T8" i="79"/>
  <c r="W8" i="79" s="1"/>
  <c r="T6" i="79"/>
  <c r="W6" i="79" s="1"/>
  <c r="V9" i="79"/>
  <c r="V8" i="79"/>
  <c r="V7" i="79"/>
  <c r="V6" i="79"/>
  <c r="T28" i="79"/>
  <c r="W28" i="79" s="1"/>
  <c r="T27" i="79"/>
  <c r="W27" i="79" s="1"/>
  <c r="T26" i="79"/>
  <c r="W26" i="79" s="1"/>
  <c r="K3" i="79"/>
  <c r="M3" i="79"/>
  <c r="P3" i="79" s="1"/>
  <c r="O3" i="79"/>
  <c r="T3" i="79"/>
  <c r="W3" i="79" s="1"/>
  <c r="V3" i="79"/>
  <c r="S5" i="79"/>
  <c r="U5" i="79"/>
  <c r="P5" i="79"/>
  <c r="S9" i="79"/>
  <c r="S7" i="79"/>
  <c r="S8"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 i="73"/>
  <c r="C14" i="81"/>
  <c r="F7" i="15"/>
  <c r="F8" i="67"/>
  <c r="B10" i="76"/>
  <c r="D35" i="9"/>
  <c r="E13" i="76"/>
  <c r="L48" i="15"/>
  <c r="M8" i="67"/>
  <c r="B9" i="76"/>
  <c r="F8" i="15"/>
  <c r="F9" i="15"/>
  <c r="D3" i="73"/>
  <c r="B12" i="76"/>
  <c r="F40" i="15"/>
  <c r="L48" i="67"/>
  <c r="F36" i="15"/>
  <c r="F6" i="73"/>
  <c r="F6" i="15"/>
  <c r="F13" i="67"/>
  <c r="F13" i="15"/>
  <c r="F38" i="67"/>
  <c r="M22" i="67"/>
  <c r="F43" i="67"/>
  <c r="AO13" i="1"/>
  <c r="M24" i="15"/>
  <c r="F42" i="67"/>
  <c r="F5" i="73"/>
  <c r="C76" i="15"/>
  <c r="F42" i="15"/>
  <c r="E2" i="68"/>
  <c r="E11" i="76"/>
  <c r="M8" i="15"/>
  <c r="D4" i="73"/>
  <c r="E12" i="76"/>
  <c r="D5" i="73"/>
  <c r="B13" i="76"/>
  <c r="M6" i="15"/>
  <c r="E8" i="76"/>
  <c r="M23" i="67"/>
  <c r="M29" i="15"/>
  <c r="C76" i="67"/>
  <c r="F38" i="15"/>
  <c r="C16" i="81"/>
  <c r="F37" i="67"/>
  <c r="E7" i="76"/>
  <c r="F43" i="15"/>
  <c r="F37" i="15"/>
  <c r="L47" i="15"/>
  <c r="E9" i="76"/>
  <c r="M6" i="67"/>
  <c r="F9" i="67"/>
  <c r="F7" i="67"/>
  <c r="B7" i="76"/>
  <c r="M28" i="15"/>
  <c r="F7" i="73"/>
  <c r="M24" i="67"/>
  <c r="F16" i="67"/>
  <c r="M26" i="15"/>
  <c r="F20" i="31"/>
  <c r="D7" i="73"/>
  <c r="M29" i="67"/>
  <c r="M9" i="15"/>
  <c r="E2" i="69"/>
  <c r="F40" i="67"/>
  <c r="M26" i="67"/>
  <c r="F6" i="67"/>
  <c r="L47" i="67"/>
  <c r="M28" i="67"/>
  <c r="D6" i="73"/>
  <c r="B8" i="76"/>
  <c r="J15" i="67"/>
  <c r="J15" i="15"/>
  <c r="E10" i="76"/>
  <c r="B11" i="76"/>
  <c r="F16" i="15"/>
  <c r="D34" i="9"/>
  <c r="M9" i="67"/>
  <c r="F26" i="67"/>
  <c r="M23" i="15"/>
  <c r="F26" i="15"/>
  <c r="F36" i="67"/>
  <c r="F3" i="73"/>
  <c r="M22" i="15"/>
  <c r="C15" i="81" l="1"/>
  <c r="C18" i="81"/>
  <c r="O7" i="1"/>
  <c r="P7" i="1" s="1"/>
  <c r="D52" i="43"/>
  <c r="D54" i="43"/>
  <c r="BA24" i="3"/>
  <c r="BA21" i="3"/>
  <c r="G14" i="3"/>
  <c r="G5" i="3" s="1"/>
  <c r="B3" i="3" s="1"/>
  <c r="E44" i="3" s="1"/>
  <c r="BL15" i="3"/>
  <c r="AZ15" i="3" s="1"/>
  <c r="BL19" i="3"/>
  <c r="AZ19" i="3" s="1"/>
  <c r="BL21" i="3"/>
  <c r="AZ21" i="3" s="1"/>
  <c r="BA22" i="3"/>
  <c r="AZ22" i="3" s="1"/>
  <c r="BL24" i="3"/>
  <c r="BA25" i="3"/>
  <c r="AZ25" i="3" s="1"/>
  <c r="BA26" i="3"/>
  <c r="AZ26" i="3" s="1"/>
  <c r="BL28" i="3"/>
  <c r="AZ28" i="3" s="1"/>
  <c r="BL34" i="3"/>
  <c r="AZ34" i="3" s="1"/>
  <c r="C28" i="67"/>
  <c r="E19" i="71"/>
  <c r="E18" i="71" s="1"/>
  <c r="E17" i="71" s="1"/>
  <c r="E16" i="71" s="1"/>
  <c r="V20" i="71"/>
  <c r="AZ557" i="3"/>
  <c r="BL5" i="3"/>
  <c r="AC11" i="35"/>
  <c r="AC9" i="34"/>
  <c r="W9" i="34"/>
  <c r="AC34" i="35"/>
  <c r="W34" i="35"/>
  <c r="AB9" i="36"/>
  <c r="U9" i="36"/>
  <c r="D17" i="71"/>
  <c r="C16" i="71"/>
  <c r="D19" i="53"/>
  <c r="B38" i="72" s="1"/>
  <c r="D16" i="53"/>
  <c r="B34" i="72" s="1"/>
  <c r="W17" i="21"/>
  <c r="AC15" i="21"/>
  <c r="U12" i="39"/>
  <c r="AA27" i="40"/>
  <c r="G28" i="6"/>
  <c r="F29" i="6"/>
  <c r="E29" i="6" s="1"/>
  <c r="K15" i="1" s="1"/>
  <c r="U43" i="33"/>
  <c r="AA41" i="34"/>
  <c r="U12" i="35"/>
  <c r="AB12" i="35"/>
  <c r="AZ399" i="3"/>
  <c r="AZ404" i="3"/>
  <c r="AZ414" i="3"/>
  <c r="AZ449" i="3"/>
  <c r="AZ453" i="3"/>
  <c r="AZ455" i="3"/>
  <c r="AZ460" i="3"/>
  <c r="AA29" i="35"/>
  <c r="B73" i="43"/>
  <c r="B79" i="43"/>
  <c r="B76" i="43"/>
  <c r="B75" i="43"/>
  <c r="F9" i="34"/>
  <c r="AA9" i="34" s="1"/>
  <c r="F34" i="35"/>
  <c r="H34" i="35"/>
  <c r="J36" i="35"/>
  <c r="F23" i="36"/>
  <c r="H23" i="36"/>
  <c r="AZ409" i="3"/>
  <c r="AZ416" i="3"/>
  <c r="AZ425" i="3"/>
  <c r="AZ432" i="3"/>
  <c r="AZ445" i="3"/>
  <c r="AZ447" i="3"/>
  <c r="AZ464" i="3"/>
  <c r="AZ467" i="3"/>
  <c r="AZ474" i="3"/>
  <c r="AZ479" i="3"/>
  <c r="AZ485" i="3"/>
  <c r="AZ492" i="3"/>
  <c r="AZ210" i="3"/>
  <c r="AZ225" i="3"/>
  <c r="AZ239" i="3"/>
  <c r="AZ255" i="3"/>
  <c r="AZ262" i="3"/>
  <c r="AZ267" i="3"/>
  <c r="AZ278" i="3"/>
  <c r="AZ284" i="3"/>
  <c r="AZ292" i="3"/>
  <c r="AZ302" i="3"/>
  <c r="AZ113" i="3"/>
  <c r="AZ126" i="3"/>
  <c r="AZ129" i="3"/>
  <c r="AZ141" i="3"/>
  <c r="AZ205" i="3"/>
  <c r="AZ18" i="3"/>
  <c r="AZ23" i="3"/>
  <c r="AZ27" i="3"/>
  <c r="AZ52" i="3"/>
  <c r="AZ56" i="3"/>
  <c r="AZ145" i="3"/>
  <c r="AZ70" i="3"/>
  <c r="AZ92" i="3"/>
  <c r="AZ103" i="3"/>
  <c r="T40" i="71"/>
  <c r="D40" i="71"/>
  <c r="T44" i="71"/>
  <c r="D44" i="71"/>
  <c r="U18" i="36"/>
  <c r="D27" i="71"/>
  <c r="AB27" i="71"/>
  <c r="S28" i="71"/>
  <c r="AA29" i="71"/>
  <c r="Y9" i="71"/>
  <c r="Z9" i="71" s="1"/>
  <c r="Y10" i="71"/>
  <c r="Z10" i="71" s="1"/>
  <c r="AA9" i="71"/>
  <c r="AA10" i="71"/>
  <c r="AB24" i="71"/>
  <c r="Y22" i="71"/>
  <c r="Z22" i="71" s="1"/>
  <c r="AB23" i="71"/>
  <c r="Y21" i="71"/>
  <c r="Z21" i="71" s="1"/>
  <c r="AB21" i="71"/>
  <c r="AA21" i="71"/>
  <c r="X21" i="71"/>
  <c r="X17" i="71"/>
  <c r="Y17" i="71"/>
  <c r="Z17" i="71" s="1"/>
  <c r="AA17" i="71"/>
  <c r="AB18" i="71"/>
  <c r="Y14" i="71"/>
  <c r="Z14" i="71" s="1"/>
  <c r="X9" i="71"/>
  <c r="X10" i="71"/>
  <c r="AB10" i="71"/>
  <c r="AB9" i="71"/>
  <c r="V68" i="71"/>
  <c r="F67" i="71"/>
  <c r="X22" i="71"/>
  <c r="AA24" i="71"/>
  <c r="AA23" i="71"/>
  <c r="AA22" i="71"/>
  <c r="Y18" i="71"/>
  <c r="Z18" i="71" s="1"/>
  <c r="X18" i="71"/>
  <c r="AA18" i="71"/>
  <c r="X14" i="71"/>
  <c r="AA13" i="71"/>
  <c r="AB17" i="71"/>
  <c r="X24" i="71"/>
  <c r="Y24" i="71"/>
  <c r="Z24" i="71" s="1"/>
  <c r="AB15" i="71"/>
  <c r="AB12" i="71"/>
  <c r="AB14" i="71"/>
  <c r="AA12" i="71"/>
  <c r="X11" i="71"/>
  <c r="Y12" i="71"/>
  <c r="Z12" i="71" s="1"/>
  <c r="Y13" i="71"/>
  <c r="Z13" i="71" s="1"/>
  <c r="Y23" i="71"/>
  <c r="Z23" i="71" s="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AM6" i="3"/>
  <c r="E14" i="6"/>
  <c r="E63" i="39" s="1"/>
  <c r="I4" i="6"/>
  <c r="G3" i="43" s="1"/>
  <c r="F26" i="43" s="1"/>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M38" i="81" s="1"/>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C19" i="81" l="1"/>
  <c r="C20" i="81" s="1"/>
  <c r="C26" i="81" s="1"/>
  <c r="F11" i="81"/>
  <c r="M11" i="81"/>
  <c r="J10" i="81" s="1"/>
  <c r="J5" i="81" s="1"/>
  <c r="E29" i="3"/>
  <c r="AZ24" i="3"/>
  <c r="J26" i="43"/>
  <c r="E441" i="3"/>
  <c r="E77" i="3"/>
  <c r="E453"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186" i="3"/>
  <c r="E272" i="3"/>
  <c r="E210" i="3"/>
  <c r="E291" i="3"/>
  <c r="E331" i="3"/>
  <c r="E317" i="3"/>
  <c r="E384" i="3"/>
  <c r="E2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6" i="43"/>
  <c r="H26" i="43"/>
  <c r="AZ5" i="3"/>
  <c r="BA5" i="3"/>
  <c r="E27" i="6" s="1"/>
  <c r="K26" i="6" s="1"/>
  <c r="M26" i="6" s="1"/>
  <c r="I26" i="6" s="1"/>
  <c r="S26" i="6" s="1"/>
  <c r="F30" i="6"/>
  <c r="K16" i="1"/>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461" i="3"/>
  <c r="E122" i="3"/>
  <c r="N370" i="46"/>
  <c r="G26" i="43"/>
  <c r="B15" i="71"/>
  <c r="B14" i="71" s="1"/>
  <c r="B13" i="71" s="1"/>
  <c r="B12" i="71" s="1"/>
  <c r="S16" i="71"/>
  <c r="E238" i="3"/>
  <c r="E568" i="3"/>
  <c r="E156" i="3"/>
  <c r="AB23" i="36"/>
  <c r="U23" i="36"/>
  <c r="W36" i="35"/>
  <c r="AC36" i="35"/>
  <c r="S34" i="35"/>
  <c r="AA34" i="35"/>
  <c r="C15" i="71"/>
  <c r="T16" i="71"/>
  <c r="F66" i="71"/>
  <c r="Q67" i="71"/>
  <c r="AA23" i="36"/>
  <c r="S23" i="36"/>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C6" i="3" s="1"/>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4" i="3"/>
  <c r="E112" i="3"/>
  <c r="E49" i="3"/>
  <c r="E123" i="3"/>
  <c r="E206" i="3"/>
  <c r="E147" i="3"/>
  <c r="E232" i="3"/>
  <c r="E289" i="3"/>
  <c r="E251" i="3"/>
  <c r="E340" i="3"/>
  <c r="E370" i="3"/>
  <c r="E364" i="3"/>
  <c r="AF6" i="3"/>
  <c r="E50" i="3"/>
  <c r="E102" i="3"/>
  <c r="E80" i="3"/>
  <c r="E62" i="3"/>
  <c r="E113" i="3"/>
  <c r="E158" i="3"/>
  <c r="E287" i="3"/>
  <c r="E265" i="3"/>
  <c r="E365" i="3"/>
  <c r="E524" i="3"/>
  <c r="E101" i="3"/>
  <c r="E36" i="3"/>
  <c r="E20" i="3"/>
  <c r="E176" i="3"/>
  <c r="E218" i="3"/>
  <c r="E308" i="3"/>
  <c r="E326" i="3"/>
  <c r="E22" i="3"/>
  <c r="E83"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7" i="1"/>
  <c r="F41" i="81"/>
  <c r="AE6" i="1"/>
  <c r="L37" i="82" l="1"/>
  <c r="Q36" i="82"/>
  <c r="O36" i="82"/>
  <c r="M36" i="82"/>
  <c r="P36" i="82"/>
  <c r="N36" i="82"/>
  <c r="F69" i="81"/>
  <c r="J26" i="81"/>
  <c r="J29" i="81" s="1"/>
  <c r="J24" i="81"/>
  <c r="L36" i="43"/>
  <c r="L37" i="43" s="1"/>
  <c r="F24" i="81"/>
  <c r="C53" i="81"/>
  <c r="C48" i="81" s="1"/>
  <c r="C10" i="81"/>
  <c r="C5" i="81" s="1"/>
  <c r="E11" i="71"/>
  <c r="E10" i="71" s="1"/>
  <c r="E9" i="71" s="1"/>
  <c r="E8" i="71" s="1"/>
  <c r="E7" i="71" s="1"/>
  <c r="E6" i="71" s="1"/>
  <c r="E5" i="71" s="1"/>
  <c r="V12" i="71"/>
  <c r="Q66" i="71"/>
  <c r="Q65" i="71"/>
  <c r="C14" i="71"/>
  <c r="D15" i="71"/>
  <c r="E65" i="39"/>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82" l="1"/>
  <c r="N37" i="82"/>
  <c r="Q37" i="82"/>
  <c r="O37" i="82"/>
  <c r="M37" i="82"/>
  <c r="Q36" i="43"/>
  <c r="M36" i="43"/>
  <c r="P36" i="43"/>
  <c r="O36" i="43"/>
  <c r="N36" i="43"/>
  <c r="C38" i="81"/>
  <c r="C24" i="81"/>
  <c r="C23" i="81"/>
  <c r="C66" i="81"/>
  <c r="C60" i="8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29" i="81" l="1"/>
  <c r="H22" i="6"/>
  <c r="R22" i="6" s="1"/>
  <c r="R9" i="1" s="1"/>
  <c r="H21" i="6"/>
  <c r="C25" i="11"/>
  <c r="C22" i="11" s="1"/>
  <c r="C31" i="11" s="1"/>
  <c r="H25" i="6"/>
  <c r="C12" i="71"/>
  <c r="D13"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C6"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7" i="68"/>
  <c r="C5" i="68" s="1"/>
  <c r="C23" i="68" s="1"/>
  <c r="C57" i="81"/>
  <c r="C64" i="81" s="1"/>
  <c r="C36" i="81"/>
  <c r="J14" i="81"/>
  <c r="C13" i="81"/>
  <c r="Q49" i="81"/>
  <c r="C18" i="12"/>
  <c r="E2" i="70"/>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13" i="81" l="1"/>
  <c r="J23" i="81" s="1"/>
  <c r="J22" i="81"/>
  <c r="C75" i="81"/>
  <c r="Q70" i="81"/>
  <c r="C37" i="81"/>
  <c r="C56" i="81"/>
  <c r="C65" i="81" s="1"/>
  <c r="C21" i="12"/>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0" i="12" l="1"/>
  <c r="C28" i="12"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15"/>
  <c r="F35" i="67"/>
  <c r="M21" i="81"/>
  <c r="M21" i="67"/>
  <c r="F35" i="15"/>
  <c r="F63" i="81" l="1"/>
  <c r="C62" i="81" s="1"/>
  <c r="C59" i="81" s="1"/>
  <c r="C58" i="81" s="1"/>
  <c r="C67" i="81" s="1"/>
  <c r="C68" i="81" s="1"/>
  <c r="C34" i="81"/>
  <c r="C31" i="81" s="1"/>
  <c r="C30" i="81" s="1"/>
  <c r="C39" i="81" s="1"/>
  <c r="J20" i="81"/>
  <c r="J17" i="81" s="1"/>
  <c r="J16" i="81" s="1"/>
  <c r="J25"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Q69" i="81"/>
  <c r="Q68" i="81" s="1"/>
  <c r="C40" i="81"/>
  <c r="C46" i="81" s="1"/>
  <c r="C80" i="81"/>
  <c r="C79" i="81" s="1"/>
  <c r="C71" i="8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L51" i="81"/>
  <c r="C103" i="9" l="1"/>
  <c r="Q67" i="81"/>
  <c r="Q47" i="81"/>
  <c r="Q53" i="81" s="1"/>
  <c r="B2" i="81"/>
  <c r="B3" i="81" s="1"/>
  <c r="Q65" i="81"/>
  <c r="Q75" i="81" s="1"/>
  <c r="Q56" i="81"/>
  <c r="Q62" i="81" s="1"/>
  <c r="C43" i="81"/>
  <c r="C83" i="81"/>
  <c r="C82" i="81" s="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6" i="1"/>
  <c r="AO9" i="1"/>
  <c r="AO10" i="1"/>
  <c r="AO11"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H4" i="52" l="1"/>
  <c r="D14" i="74"/>
  <c r="G14" i="74" s="1"/>
  <c r="B6" i="74" s="1"/>
  <c r="D6" i="74" s="1"/>
  <c r="H101" i="9"/>
  <c r="D5" i="53" s="1"/>
  <c r="B20" i="72" s="1"/>
  <c r="I118" i="9"/>
  <c r="I4" i="52" s="1"/>
  <c r="G118" i="9"/>
  <c r="G4" i="52" s="1"/>
  <c r="B52" i="72" s="1"/>
  <c r="D119" i="9"/>
  <c r="D5" i="52" s="1"/>
  <c r="B49" i="72" s="1"/>
  <c r="H119" i="9"/>
  <c r="H5" i="52" s="1"/>
  <c r="F119" i="9"/>
  <c r="F5" i="52" s="1"/>
  <c r="B53" i="72" s="1"/>
  <c r="M48" i="9"/>
  <c r="C104" i="9"/>
  <c r="H102" i="9" l="1"/>
  <c r="D7" i="53" s="1"/>
  <c r="B21" i="72" s="1"/>
  <c r="C105" i="9"/>
  <c r="D6" i="53"/>
  <c r="B22" i="72" s="1"/>
  <c r="H107" i="9"/>
  <c r="E118" i="9"/>
  <c r="E4" i="52" s="1"/>
  <c r="B48" i="72" s="1"/>
  <c r="D45" i="9"/>
  <c r="D55" i="9" s="1"/>
  <c r="M53" i="9" s="1"/>
  <c r="F14" i="74"/>
  <c r="E14" i="74"/>
  <c r="B5" i="74"/>
  <c r="D5" i="74" s="1"/>
  <c r="H108" i="9" l="1"/>
  <c r="D15" i="53" s="1"/>
  <c r="B31" i="72" s="1"/>
  <c r="D13" i="53"/>
  <c r="D14" i="53" s="1"/>
  <c r="B32" i="72" s="1"/>
  <c r="C72" i="9"/>
  <c r="D122" i="9"/>
  <c r="D123" i="9" s="1"/>
  <c r="D9" i="52" s="1"/>
  <c r="D52" i="9"/>
  <c r="C78" i="9"/>
  <c r="C73" i="9" s="1"/>
  <c r="D53" i="9"/>
  <c r="C5" i="74"/>
  <c r="C85" i="9"/>
  <c r="C93" i="9"/>
  <c r="C86" i="9" s="1"/>
  <c r="C64" i="9"/>
  <c r="C63" i="9" s="1"/>
  <c r="C67" i="9" s="1"/>
  <c r="C68" i="9" s="1"/>
  <c r="D54" i="9" s="1"/>
  <c r="M49" i="9"/>
  <c r="L63" i="9" s="1"/>
  <c r="M63" i="9" s="1"/>
  <c r="C6" i="74"/>
  <c r="B30" i="72"/>
  <c r="D8" i="52" l="1"/>
  <c r="C79" i="9"/>
  <c r="C80" i="9" s="1"/>
  <c r="E80" i="9" s="1"/>
  <c r="E81" i="9" s="1"/>
  <c r="L66" i="9"/>
  <c r="M66" i="9" s="1"/>
  <c r="L65" i="9"/>
  <c r="M65" i="9" s="1"/>
  <c r="L68" i="9"/>
  <c r="M68" i="9" s="1"/>
  <c r="L67" i="9"/>
  <c r="M67" i="9" s="1"/>
  <c r="L64" i="9"/>
  <c r="M64" i="9" s="1"/>
  <c r="C95" i="9"/>
  <c r="C96" i="9" s="1"/>
  <c r="E96" i="9" s="1"/>
  <c r="E97" i="9" s="1"/>
  <c r="D59" i="9"/>
  <c r="M55" i="9" s="1"/>
  <c r="C97" i="9" l="1"/>
  <c r="D58" i="9" s="1"/>
  <c r="D56" i="9" s="1"/>
  <c r="M54" i="9" s="1"/>
  <c r="C81" i="9"/>
  <c r="N57" i="9"/>
  <c r="N58" i="9" s="1"/>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<sst xmlns="http://schemas.openxmlformats.org/spreadsheetml/2006/main" count="8725" uniqueCount="3511">
  <si>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</si>
  <si>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</si>
  <si>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</si>
  <si>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</si>
  <si>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</si>
  <si>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</si>
  <si>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</si>
  <si>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</si>
  <si>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</si>
  <si>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</si>
  <si>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</si>
  <si>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</si>
  <si>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</si>
  <si>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</si>
  <si>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</si>
  <si>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</si>
  <si>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</si>
  <si>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</si>
  <si>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</si>
  <si>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</si>
  <si>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</si>
  <si>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</si>
  <si>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</si>
  <si>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</si>
  <si>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</si>
  <si>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</si>
  <si>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</si>
  <si>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</si>
  <si>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</si>
  <si>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</si>
  <si>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</si>
  <si>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</si>
  <si>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</si>
  <si>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</si>
  <si>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</si>
  <si>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</si>
  <si>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</si>
  <si>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</si>
  <si>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</si>
  <si>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</si>
  <si>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</si>
  <si>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</si>
  <si>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</si>
  <si>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</si>
  <si>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</si>
  <si>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</si>
  <si>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</si>
  <si>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</si>
  <si>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</si>
  <si>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</si>
  <si>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</si>
  <si>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</si>
  <si>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</si>
  <si>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</si>
  <si>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</si>
  <si>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</si>
  <si>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</si>
  <si>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</si>
  <si>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</si>
  <si>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</si>
  <si>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</si>
  <si>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</si>
  <si>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</si>
  <si>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</si>
  <si>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</si>
  <si>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</si>
  <si>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</si>
  <si>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</si>
  <si>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</si>
  <si>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</si>
  <si>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</si>
  <si>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</si>
  <si>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</si>
  <si>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</si>
  <si>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</si>
  <si>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</si>
  <si>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</si>
  <si>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</si>
  <si>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</si>
  <si>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</si>
  <si>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</si>
  <si>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</si>
  <si>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</si>
  <si>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</si>
  <si>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</si>
  <si>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</si>
  <si>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</si>
  <si>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</si>
  <si>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</si>
  <si>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</si>
  <si>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</si>
  <si>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</si>
  <si>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</si>
  <si>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</si>
  <si>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</si>
  <si>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</si>
  <si>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</si>
  <si>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</si>
  <si>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</si>
  <si>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</si>
  <si>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</si>
  <si>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</si>
  <si>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</si>
  <si>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</si>
  <si>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</si>
  <si>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</si>
  <si>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</si>
  <si>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</si>
  <si>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</si>
  <si>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</si>
  <si>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</si>
  <si>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</si>
  <si>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</si>
  <si>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</si>
  <si>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</si>
  <si>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</si>
  <si>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</si>
  <si>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</si>
  <si>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</si>
  <si>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</si>
  <si>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</si>
  <si>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</si>
  <si>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</si>
  <si>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</si>
  <si>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</si>
  <si>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</si>
  <si>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</si>
  <si>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</si>
  <si>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</si>
  <si>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</si>
  <si>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</si>
  <si>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</si>
  <si>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</si>
  <si>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</si>
  <si>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</si>
  <si>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</si>
  <si>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</si>
  <si>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</si>
  <si>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</si>
  <si>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</si>
  <si>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</si>
  <si>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</si>
  <si>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</si>
  <si>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</si>
  <si>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</si>
  <si>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</si>
  <si>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</si>
  <si>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</si>
  <si>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</si>
  <si>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</si>
  <si>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</si>
  <si>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</si>
  <si>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</si>
  <si>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</si>
  <si>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</si>
  <si>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</si>
  <si>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</si>
  <si>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</si>
  <si>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</si>
  <si>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</si>
  <si>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</si>
  <si>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</si>
  <si>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</si>
  <si>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</si>
  <si>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</si>
  <si>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</si>
  <si>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</si>
  <si>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</si>
  <si>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</si>
  <si>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</si>
  <si>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</si>
  <si>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</si>
  <si>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</si>
  <si>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</si>
  <si>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</si>
  <si>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</si>
  <si>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</si>
  <si>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</si>
  <si>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</si>
  <si>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</si>
  <si>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</si>
  <si>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</si>
  <si>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</si>
  <si>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</si>
  <si>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</si>
  <si>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</si>
  <si>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</si>
  <si>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</si>
  <si>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</si>
  <si>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</si>
  <si>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</si>
  <si>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</si>
  <si>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</si>
  <si>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</si>
  <si>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</si>
  <si>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</si>
  <si>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</si>
  <si>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</si>
  <si>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</si>
  <si>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</si>
  <si>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</si>
  <si>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</si>
  <si>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</si>
  <si>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</si>
  <si>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</si>
  <si>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</si>
  <si>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</si>
  <si>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</si>
  <si>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</si>
  <si>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</si>
  <si>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</si>
  <si>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</si>
  <si>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</si>
  <si>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</si>
  <si>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</si>
  <si>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</si>
  <si>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</si>
  <si>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</si>
  <si>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</si>
  <si>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</si>
  <si>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</si>
  <si>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</si>
  <si>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</si>
  <si>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</si>
  <si>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</si>
  <si>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</si>
  <si>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</si>
  <si>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</si>
  <si>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</si>
  <si>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</si>
  <si>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</si>
  <si>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</si>
  <si>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</si>
  <si>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</si>
  <si>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</si>
  <si>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</si>
  <si>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</si>
  <si>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</si>
  <si>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</si>
  <si>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</si>
  <si>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</si>
  <si>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</si>
  <si>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</si>
  <si>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</si>
  <si>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</si>
  <si>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</si>
  <si>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</si>
  <si>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</si>
  <si>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</si>
  <si>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</si>
  <si>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</si>
  <si>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</si>
  <si>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</si>
  <si>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</si>
  <si>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</si>
  <si>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</si>
  <si>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</si>
  <si>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</si>
  <si>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</si>
  <si>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</si>
  <si>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</si>
  <si>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</si>
  <si>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</si>
  <si>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</si>
  <si>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</si>
  <si>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</si>
  <si>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</si>
  <si>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</si>
  <si>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</si>
  <si>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</si>
  <si>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</si>
  <si>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</si>
  <si>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</si>
  <si>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</si>
  <si>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</si>
  <si>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</si>
  <si>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</si>
  <si>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</si>
  <si>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</si>
  <si>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</si>
  <si>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</si>
  <si>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</si>
  <si>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</si>
  <si>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</si>
  <si>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</si>
  <si>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</si>
  <si>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</si>
  <si>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</si>
  <si>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</si>
  <si>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</si>
  <si>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</si>
  <si>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</si>
  <si>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</si>
  <si>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</si>
  <si>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</si>
  <si>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</si>
  <si>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</si>
  <si>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</si>
  <si>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</si>
  <si>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</si>
  <si>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</si>
  <si>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</si>
  <si>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</si>
  <si>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</si>
  <si>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</si>
  <si>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</si>
  <si>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</si>
  <si>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</si>
  <si>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</si>
  <si>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</si>
  <si>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</si>
  <si>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</si>
  <si>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</si>
  <si>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</si>
  <si>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</si>
  <si>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</si>
  <si>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</si>
  <si>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</si>
  <si>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</si>
  <si>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</si>
  <si>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</si>
  <si>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</si>
  <si>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</si>
  <si>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</si>
  <si>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</si>
  <si>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</si>
  <si>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</si>
  <si>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</si>
  <si>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</si>
  <si>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</si>
  <si>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</si>
  <si>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</si>
  <si>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</si>
  <si>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</si>
  <si>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</si>
  <si>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</si>
  <si>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</si>
  <si>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</si>
  <si>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</si>
  <si>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</si>
  <si>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</si>
  <si>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</si>
  <si>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</si>
  <si>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</si>
  <si>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</si>
  <si>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</si>
  <si>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</si>
  <si>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</si>
  <si>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</si>
  <si>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</si>
  <si>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</si>
  <si>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</si>
  <si>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</si>
  <si>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</si>
  <si>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</si>
  <si>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</si>
  <si>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</si>
  <si>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</si>
  <si>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</si>
  <si>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</si>
  <si>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</si>
  <si>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</si>
  <si>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</si>
  <si>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</si>
  <si>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</si>
  <si>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</si>
  <si>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</si>
  <si>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</si>
  <si>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</si>
  <si>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</si>
  <si>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</si>
  <si>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</si>
  <si>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</si>
  <si>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</si>
  <si>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</si>
  <si>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</si>
  <si>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</si>
  <si>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</si>
  <si>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</si>
  <si>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</si>
  <si>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</si>
  <si>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</si>
  <si>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</si>
  <si>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</si>
  <si>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</si>
  <si>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</si>
  <si>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</si>
  <si>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</si>
  <si>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</si>
  <si>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</si>
  <si>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</si>
  <si>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</si>
  <si>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</si>
  <si>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</si>
  <si>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</si>
  <si>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</si>
  <si>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</si>
  <si>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</si>
  <si>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</si>
  <si>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</si>
  <si>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</si>
  <si>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</si>
  <si>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</si>
  <si>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</si>
  <si>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</si>
  <si>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</si>
  <si>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</si>
  <si>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</si>
  <si>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</si>
  <si>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</si>
  <si>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</si>
  <si>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</si>
  <si>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</si>
  <si>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</si>
  <si>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</si>
  <si>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</si>
  <si>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</si>
  <si>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</si>
  <si>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</si>
  <si>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</si>
  <si>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</si>
  <si>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</si>
  <si>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</si>
  <si>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</si>
  <si>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</si>
  <si>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</si>
  <si>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</si>
  <si>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</si>
  <si>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</si>
  <si>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</si>
  <si>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</si>
  <si>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</si>
  <si>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</si>
  <si>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</si>
  <si>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</si>
  <si>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</si>
  <si>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</si>
  <si>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</si>
  <si>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</si>
  <si>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</si>
  <si>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</si>
  <si>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</si>
  <si>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</si>
  <si>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</si>
  <si>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</si>
  <si>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</si>
  <si>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</si>
  <si>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</si>
  <si>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</si>
  <si>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</si>
  <si>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</si>
  <si>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</si>
  <si>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</si>
  <si>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</si>
  <si>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</si>
  <si>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</si>
  <si>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</si>
  <si>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</si>
  <si>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</si>
  <si>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</si>
  <si>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</si>
  <si>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</si>
  <si>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</si>
  <si>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</si>
  <si>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</si>
  <si>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</si>
  <si>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</si>
  <si>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</si>
  <si>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</si>
  <si>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</si>
  <si>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</si>
  <si>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</si>
  <si>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</si>
  <si>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</si>
  <si>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</si>
  <si>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</si>
  <si>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</si>
  <si>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</si>
  <si>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</si>
  <si>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</si>
  <si>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</si>
  <si>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</si>
  <si>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</si>
  <si>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</si>
  <si>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</si>
  <si>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</si>
  <si>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</si>
  <si>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</si>
  <si>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</si>
  <si>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</si>
  <si>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</si>
  <si>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</si>
  <si>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</si>
  <si>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</si>
  <si>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</si>
  <si>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</si>
  <si>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</si>
  <si>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</si>
  <si>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</si>
  <si>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</si>
  <si>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</si>
  <si>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</si>
  <si>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</si>
  <si>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</si>
  <si>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</si>
  <si>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</si>
  <si>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</si>
  <si>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</si>
  <si>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</si>
  <si>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</si>
  <si>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</si>
  <si>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</si>
  <si>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</si>
  <si>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</si>
  <si>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</si>
  <si>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</si>
  <si>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</si>
  <si>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</si>
  <si>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</si>
  <si>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</si>
  <si>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</si>
  <si>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</si>
  <si>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</si>
  <si>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</si>
  <si>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</si>
  <si>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</si>
  <si>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</si>
  <si>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</si>
  <si>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</si>
  <si>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</si>
  <si>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</si>
  <si>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</si>
  <si>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</si>
  <si>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</si>
  <si>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</si>
  <si>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</si>
  <si>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</si>
  <si>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</si>
  <si>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</si>
  <si>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</si>
  <si>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</si>
  <si>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</si>
  <si>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</si>
  <si>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</si>
  <si>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</si>
  <si>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</si>
  <si>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</si>
  <si>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</si>
  <si>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</si>
  <si>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</si>
  <si>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</si>
  <si>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</si>
  <si>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</si>
  <si>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</si>
  <si>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</si>
  <si>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</si>
  <si>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</si>
  <si>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</si>
  <si>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</si>
  <si>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</si>
  <si>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</si>
  <si>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</si>
  <si>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</si>
  <si>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</si>
  <si>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</si>
  <si>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</si>
  <si>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</si>
  <si>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</si>
  <si>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</si>
  <si>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</si>
  <si>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</si>
  <si>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</si>
  <si>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</si>
  <si>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</si>
  <si>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</si>
  <si>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</si>
  <si>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</si>
  <si>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</si>
  <si>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</si>
  <si>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</si>
  <si>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</si>
  <si>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</si>
  <si>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</si>
  <si>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</si>
  <si>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</si>
  <si>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</si>
  <si>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</si>
  <si>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</si>
  <si>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</si>
  <si>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</si>
  <si>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</si>
  <si>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</si>
  <si>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</si>
  <si>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</si>
  <si>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</si>
  <si>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</si>
  <si>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</si>
  <si>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</si>
  <si>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</si>
  <si>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</si>
  <si>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</si>
  <si>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</si>
  <si>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</si>
  <si>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</si>
  <si>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</si>
  <si>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</si>
  <si>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</si>
  <si>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</si>
  <si>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</si>
  <si>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</si>
  <si>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</si>
  <si>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</si>
  <si>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</si>
  <si>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</si>
  <si>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</si>
  <si>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</si>
  <si>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</si>
  <si>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</si>
  <si>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</si>
  <si>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</si>
  <si>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</si>
  <si>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</si>
  <si>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</si>
  <si>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</si>
  <si>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</si>
  <si>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</si>
  <si>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</si>
  <si>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</si>
  <si>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</si>
  <si>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</si>
  <si>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</si>
  <si>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</si>
  <si>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</si>
  <si>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</si>
  <si>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</si>
  <si>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</si>
  <si>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</si>
  <si>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</si>
  <si>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</si>
  <si>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</si>
  <si>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</si>
  <si>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</si>
  <si>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</si>
  <si>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</si>
  <si>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</si>
  <si>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</si>
  <si>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</si>
  <si>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</si>
  <si>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</si>
  <si>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</si>
  <si>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</si>
  <si>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</si>
  <si>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</si>
  <si>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</si>
  <si>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</si>
  <si>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</si>
  <si>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</si>
  <si>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</si>
  <si>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</si>
  <si>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</si>
  <si>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</si>
  <si>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</si>
  <si>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</si>
  <si>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</si>
  <si>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</si>
  <si>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</si>
  <si>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</si>
  <si>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</si>
  <si>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</si>
  <si>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</si>
  <si>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</si>
  <si>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</si>
  <si>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</si>
  <si>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</si>
  <si>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</si>
  <si>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</si>
  <si>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</si>
  <si>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</si>
  <si>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</si>
  <si>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</si>
  <si>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</si>
  <si>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</si>
  <si>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</si>
  <si>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</si>
  <si>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</si>
  <si>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</si>
  <si>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</si>
  <si>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</si>
  <si>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</si>
  <si>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</si>
  <si>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</si>
  <si>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</si>
  <si>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</si>
  <si>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</si>
  <si>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</si>
  <si>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</si>
  <si>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</si>
  <si>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</si>
  <si>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</si>
  <si>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</si>
  <si>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</si>
  <si>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</si>
  <si>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</si>
  <si>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</si>
  <si>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</si>
  <si>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</si>
  <si>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</si>
  <si>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</si>
  <si>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</si>
  <si>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</si>
  <si>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</si>
  <si>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</si>
  <si>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</si>
  <si>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</si>
  <si>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</si>
  <si>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</si>
  <si>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</si>
  <si>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</si>
  <si>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</si>
  <si>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</si>
  <si>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</si>
  <si>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</si>
  <si>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</si>
  <si>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</si>
  <si>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</si>
  <si>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</si>
  <si>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</si>
  <si>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</si>
  <si>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</si>
  <si>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</si>
  <si>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</si>
  <si>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</si>
  <si>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</si>
  <si>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</si>
  <si>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</si>
  <si>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</si>
  <si>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</si>
  <si>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</si>
  <si>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</si>
  <si>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</si>
  <si>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</si>
  <si>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</si>
  <si>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</si>
  <si>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</si>
  <si>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</si>
  <si>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</si>
  <si>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</si>
  <si>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</si>
  <si>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</si>
  <si>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</si>
  <si>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</si>
  <si>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</si>
  <si>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</si>
  <si>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</si>
  <si>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</si>
  <si>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</si>
  <si>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</si>
  <si>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</si>
  <si>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</si>
  <si>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</si>
  <si>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</si>
  <si>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</si>
  <si>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</si>
  <si>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</si>
  <si>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</si>
  <si>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</si>
  <si>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</si>
  <si>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</si>
  <si>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</si>
  <si>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</si>
  <si>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</si>
  <si>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</si>
  <si>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</si>
  <si>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</si>
  <si>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</si>
  <si>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</si>
  <si>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</si>
  <si>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</si>
  <si>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</si>
  <si>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</si>
  <si>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</si>
  <si>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</si>
  <si>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</si>
  <si>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</si>
  <si>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</si>
  <si>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</si>
  <si>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</si>
  <si>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</si>
  <si>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</si>
  <si>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</si>
  <si>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</si>
  <si>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</si>
  <si>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</si>
  <si>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</si>
  <si>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</si>
  <si>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</si>
  <si>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</si>
  <si>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</si>
  <si>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</si>
  <si>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</si>
  <si>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</si>
  <si>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</si>
  <si>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</si>
  <si>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</si>
  <si>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</si>
  <si>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</si>
  <si>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</si>
  <si>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</si>
  <si>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</si>
  <si>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</si>
  <si>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</si>
  <si>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</si>
  <si>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</si>
  <si>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</si>
  <si>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</si>
  <si>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</si>
  <si>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</si>
  <si>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</si>
  <si>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</si>
  <si>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</si>
  <si>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</si>
  <si>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</si>
  <si>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</si>
  <si>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</si>
  <si>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</si>
  <si>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</si>
  <si>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</si>
  <si>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</si>
  <si>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</si>
  <si>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</si>
  <si>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</si>
  <si>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</si>
  <si>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</si>
  <si>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</si>
  <si>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</si>
  <si>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</si>
  <si>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</si>
  <si>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</si>
  <si>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</si>
  <si>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</si>
  <si>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</si>
  <si>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</si>
  <si>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</si>
  <si>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</si>
  <si>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</si>
  <si>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</si>
  <si>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</si>
  <si>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</si>
  <si>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</si>
  <si>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</si>
  <si>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</si>
  <si>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</si>
  <si>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</si>
  <si>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</si>
  <si>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</si>
  <si>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</si>
  <si>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</si>
  <si>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</si>
  <si>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</si>
  <si>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</si>
  <si>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</si>
  <si>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</si>
  <si>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</si>
  <si>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</si>
  <si>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</si>
  <si>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</si>
  <si>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</si>
  <si>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</si>
  <si>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</si>
  <si>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</si>
  <si>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</si>
  <si>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</si>
  <si>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</si>
  <si>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</si>
  <si>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</si>
  <si>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</si>
  <si>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</si>
  <si>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</si>
  <si>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</si>
  <si>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</si>
  <si>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</si>
  <si>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</si>
  <si>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</si>
  <si>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</si>
  <si>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</si>
  <si>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</si>
  <si>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</si>
  <si>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</si>
  <si>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</si>
  <si>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</si>
  <si>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</si>
  <si>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</si>
  <si>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</si>
  <si>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</si>
  <si>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</si>
  <si>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</si>
  <si>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</si>
  <si>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</si>
  <si>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</si>
  <si>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</si>
  <si>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</si>
  <si>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</si>
  <si>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</si>
  <si>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</si>
  <si>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</si>
  <si>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</si>
  <si>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</si>
  <si>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</si>
  <si>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</si>
  <si>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</si>
  <si>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</si>
  <si>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</si>
  <si>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</si>
  <si>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</si>
  <si>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</si>
  <si>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</si>
  <si>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</si>
  <si>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</si>
  <si>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</si>
  <si>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</si>
  <si>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</si>
  <si>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</si>
  <si>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</si>
  <si>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</si>
  <si>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</si>
  <si>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</si>
  <si>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</si>
  <si>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</si>
  <si>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</si>
  <si>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</si>
  <si>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</si>
  <si>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</si>
  <si>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</si>
  <si>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</si>
  <si>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</si>
  <si>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</si>
  <si>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</si>
  <si>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</si>
  <si>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</si>
  <si>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</si>
  <si>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</si>
  <si>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</si>
  <si>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</si>
  <si>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</si>
  <si>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</si>
  <si>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</si>
  <si>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</si>
  <si>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</si>
  <si>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</si>
  <si>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</si>
  <si>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</si>
  <si>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</si>
  <si>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</si>
  <si>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</si>
  <si>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</si>
  <si>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</si>
  <si>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</si>
  <si>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</si>
  <si>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</si>
  <si>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</si>
  <si>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</si>
  <si>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</si>
  <si>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</si>
  <si>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</si>
  <si>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</si>
  <si>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</si>
  <si>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</si>
  <si>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</si>
  <si>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</si>
  <si>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</si>
  <si>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</si>
  <si>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</si>
  <si>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</si>
  <si>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</si>
  <si>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</si>
  <si>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</si>
  <si>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</si>
  <si>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</si>
  <si>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</si>
  <si>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</si>
  <si>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</si>
  <si>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</si>
  <si>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</si>
  <si>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</si>
  <si>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</si>
  <si>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</si>
  <si>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</si>
  <si>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</si>
  <si>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</si>
  <si>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</si>
  <si>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</si>
  <si>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</si>
  <si>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</si>
  <si>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</si>
  <si>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</si>
  <si>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</si>
  <si>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</si>
  <si>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</si>
  <si>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</si>
  <si>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</si>
  <si>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</si>
  <si>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</si>
  <si>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</si>
  <si>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</si>
  <si>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</si>
  <si>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</si>
  <si>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</si>
  <si>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</si>
  <si>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</si>
  <si>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</si>
  <si>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</si>
  <si>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</si>
  <si>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</si>
  <si>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</si>
  <si>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</si>
  <si>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</si>
  <si>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</si>
  <si>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</si>
  <si>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</si>
  <si>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</si>
  <si>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</si>
  <si>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</si>
  <si>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</si>
  <si>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</si>
  <si>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</si>
  <si>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</si>
  <si>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</si>
  <si>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</si>
  <si>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</si>
  <si>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</si>
  <si>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</si>
  <si>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</si>
  <si>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</si>
  <si>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</si>
  <si>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</si>
  <si>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</si>
  <si>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</si>
  <si>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</si>
  <si>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</si>
  <si>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</si>
  <si>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</si>
  <si>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</si>
  <si>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</si>
  <si>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</si>
  <si>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</si>
  <si>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</si>
  <si>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</si>
  <si>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</si>
  <si>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</si>
  <si>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</si>
  <si>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</si>
  <si>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</si>
  <si>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</si>
  <si>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</si>
  <si>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</si>
  <si>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</si>
  <si>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</si>
  <si>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</si>
  <si>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</si>
  <si>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</si>
  <si>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</si>
  <si>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</si>
  <si>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</si>
  <si>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</si>
  <si>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</si>
  <si>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</si>
  <si>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</si>
  <si>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</si>
  <si>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</si>
  <si>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</si>
  <si>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</si>
  <si>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</si>
  <si>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</si>
  <si>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</si>
  <si>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</si>
  <si>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</si>
  <si>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</si>
  <si>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</si>
  <si>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</si>
  <si>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</si>
  <si>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</si>
  <si>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</si>
  <si>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</si>
  <si>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</si>
  <si>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</si>
  <si>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</si>
  <si>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</si>
  <si>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</si>
  <si>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</si>
  <si>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</si>
  <si>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</si>
  <si>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</si>
  <si>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</si>
  <si>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</si>
  <si>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</si>
  <si>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</si>
  <si>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</si>
  <si>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</si>
  <si>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</si>
  <si>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</si>
  <si>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</si>
  <si>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</si>
  <si>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</si>
  <si>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</si>
  <si>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</si>
  <si>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</si>
  <si>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</si>
  <si>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</si>
  <si>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</si>
  <si>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</si>
  <si>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</si>
  <si>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</si>
  <si>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</si>
  <si>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</si>
  <si>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</si>
  <si>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</si>
  <si>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</si>
  <si>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</si>
  <si>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</si>
  <si>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</si>
  <si>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</si>
  <si>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</si>
  <si>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</si>
  <si>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</si>
  <si>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</si>
  <si>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</si>
  <si>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</si>
  <si>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</si>
  <si>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</si>
  <si>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</si>
  <si>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</si>
  <si>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</si>
  <si>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</si>
  <si>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</si>
  <si>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</si>
  <si>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</si>
  <si>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</si>
  <si>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</si>
  <si>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</si>
  <si>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</si>
  <si>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</si>
  <si>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</si>
  <si>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</si>
  <si>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</si>
  <si>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</si>
  <si>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</si>
  <si>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</si>
  <si>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</si>
  <si>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</si>
  <si>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</si>
  <si>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</si>
  <si>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</si>
  <si>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</si>
  <si>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</si>
  <si>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</si>
  <si>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</si>
  <si>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</si>
  <si>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</si>
  <si>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</si>
  <si>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</si>
  <si>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</si>
  <si>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</si>
  <si>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</si>
  <si>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</si>
  <si>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</si>
  <si>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</si>
  <si>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</si>
  <si>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</si>
  <si>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</si>
  <si>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</si>
  <si>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</si>
  <si>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</si>
  <si>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</si>
  <si>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</si>
  <si>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</si>
  <si>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</si>
  <si>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</si>
  <si>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</si>
  <si>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</si>
  <si>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</si>
  <si>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</si>
  <si>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</si>
  <si>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</si>
  <si>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</si>
  <si>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</si>
  <si>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</si>
  <si>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</si>
  <si>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</si>
  <si>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</si>
  <si>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</si>
  <si>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</si>
  <si>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</si>
  <si>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</si>
  <si>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</si>
  <si>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</si>
  <si>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</si>
  <si>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</si>
  <si>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</si>
  <si>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</si>
  <si>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</si>
  <si>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</si>
  <si>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</si>
  <si>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</si>
  <si>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</si>
  <si>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</si>
  <si>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</si>
  <si>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</si>
  <si>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</si>
  <si>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</si>
  <si>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</si>
  <si>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</si>
  <si>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</si>
  <si>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</si>
  <si>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</si>
  <si>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</si>
  <si>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</si>
  <si>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</si>
  <si>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</si>
  <si>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</si>
  <si>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</si>
  <si>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</si>
  <si>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</si>
  <si>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</si>
  <si>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</si>
  <si>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</si>
  <si>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</si>
  <si>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</si>
  <si>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</si>
  <si>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</si>
  <si>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</si>
  <si>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</si>
  <si>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</si>
  <si>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</si>
  <si>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</si>
  <si>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</si>
  <si>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</si>
  <si>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</si>
  <si>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</si>
  <si>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</si>
  <si>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</si>
  <si>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</si>
  <si>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</si>
  <si>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</si>
  <si>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</si>
  <si>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</si>
  <si>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</si>
  <si>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</si>
  <si>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</si>
  <si>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</si>
  <si>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</si>
  <si>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</si>
  <si>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</si>
  <si>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</si>
  <si>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</si>
  <si>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</si>
  <si>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</si>
  <si>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</si>
  <si>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</si>
  <si>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</si>
  <si>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</si>
  <si>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</si>
  <si>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</si>
  <si>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</si>
  <si>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</si>
  <si>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</si>
  <si>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</si>
  <si>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</si>
  <si>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</si>
  <si>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</si>
  <si>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</si>
  <si>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</si>
  <si>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</si>
  <si>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</si>
  <si>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</si>
  <si>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</si>
  <si>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</si>
  <si>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</si>
  <si>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</si>
  <si>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</si>
  <si>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</si>
  <si>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</si>
  <si>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</si>
  <si>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</si>
  <si>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</si>
  <si>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</si>
  <si>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</si>
  <si>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</si>
  <si>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</si>
  <si>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</si>
  <si>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</si>
  <si>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</si>
  <si>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</si>
  <si>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</si>
  <si>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</si>
  <si>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</si>
  <si>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</si>
  <si>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</si>
  <si>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</si>
  <si>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</si>
  <si>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</si>
  <si>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</si>
  <si>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</si>
  <si>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</si>
  <si>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</si>
  <si>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</si>
  <si>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</si>
  <si>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</si>
  <si>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</si>
  <si>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</si>
  <si>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</si>
  <si>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</si>
  <si>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</si>
  <si>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</si>
  <si>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</si>
  <si>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</si>
  <si>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</si>
  <si>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</si>
  <si>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</si>
  <si>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</si>
  <si>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</si>
  <si>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</si>
  <si>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</si>
  <si>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</si>
  <si>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</si>
  <si>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</si>
  <si>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</si>
  <si>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</si>
  <si>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</si>
  <si>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</si>
  <si>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</si>
  <si>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</si>
  <si>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</si>
  <si>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</si>
  <si>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</si>
  <si>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</si>
  <si>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</si>
  <si>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</si>
  <si>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</si>
  <si>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</si>
  <si>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</si>
  <si>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</si>
  <si>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</si>
  <si>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</si>
  <si>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</si>
  <si>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</si>
  <si>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</si>
  <si>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</si>
  <si>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</si>
  <si>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</si>
  <si>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</si>
  <si>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</si>
  <si>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</si>
  <si>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</si>
  <si>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</si>
  <si>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</si>
  <si>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</si>
  <si>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</si>
  <si>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</si>
  <si>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</si>
  <si>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</si>
  <si>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</si>
  <si>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</si>
  <si>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</si>
  <si>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</si>
  <si>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</si>
  <si>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</si>
  <si>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</si>
  <si>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</si>
  <si>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</si>
  <si>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</si>
  <si>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</si>
  <si>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</si>
  <si>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</si>
  <si>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</si>
  <si>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</si>
  <si>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</si>
  <si>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</si>
  <si>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</si>
  <si>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</si>
  <si>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</si>
  <si>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</si>
  <si>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</si>
  <si>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</si>
  <si>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</si>
  <si>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</si>
  <si>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</si>
  <si>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</si>
  <si>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</si>
  <si>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</si>
  <si>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</si>
  <si>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</si>
  <si>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</si>
  <si>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</si>
  <si>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</si>
  <si>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</si>
  <si>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</si>
  <si>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</si>
  <si>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</si>
  <si>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</si>
  <si>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</si>
  <si>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</si>
  <si>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</si>
  <si>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</si>
  <si>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</si>
  <si>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</si>
  <si>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</si>
  <si>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</si>
  <si>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</si>
  <si>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</si>
  <si>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</si>
  <si>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</si>
  <si>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</si>
  <si>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</si>
  <si>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</si>
  <si>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</si>
  <si>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</si>
  <si>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</si>
  <si>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</si>
  <si>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</si>
  <si>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</si>
  <si>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</si>
  <si>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</si>
  <si>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</si>
  <si>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</si>
  <si>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</si>
  <si>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</si>
  <si>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</si>
  <si>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</si>
  <si>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</si>
  <si>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</si>
  <si>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</si>
  <si>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</si>
  <si>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</si>
  <si>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</si>
  <si>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</si>
  <si>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</si>
  <si>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</si>
  <si>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</si>
  <si>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</si>
  <si>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</si>
  <si>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</si>
  <si>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</si>
  <si>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</si>
  <si>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</si>
  <si>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</si>
  <si>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</si>
  <si>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</si>
  <si>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</si>
  <si>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</si>
  <si>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</si>
  <si>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</si>
  <si>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</si>
  <si>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</si>
  <si>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</si>
  <si>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</si>
  <si>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</si>
  <si>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</si>
  <si>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</si>
  <si>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</si>
  <si>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</si>
  <si>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</si>
  <si>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</si>
  <si>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</si>
  <si>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</si>
  <si>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</si>
  <si>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</si>
  <si>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</si>
  <si>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</si>
  <si>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</si>
  <si>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</si>
  <si>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</si>
  <si>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</si>
  <si>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</si>
  <si>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</si>
  <si>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</si>
  <si>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</si>
  <si>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</si>
  <si>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</si>
  <si>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</si>
  <si>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</si>
  <si>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</si>
  <si>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</si>
  <si>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</si>
  <si>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</si>
  <si>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</si>
  <si>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</si>
  <si>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</si>
  <si>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</si>
  <si>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</si>
  <si>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</si>
  <si>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</si>
  <si>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</si>
  <si>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</si>
  <si>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</si>
  <si>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</si>
  <si>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</si>
  <si>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</si>
  <si>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</si>
  <si>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</si>
  <si>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</si>
  <si>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</si>
  <si>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</si>
  <si>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</si>
  <si>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</si>
  <si>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</si>
  <si>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</si>
  <si>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</si>
  <si>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</si>
  <si>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</si>
  <si>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</si>
  <si>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</si>
  <si>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</si>
  <si>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</si>
  <si>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</si>
  <si>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</si>
  <si>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</si>
  <si>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</si>
  <si>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</si>
  <si>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</si>
  <si>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</si>
  <si>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</si>
  <si>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</si>
  <si>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</si>
  <si>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</si>
  <si>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</si>
  <si>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</si>
  <si>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</si>
  <si>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</si>
  <si>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</si>
  <si>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</si>
  <si>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</si>
  <si>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</si>
  <si>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</si>
  <si>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</si>
  <si>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</si>
  <si>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</si>
  <si>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</si>
  <si>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</si>
  <si>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</si>
  <si>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</si>
  <si>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</si>
  <si>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</si>
  <si>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</si>
  <si>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</si>
  <si>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</si>
  <si>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</si>
  <si>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</si>
  <si>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</si>
  <si>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</si>
  <si>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</si>
  <si>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</si>
  <si>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</si>
  <si>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</si>
  <si>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</si>
  <si>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</si>
  <si>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</si>
  <si>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</si>
  <si>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</si>
  <si>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</si>
  <si>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</si>
  <si>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</si>
  <si>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</si>
  <si>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</si>
  <si>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</si>
  <si>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</si>
  <si>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</si>
  <si>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</si>
  <si>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</si>
  <si>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</si>
  <si>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</si>
  <si>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</si>
  <si>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</si>
  <si>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</si>
  <si>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</si>
  <si>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</si>
  <si>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</si>
  <si>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</si>
  <si>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</si>
  <si>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</si>
  <si>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</si>
  <si>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</si>
  <si>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</si>
  <si>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</si>
  <si>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</si>
  <si>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</si>
  <si>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</si>
  <si>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</si>
  <si>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</si>
  <si>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</si>
  <si>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</si>
  <si>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</si>
  <si>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</si>
  <si>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</si>
  <si>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</si>
  <si>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</si>
  <si>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</si>
  <si>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</si>
  <si>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</si>
  <si>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</si>
  <si>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</si>
  <si>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</si>
  <si>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</si>
  <si>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</si>
  <si>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</si>
  <si>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</si>
  <si>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</si>
  <si>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</si>
  <si>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</si>
  <si>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</si>
  <si>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</si>
  <si>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</si>
  <si>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</si>
  <si>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</si>
  <si>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</si>
  <si>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</si>
  <si>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</si>
  <si>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</si>
  <si>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</si>
  <si>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</si>
  <si>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</si>
  <si>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</si>
  <si>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</si>
  <si>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</si>
  <si>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</si>
  <si>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</si>
  <si>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</si>
  <si>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</si>
  <si>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</si>
  <si>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</si>
  <si>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</si>
  <si>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</si>
  <si>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</si>
  <si>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</si>
  <si>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</si>
  <si>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</si>
  <si>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</si>
  <si>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</si>
  <si>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</si>
  <si>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</si>
  <si>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</si>
  <si>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</si>
  <si>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</si>
  <si>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</si>
  <si>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</si>
  <si>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</si>
  <si>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</si>
  <si>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</si>
  <si>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</si>
  <si>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</si>
  <si>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</si>
  <si>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</si>
  <si>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</si>
  <si>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</si>
  <si>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</si>
  <si>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</si>
  <si>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</si>
  <si>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</si>
  <si>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</si>
  <si>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</si>
  <si>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</si>
  <si>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</si>
  <si>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</si>
  <si>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</si>
  <si>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</si>
  <si>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</si>
  <si>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</si>
  <si>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</si>
  <si>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</si>
  <si>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</si>
  <si>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</si>
  <si>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</si>
  <si>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</si>
  <si>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</si>
  <si>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</si>
  <si>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</si>
  <si>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</si>
  <si>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</si>
  <si>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</si>
  <si>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</si>
  <si>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</si>
  <si>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</si>
  <si>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</si>
  <si>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</si>
  <si>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</si>
  <si>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</si>
  <si>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</si>
  <si>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</si>
  <si>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</si>
  <si>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</si>
  <si>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</si>
  <si>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</si>
  <si>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</si>
  <si>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</si>
  <si>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</si>
  <si>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</si>
  <si>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</si>
  <si>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</si>
  <si>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</si>
  <si>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</si>
  <si>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</si>
  <si>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</si>
  <si>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</si>
  <si>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</si>
  <si>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</si>
  <si>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</si>
  <si>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</si>
  <si>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</si>
  <si>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</si>
  <si>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</si>
  <si>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</si>
  <si>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</si>
  <si>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</si>
  <si>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</si>
  <si>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</si>
  <si>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</si>
  <si>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</si>
  <si>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</si>
  <si>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</si>
  <si>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</si>
  <si>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</si>
  <si>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</si>
  <si>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</si>
  <si>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</si>
  <si>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</si>
  <si>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</si>
  <si>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</si>
  <si>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</si>
  <si>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</si>
  <si>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</si>
  <si>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</si>
  <si>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</si>
  <si>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</si>
  <si>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</si>
  <si>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</si>
  <si>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</si>
  <si>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</si>
  <si>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</si>
  <si>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</si>
  <si>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</si>
  <si>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</si>
  <si>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</si>
  <si>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</si>
  <si>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</si>
  <si>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</si>
  <si>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</si>
  <si>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</si>
  <si>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</si>
  <si>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</si>
  <si>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</si>
  <si>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</si>
  <si>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</si>
  <si>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</si>
  <si>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</si>
  <si>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</si>
  <si>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</si>
  <si>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</si>
  <si>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</si>
  <si>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</si>
  <si>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</si>
  <si>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</si>
  <si>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</si>
  <si>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</si>
  <si>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</si>
  <si>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</si>
  <si>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</si>
  <si>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</si>
  <si>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</si>
  <si>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</si>
  <si>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</si>
  <si>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</si>
  <si>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</si>
  <si>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</si>
  <si>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</si>
  <si>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</si>
  <si>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</si>
  <si>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</si>
  <si>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</si>
  <si>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</si>
  <si>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</si>
  <si>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</si>
  <si>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</si>
  <si>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</si>
  <si>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</si>
  <si>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</si>
  <si>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</si>
  <si>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</si>
  <si>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</si>
  <si>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</si>
  <si>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</si>
  <si>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</si>
  <si>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</si>
  <si>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</si>
  <si>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</si>
  <si>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</si>
  <si>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</si>
  <si>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</si>
  <si>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</si>
  <si>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</si>
  <si>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</si>
  <si>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</si>
  <si>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</si>
  <si>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</si>
  <si>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</si>
  <si>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</si>
  <si>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</si>
  <si>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</si>
  <si>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</si>
  <si>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</si>
  <si>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</si>
  <si>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</si>
  <si>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</si>
  <si>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</si>
  <si>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</si>
  <si>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</si>
  <si>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</si>
  <si>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</si>
  <si>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</si>
  <si>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</si>
  <si>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</si>
  <si>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</si>
  <si>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</si>
  <si>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</si>
  <si>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</si>
  <si>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</si>
  <si>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</si>
  <si>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</si>
  <si>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</si>
  <si>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</si>
  <si>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</si>
  <si>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</si>
  <si>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</si>
  <si>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</si>
  <si>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</si>
  <si>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</si>
  <si>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</si>
  <si>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</si>
  <si>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</si>
  <si>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</si>
  <si>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</si>
  <si>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</si>
  <si>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</si>
  <si>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</si>
  <si>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</si>
  <si>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</si>
  <si>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</si>
  <si>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</si>
  <si>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</si>
  <si>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</si>
  <si>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</si>
  <si>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</si>
  <si>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</si>
  <si>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</si>
  <si>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</si>
  <si>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</si>
  <si>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</si>
  <si>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</si>
  <si>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</si>
  <si>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</si>
  <si>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</si>
  <si>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</si>
  <si>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</si>
  <si>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</si>
  <si>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</si>
  <si>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</si>
  <si>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</si>
  <si>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</si>
  <si>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</si>
  <si>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</si>
  <si>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</si>
  <si>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</si>
  <si>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</si>
  <si>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</si>
  <si>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</si>
  <si>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</si>
  <si>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</si>
  <si>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</si>
  <si>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</si>
  <si>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</si>
  <si>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</si>
  <si>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</si>
  <si>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</si>
  <si>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</si>
  <si>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</si>
  <si>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</si>
  <si>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</si>
  <si>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</si>
  <si>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</si>
  <si>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</si>
  <si>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</si>
  <si>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</si>
  <si>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</si>
  <si>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</si>
  <si>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</si>
  <si>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</si>
  <si>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</si>
  <si>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</si>
  <si>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</si>
  <si>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</si>
  <si>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</si>
  <si>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</si>
  <si>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</si>
  <si>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</si>
  <si>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</si>
  <si>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</si>
  <si>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</si>
  <si>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</si>
  <si>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</si>
  <si>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</si>
  <si>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</si>
  <si>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</si>
  <si>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</si>
  <si>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</si>
  <si>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</si>
  <si>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</si>
  <si>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</si>
  <si>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</si>
  <si>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</si>
  <si>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</si>
  <si>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</si>
  <si>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</si>
  <si>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</si>
  <si>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</si>
  <si>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</si>
  <si>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</si>
  <si>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</si>
  <si>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</si>
  <si>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</si>
  <si>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</si>
  <si>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</si>
  <si>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</si>
  <si>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</si>
  <si>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</si>
  <si>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</si>
  <si>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</si>
  <si>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</si>
  <si>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</si>
  <si>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</si>
  <si>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</si>
  <si>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</si>
  <si>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</si>
  <si>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</si>
  <si>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</si>
  <si>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</si>
  <si>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</si>
  <si>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</si>
  <si>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</si>
  <si>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</si>
  <si>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</si>
  <si>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</si>
  <si>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</si>
  <si>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</si>
  <si>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</si>
  <si>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</si>
  <si>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</si>
  <si>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</si>
  <si>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</si>
  <si>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</si>
  <si>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</si>
  <si>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</si>
  <si>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</si>
  <si>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</si>
  <si>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</si>
  <si>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</si>
  <si>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</si>
  <si>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</si>
  <si>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</si>
  <si>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</si>
  <si>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</si>
  <si>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</si>
  <si>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</si>
  <si>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</si>
  <si>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</si>
  <si>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</si>
  <si>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</si>
  <si>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</si>
  <si>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</si>
  <si>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</si>
  <si>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</si>
  <si>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</si>
  <si>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</si>
  <si>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</si>
  <si>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</si>
  <si>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</si>
  <si>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</si>
  <si>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</si>
  <si>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</si>
  <si>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</si>
  <si>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</si>
  <si>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</si>
  <si>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</si>
  <si>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</si>
  <si>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</si>
  <si>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</si>
  <si>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</si>
  <si>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</si>
  <si>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</si>
  <si>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</si>
  <si>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</si>
  <si>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</si>
  <si>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</si>
  <si>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</si>
  <si>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</si>
  <si>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</si>
  <si>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</si>
  <si>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</si>
  <si>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</si>
  <si>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</si>
  <si>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</si>
  <si>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</si>
  <si>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</si>
  <si>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</si>
  <si>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</si>
  <si>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</si>
  <si>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</si>
  <si>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</si>
  <si>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</si>
  <si>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</si>
  <si>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</si>
  <si>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</si>
  <si>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</si>
  <si>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</si>
  <si>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</si>
  <si>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</si>
  <si>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</si>
  <si>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</si>
  <si>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</si>
  <si>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</si>
  <si>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</si>
  <si>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</si>
  <si>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</si>
  <si>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</si>
  <si>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</si>
  <si>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</si>
  <si>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</si>
  <si>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</si>
  <si>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</si>
  <si>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</si>
  <si>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</si>
  <si>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</si>
  <si>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</si>
  <si>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</si>
  <si>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</si>
  <si>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</si>
  <si>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</si>
  <si>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</si>
  <si>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</si>
  <si>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</si>
  <si>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</si>
  <si>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</si>
  <si>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</si>
  <si>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</si>
  <si>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</si>
  <si>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</si>
  <si>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</si>
  <si>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</si>
  <si>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</si>
  <si>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</si>
  <si>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</si>
  <si>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</si>
  <si>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</si>
  <si>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</si>
  <si>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</si>
  <si>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</si>
  <si>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</si>
  <si>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</si>
  <si>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</si>
  <si>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</si>
  <si>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</si>
  <si>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</si>
  <si>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</si>
  <si>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</si>
  <si>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</si>
  <si>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</si>
  <si>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</si>
  <si>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</si>
  <si>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</si>
  <si>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</si>
  <si>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</si>
  <si>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</si>
  <si>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</si>
  <si>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</si>
  <si>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</si>
  <si>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</si>
  <si>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</si>
  <si>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</si>
  <si>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</si>
  <si>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</si>
  <si>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</si>
  <si>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</si>
  <si>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</si>
  <si>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</si>
  <si>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</si>
  <si>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</si>
  <si>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</si>
  <si>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</si>
  <si>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</si>
  <si>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</si>
  <si>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</si>
  <si>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</si>
  <si>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</si>
  <si>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</si>
  <si>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</si>
  <si>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</si>
  <si>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</si>
  <si>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</si>
  <si>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</si>
  <si>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</si>
  <si>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</si>
  <si>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</si>
  <si>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</si>
  <si>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</si>
  <si>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</si>
  <si>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</si>
  <si>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</si>
  <si>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</si>
  <si>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</si>
  <si>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</si>
  <si>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</si>
  <si>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</si>
  <si>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</si>
  <si>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</si>
  <si>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</si>
  <si>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</si>
  <si>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</si>
  <si>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</si>
  <si>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</si>
  <si>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</si>
  <si>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</si>
  <si>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</si>
  <si>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</si>
  <si>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</si>
  <si>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</si>
  <si>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</si>
  <si>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</si>
  <si>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</si>
  <si>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</si>
  <si>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</si>
  <si>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</si>
  <si>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</si>
  <si>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</si>
  <si>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</si>
  <si>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</si>
  <si>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</si>
  <si>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</si>
  <si>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</si>
  <si>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</si>
  <si>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</si>
  <si>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</si>
  <si>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</si>
  <si>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</si>
  <si>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</si>
  <si>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</si>
  <si>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</si>
  <si>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</si>
  <si>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</si>
  <si>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</si>
  <si>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</si>
  <si>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</si>
  <si>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</si>
  <si>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</si>
  <si>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</si>
  <si>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</si>
  <si>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</si>
  <si>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</si>
  <si>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</si>
  <si>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</si>
  <si>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</si>
  <si>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</si>
  <si>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</si>
  <si>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</si>
  <si>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</si>
  <si>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</si>
  <si>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</si>
  <si>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</si>
  <si>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</si>
  <si>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</si>
  <si>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</si>
  <si>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</si>
  <si>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</si>
  <si>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</si>
  <si>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</si>
  <si>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</si>
  <si>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</si>
  <si>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</si>
  <si>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</si>
  <si>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</si>
  <si>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</si>
  <si>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</si>
  <si>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</si>
  <si>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</si>
  <si>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</si>
  <si>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</si>
  <si>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</si>
  <si>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</si>
  <si>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</si>
  <si>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</si>
  <si>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</si>
  <si>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</si>
  <si>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</si>
  <si>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</si>
  <si>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</si>
  <si>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</si>
  <si>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</si>
  <si>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</si>
  <si>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</si>
  <si>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</si>
  <si>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</si>
  <si>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</si>
  <si>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</si>
  <si>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</si>
  <si>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</si>
  <si>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</si>
  <si>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</si>
  <si>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</si>
  <si>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</si>
  <si>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</si>
  <si>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</si>
  <si>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</si>
  <si>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</si>
  <si>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</si>
  <si>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</si>
  <si>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</si>
  <si>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</si>
  <si>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</si>
  <si>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</si>
  <si>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</si>
  <si>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</si>
  <si>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</si>
  <si>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</si>
  <si>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</si>
  <si>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</si>
  <si>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</si>
  <si>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</si>
  <si>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</si>
  <si>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</si>
  <si>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</si>
  <si>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</si>
  <si>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</si>
  <si>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</si>
  <si>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</si>
  <si>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</si>
  <si>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</si>
  <si>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</si>
  <si>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</si>
  <si>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</si>
  <si>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</si>
  <si>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</si>
  <si>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</si>
  <si>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</si>
  <si>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</si>
  <si>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</si>
  <si>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</si>
  <si>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</si>
  <si>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</si>
  <si>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</si>
  <si>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</si>
  <si>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</si>
  <si>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</si>
  <si>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</si>
  <si>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</si>
  <si>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</si>
  <si>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</si>
  <si>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</si>
  <si>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</si>
  <si>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</si>
  <si>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</si>
  <si>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</si>
  <si>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</si>
  <si>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</si>
  <si>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</si>
  <si>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</si>
  <si>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</si>
  <si>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</si>
  <si>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</si>
  <si>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</si>
  <si>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</si>
  <si>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</si>
  <si>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</si>
  <si>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</si>
  <si>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</si>
  <si>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</si>
  <si>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</si>
  <si>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</si>
  <si>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</si>
  <si>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</si>
  <si>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</si>
  <si>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</si>
  <si>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</si>
  <si>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</si>
  <si>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</si>
  <si>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</si>
  <si>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</si>
  <si>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</si>
  <si>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</si>
  <si>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</si>
  <si>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</si>
  <si>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</si>
  <si>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</si>
  <si>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</si>
  <si>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</si>
  <si>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</si>
  <si>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</si>
  <si>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</si>
  <si>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</si>
  <si>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</si>
  <si>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</si>
  <si>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</si>
  <si>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</si>
  <si>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</si>
  <si>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</si>
  <si>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</si>
  <si>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</si>
  <si>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</si>
  <si>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</si>
  <si>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</si>
  <si>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</si>
  <si>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</si>
  <si>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</si>
  <si>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</si>
  <si>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</si>
  <si>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</si>
  <si>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</si>
  <si>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</si>
  <si>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</si>
  <si>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</si>
  <si>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</si>
  <si>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</si>
  <si>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</si>
  <si>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</si>
  <si>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</si>
  <si>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</si>
  <si>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</si>
  <si>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</si>
  <si>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</si>
  <si>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</si>
  <si>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</si>
  <si>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</si>
  <si>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</si>
  <si>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</si>
  <si>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</si>
  <si>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</si>
  <si>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</si>
  <si>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</si>
  <si>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</si>
  <si>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</si>
  <si>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</si>
  <si>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</si>
  <si>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</si>
  <si>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</si>
  <si>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</si>
  <si>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</si>
  <si>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</si>
  <si>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</si>
  <si>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</si>
  <si>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</si>
  <si>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</si>
  <si>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</si>
  <si>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</si>
  <si>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</si>
  <si>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</si>
  <si>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</si>
  <si>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</si>
  <si>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</si>
  <si>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</si>
  <si>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</si>
  <si>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</si>
  <si>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</si>
  <si>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</si>
  <si>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</si>
  <si>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</si>
  <si>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</si>
  <si>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</si>
  <si>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</si>
  <si>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</si>
  <si>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</si>
  <si>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</si>
  <si>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</si>
  <si>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</si>
  <si>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</si>
  <si>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</si>
  <si>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</si>
  <si>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</si>
  <si>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</si>
  <si>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</si>
  <si>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</si>
  <si>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</si>
  <si>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</si>
  <si>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</si>
  <si>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</si>
  <si>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</si>
  <si>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</si>
  <si>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</si>
  <si>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</si>
  <si>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</si>
  <si>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</si>
  <si>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</si>
  <si>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</si>
  <si>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</si>
  <si>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</si>
  <si>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</si>
  <si>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</si>
  <si>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</si>
  <si>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</si>
  <si>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</si>
  <si>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</si>
  <si>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</si>
  <si>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</si>
  <si>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</si>
  <si>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</si>
  <si>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</si>
  <si>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</si>
  <si>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</si>
  <si>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</si>
  <si>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</si>
  <si>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</si>
  <si>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</si>
  <si>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</si>
  <si>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</si>
  <si>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</si>
  <si>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</si>
  <si>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</si>
  <si>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</si>
  <si>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</si>
  <si>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</si>
  <si>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</si>
  <si>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</si>
  <si>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</si>
  <si>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</si>
  <si>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</si>
  <si>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</si>
  <si>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</si>
  <si>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</si>
  <si>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</si>
  <si>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</si>
  <si>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</si>
  <si>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</si>
  <si>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</si>
  <si>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</si>
  <si>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</si>
  <si>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</si>
  <si>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</si>
  <si>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</si>
  <si>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</si>
  <si>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</si>
  <si>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</si>
  <si>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</si>
  <si>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</si>
  <si>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</si>
  <si>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</si>
  <si>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</si>
  <si>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</si>
  <si>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</si>
  <si>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</si>
  <si>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</si>
  <si>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</si>
  <si>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</si>
  <si>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</si>
  <si>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</si>
  <si>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</si>
  <si>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</si>
  <si>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</si>
  <si>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</si>
  <si>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</si>
  <si>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</si>
  <si>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</si>
  <si>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</si>
  <si>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</si>
  <si>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</si>
  <si>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</si>
  <si>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</si>
  <si>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</si>
  <si>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</si>
  <si>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</si>
  <si>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</si>
  <si>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</si>
  <si>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</si>
  <si>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</si>
  <si>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</si>
  <si>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</si>
  <si>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</si>
  <si>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</si>
  <si>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</si>
  <si>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</si>
  <si>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</si>
  <si>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</si>
  <si>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</si>
  <si>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</si>
  <si>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</si>
  <si>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</si>
  <si>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</si>
  <si>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</si>
  <si>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</si>
  <si>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</si>
  <si>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</si>
  <si>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</si>
  <si>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</si>
  <si>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</si>
  <si>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</si>
  <si>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</si>
  <si>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</si>
  <si>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</si>
  <si>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</si>
  <si>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</si>
  <si>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</si>
  <si>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</si>
  <si>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</si>
  <si>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</si>
  <si>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</si>
  <si>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</si>
  <si>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</si>
  <si>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</si>
  <si>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</si>
  <si>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</si>
  <si>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</si>
  <si>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</si>
  <si>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</si>
  <si>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</si>
  <si>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</si>
  <si>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</si>
  <si>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</si>
  <si>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</si>
  <si>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</si>
  <si>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</si>
  <si>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</si>
  <si>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</si>
  <si>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</si>
  <si>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</si>
  <si>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</si>
  <si>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</si>
  <si>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</si>
  <si>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</si>
  <si>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</si>
  <si>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</si>
  <si>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</si>
  <si>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</si>
  <si>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</si>
  <si>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</si>
  <si>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</si>
  <si>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</si>
  <si>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</si>
  <si>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</si>
  <si>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</si>
  <si>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</si>
  <si>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</si>
  <si>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</si>
  <si>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</si>
  <si>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</si>
  <si>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</si>
  <si>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</si>
  <si>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</si>
  <si>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</si>
  <si>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</si>
  <si>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</si>
  <si>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</si>
  <si>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</si>
  <si>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</si>
  <si>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</si>
  <si>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</si>
  <si>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</si>
  <si>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</si>
  <si>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</si>
  <si>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</si>
  <si>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</si>
  <si>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</si>
  <si>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</si>
  <si>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</si>
  <si>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</si>
  <si>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</si>
  <si>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</si>
  <si>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</si>
  <si>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</si>
  <si>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</si>
  <si>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</si>
  <si>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</si>
  <si>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</si>
  <si>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</si>
  <si>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</si>
  <si>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</si>
  <si>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</si>
  <si>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</si>
  <si>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</si>
  <si>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</si>
  <si>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</si>
  <si>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</si>
  <si>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</si>
  <si>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</si>
  <si>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</si>
  <si>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</si>
  <si>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</si>
  <si>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</si>
  <si>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</si>
  <si>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</si>
  <si>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</si>
  <si>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</si>
  <si>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</si>
  <si>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</si>
  <si>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</si>
  <si>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</si>
  <si>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</si>
  <si>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</si>
  <si>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</si>
  <si>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</si>
  <si>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</si>
  <si>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</si>
  <si>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</si>
  <si>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</si>
  <si>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</si>
  <si>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</si>
  <si>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</si>
  <si>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</si>
  <si>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</si>
  <si>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</si>
  <si>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</si>
  <si>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</si>
  <si>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</si>
  <si>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</si>
  <si>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</si>
  <si>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</si>
  <si>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</si>
  <si>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</si>
  <si>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</si>
  <si>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</si>
  <si>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</si>
  <si>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</si>
  <si>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</si>
  <si>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</si>
  <si>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</si>
  <si>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</si>
  <si>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</si>
  <si>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</si>
  <si>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</si>
  <si>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</si>
  <si>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</si>
  <si>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</si>
  <si>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</si>
  <si>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</si>
  <si>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</si>
  <si>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</si>
  <si>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</si>
  <si>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</si>
  <si>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</si>
  <si>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</si>
  <si>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</si>
  <si>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</si>
  <si>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</si>
  <si>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</si>
  <si>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</si>
  <si>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</si>
  <si>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</si>
  <si>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</si>
  <si>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</si>
  <si>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</si>
  <si>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</si>
  <si>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</si>
  <si>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</si>
  <si>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</si>
  <si>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</si>
  <si>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</si>
  <si>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</si>
  <si>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</si>
  <si>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</si>
  <si>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</si>
  <si>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</si>
  <si>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</si>
  <si>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</si>
  <si>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</si>
  <si>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</si>
  <si>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</si>
  <si>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</si>
  <si>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</si>
  <si>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</si>
  <si>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</si>
  <si>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</si>
  <si>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</si>
  <si>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</si>
  <si>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</si>
  <si>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</si>
  <si>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</si>
  <si>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</si>
  <si>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</si>
  <si>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</si>
  <si>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</si>
  <si>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</si>
  <si>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</si>
  <si>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</si>
  <si>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</si>
  <si>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</si>
  <si>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</si>
  <si>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</si>
  <si>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</si>
  <si>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</si>
  <si>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</si>
  <si>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</si>
  <si>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</si>
  <si>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</si>
  <si>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</si>
  <si>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</si>
  <si>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</si>
  <si>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</si>
  <si>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</si>
  <si>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</si>
  <si>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</si>
  <si>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</si>
  <si>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</si>
  <si>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</si>
  <si>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</si>
  <si>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</si>
  <si>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</si>
  <si>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</si>
  <si>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</si>
  <si>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</si>
  <si>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</si>
  <si>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</si>
  <si>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</si>
  <si>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</si>
  <si>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</si>
  <si>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</si>
  <si>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</si>
  <si>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</si>
  <si>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</si>
  <si>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</si>
  <si>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</si>
  <si>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</si>
  <si>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</si>
  <si>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</si>
  <si>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</si>
  <si>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</si>
  <si>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</si>
  <si>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</si>
  <si>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</si>
  <si>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</si>
  <si>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</si>
  <si>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</si>
  <si>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</si>
  <si>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</si>
  <si>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</si>
  <si>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</si>
  <si>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</si>
  <si>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</si>
  <si>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</si>
  <si>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</si>
  <si>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</si>
  <si>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</si>
  <si>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</si>
  <si>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</si>
  <si>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</si>
  <si>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</si>
  <si>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</si>
  <si>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</si>
  <si>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</si>
  <si>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</si>
  <si>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</si>
  <si>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</si>
  <si>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</si>
  <si>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</si>
  <si>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</si>
  <si>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</si>
  <si>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</si>
  <si>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</si>
  <si>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</si>
  <si>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</si>
  <si>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</si>
  <si>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</si>
  <si>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</si>
  <si>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</si>
  <si>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</si>
  <si>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</si>
  <si>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</si>
  <si>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</si>
  <si>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</si>
  <si>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</si>
  <si>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</si>
  <si>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</si>
  <si>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</si>
  <si>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</si>
  <si>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</si>
  <si>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</si>
  <si>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</si>
  <si>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</si>
  <si>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</si>
  <si>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</si>
  <si>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</si>
  <si>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</si>
  <si>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</si>
  <si>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</si>
  <si>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</si>
  <si>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</si>
  <si>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</si>
  <si>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</si>
  <si>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</si>
  <si>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</si>
  <si>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</si>
  <si>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</si>
  <si>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</si>
  <si>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</si>
  <si>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</si>
  <si>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</si>
  <si>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</si>
  <si>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</si>
  <si>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</si>
  <si>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</si>
  <si>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</si>
  <si>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</si>
  <si>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</si>
  <si>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</si>
  <si>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</si>
  <si>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</si>
  <si>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</si>
  <si>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</si>
  <si>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</si>
  <si>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</si>
  <si>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</si>
  <si>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</si>
  <si>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</si>
  <si>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</si>
  <si>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</si>
  <si>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</si>
  <si>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</si>
  <si>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</si>
  <si>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</si>
  <si>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</si>
  <si>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</si>
  <si>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</si>
  <si>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</si>
  <si>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</si>
  <si>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</si>
  <si>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</si>
  <si>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</si>
  <si>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</si>
  <si>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</si>
  <si>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</si>
  <si>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</si>
  <si>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</si>
  <si>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</si>
  <si>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</si>
  <si>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</si>
  <si>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</si>
  <si>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</si>
  <si>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</si>
  <si>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</si>
  <si>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</si>
  <si>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</si>
  <si>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</si>
  <si>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</si>
  <si>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</si>
  <si>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</si>
  <si>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</si>
  <si>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</si>
  <si>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</si>
  <si>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</si>
  <si>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</si>
  <si>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</si>
  <si>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</si>
  <si>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</si>
  <si>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</si>
  <si>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</si>
  <si>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</si>
  <si>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</si>
  <si>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</si>
  <si>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</si>
  <si>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</si>
  <si>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</si>
  <si>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</si>
  <si>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</si>
  <si>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</si>
  <si>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</si>
  <si>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</si>
  <si>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</si>
  <si>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</si>
  <si>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</si>
  <si>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</si>
  <si>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</si>
  <si>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</si>
  <si>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</si>
  <si>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</si>
  <si>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</si>
  <si>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</si>
  <si>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</si>
  <si>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</si>
  <si>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</si>
  <si>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</si>
  <si>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</si>
  <si>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</si>
  <si>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</si>
  <si>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</si>
  <si>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</si>
  <si>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</si>
  <si>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</si>
  <si>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</si>
  <si>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</si>
  <si>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</si>
  <si>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</si>
  <si>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</si>
  <si>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</si>
  <si>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</si>
  <si>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</si>
  <si>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</si>
  <si>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</si>
  <si>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</si>
  <si>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</si>
  <si>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</si>
  <si>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</si>
  <si>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</si>
  <si>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</si>
  <si>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</si>
  <si>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</si>
  <si>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</si>
  <si>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</si>
  <si>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</si>
  <si>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</si>
  <si>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</si>
  <si>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</si>
  <si>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</si>
  <si>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</si>
  <si>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</si>
  <si>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</si>
  <si>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</si>
  <si>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</si>
  <si>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</si>
  <si>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</si>
  <si>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</si>
  <si>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</si>
  <si>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</si>
  <si>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</si>
  <si>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</si>
  <si>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</si>
  <si>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</si>
  <si>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</si>
  <si>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</si>
  <si>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</si>
  <si>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</si>
  <si>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</si>
  <si>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</si>
  <si>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</si>
  <si>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</si>
  <si>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</si>
  <si>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</si>
  <si>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</si>
  <si>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</si>
  <si>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</si>
  <si>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</si>
  <si>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</si>
  <si>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</si>
  <si>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</si>
  <si>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</si>
  <si>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</si>
  <si>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</si>
  <si>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</si>
  <si>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</si>
  <si>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</si>
  <si>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</si>
  <si>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</si>
  <si>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</si>
  <si>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</si>
  <si>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</si>
  <si>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</si>
  <si>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</si>
  <si>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</si>
  <si>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</si>
  <si>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</si>
  <si>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</si>
  <si>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</si>
  <si>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</si>
  <si>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</si>
  <si>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</si>
  <si>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</si>
  <si>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</si>
  <si>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</si>
  <si>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</si>
  <si>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</si>
  <si>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</si>
  <si>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</si>
  <si>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</si>
  <si>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</si>
  <si>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</si>
  <si>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</si>
  <si>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</si>
  <si>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</si>
  <si>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</si>
  <si>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</si>
  <si>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</si>
  <si>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</si>
  <si>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</si>
  <si>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</si>
  <si>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</si>
  <si>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</si>
  <si>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</si>
  <si>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</si>
  <si>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</si>
  <si>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</si>
  <si>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</si>
  <si>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</si>
  <si>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</si>
  <si>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</si>
  <si>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</si>
  <si>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</si>
  <si>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</si>
  <si>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</si>
  <si>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</si>
  <si>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</si>
  <si>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</si>
  <si>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</si>
  <si>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</si>
  <si>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</si>
  <si>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</si>
  <si>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</si>
  <si>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</si>
  <si>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</si>
  <si>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</si>
  <si>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</si>
  <si>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</si>
  <si>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</si>
  <si>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</si>
  <si>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</si>
  <si>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</si>
  <si>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</si>
  <si>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</si>
  <si>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</si>
  <si>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</si>
  <si>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</si>
  <si>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</si>
  <si>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</si>
  <si>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</si>
  <si>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</si>
  <si>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</si>
  <si>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</si>
  <si>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</si>
  <si>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</si>
  <si>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</si>
  <si>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</si>
  <si>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</si>
  <si>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</si>
  <si>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</si>
  <si>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</si>
  <si>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</si>
  <si>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</si>
  <si>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</si>
  <si>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</si>
  <si>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</si>
  <si>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</si>
  <si>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</si>
  <si>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</si>
  <si>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</si>
  <si>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</si>
  <si>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</si>
  <si>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</si>
  <si>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</si>
  <si>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</si>
  <si>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</si>
  <si>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</si>
  <si>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</si>
  <si>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</si>
  <si>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</si>
  <si>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</si>
  <si>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</si>
  <si>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</si>
  <si>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</si>
  <si>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</si>
  <si>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</si>
  <si>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</si>
  <si>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</si>
  <si>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</si>
  <si>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</si>
  <si>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</si>
  <si>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</si>
  <si>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</si>
  <si>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</si>
  <si>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</si>
  <si>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</si>
  <si>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</si>
  <si>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</si>
  <si>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</si>
  <si>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</si>
  <si>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</si>
  <si>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</si>
  <si>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</si>
  <si>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</si>
  <si>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</si>
  <si>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</si>
  <si>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</si>
  <si>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</si>
  <si>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</si>
  <si>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</si>
  <si>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</si>
  <si>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</si>
  <si>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</si>
  <si>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</si>
  <si>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</si>
  <si>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</si>
  <si>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</si>
  <si>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</si>
  <si>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</si>
  <si>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</si>
  <si>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</si>
  <si>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</si>
  <si>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</si>
  <si>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</si>
  <si>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</si>
  <si>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</si>
  <si>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</si>
  <si>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</si>
  <si>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</si>
  <si>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</si>
  <si>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</si>
  <si>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</si>
  <si>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</si>
  <si>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</si>
  <si>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</si>
  <si>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</si>
  <si>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</si>
  <si>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</si>
  <si>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</si>
  <si>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</si>
  <si>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</si>
  <si>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</si>
  <si>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</si>
  <si>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</si>
  <si>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</si>
  <si>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</si>
  <si>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</si>
  <si>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</si>
  <si>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</si>
  <si>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</si>
  <si>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</si>
  <si>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</si>
  <si>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</si>
  <si>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</si>
  <si>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</si>
  <si>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</si>
  <si>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</si>
  <si>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</si>
  <si>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</si>
  <si>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</si>
  <si>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</si>
  <si>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</si>
  <si>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</si>
  <si>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</si>
  <si>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</si>
  <si>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</si>
  <si>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</si>
  <si>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</si>
  <si>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</si>
  <si>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</si>
  <si>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</si>
  <si>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</si>
  <si>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</si>
  <si>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</si>
  <si>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</si>
  <si>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</si>
  <si>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</si>
  <si>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</si>
  <si>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</si>
  <si>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</si>
  <si>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</si>
  <si>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</si>
  <si>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</si>
  <si>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</si>
  <si>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</si>
  <si>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</si>
  <si>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</si>
  <si>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</si>
  <si>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</si>
  <si>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</si>
  <si>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</si>
  <si>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</si>
  <si>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</si>
  <si>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</si>
  <si>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</si>
  <si>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</si>
  <si>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</si>
  <si>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</si>
  <si>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</si>
  <si>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</si>
  <si>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</si>
  <si>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</si>
  <si>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</si>
  <si>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</si>
  <si>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</si>
  <si>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</si>
  <si>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</si>
  <si>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</si>
  <si>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</si>
  <si>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</si>
  <si>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</si>
  <si>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</si>
  <si>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</si>
  <si>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</si>
  <si>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</si>
  <si>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</si>
  <si>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</si>
  <si>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</si>
  <si>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</si>
  <si>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</si>
  <si>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</si>
  <si>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</si>
  <si>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</si>
  <si>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</si>
  <si>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</si>
  <si>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</si>
  <si>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</si>
  <si>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</si>
  <si>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</si>
  <si>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</si>
  <si>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</si>
  <si>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</si>
  <si>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</si>
  <si>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</si>
  <si>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</si>
  <si>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</si>
  <si>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</si>
  <si>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</si>
  <si>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</si>
  <si>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</si>
  <si>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</si>
  <si>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</si>
  <si>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</si>
  <si>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</si>
  <si>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</si>
  <si>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</si>
  <si>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</si>
  <si>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</si>
  <si>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</si>
  <si>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</si>
  <si>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</si>
  <si>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</si>
  <si>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</si>
  <si>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</si>
  <si>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</si>
  <si>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</si>
  <si>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</si>
  <si>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</si>
  <si>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</si>
  <si>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</si>
  <si>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</si>
  <si>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</si>
  <si>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</si>
  <si>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</si>
  <si>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</si>
  <si>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</si>
  <si>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</si>
  <si>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</si>
  <si>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</si>
  <si>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</si>
  <si>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</si>
  <si>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</si>
  <si>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</si>
  <si>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</si>
  <si>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</si>
  <si>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</si>
  <si>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</si>
  <si>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</si>
  <si>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</si>
  <si>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</si>
  <si>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</si>
  <si>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</si>
  <si>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</si>
  <si>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</si>
  <si>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</si>
  <si>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</si>
  <si>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</si>
  <si>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</si>
  <si>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</si>
  <si>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</si>
  <si>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</si>
  <si>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</si>
  <si>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</si>
  <si>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</si>
  <si>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</si>
  <si>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</si>
  <si>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</si>
  <si>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</si>
  <si>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</si>
  <si>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</si>
  <si>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</si>
  <si>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</si>
  <si>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</si>
  <si>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</si>
  <si>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</si>
  <si>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</si>
  <si>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</si>
  <si>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</si>
  <si>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</si>
  <si>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</si>
  <si>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</si>
  <si>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</si>
  <si>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</si>
  <si>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</si>
  <si>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</si>
  <si>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</si>
  <si>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</si>
  <si>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</si>
  <si>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</si>
  <si>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</si>
  <si>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</si>
  <si>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</si>
  <si>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</si>
  <si>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</si>
  <si>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</si>
  <si>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</si>
  <si>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</si>
  <si>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</si>
  <si>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</si>
  <si>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</si>
  <si>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</si>
  <si>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</si>
  <si>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</si>
  <si>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</si>
  <si>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</si>
  <si>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</si>
  <si>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</si>
  <si>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</si>
  <si>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</si>
  <si>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</si>
  <si>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</si>
  <si>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</si>
  <si>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</si>
  <si>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</si>
  <si>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</si>
  <si>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</si>
  <si>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</si>
  <si>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</si>
  <si>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</si>
  <si>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</si>
  <si>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</si>
  <si>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</si>
  <si>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</si>
  <si>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</si>
  <si>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</si>
  <si>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</si>
  <si>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</si>
  <si>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</si>
  <si>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</si>
  <si>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</si>
  <si>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</si>
  <si>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</si>
  <si>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</si>
  <si>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</si>
  <si>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</si>
  <si>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</si>
  <si>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</si>
  <si>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</si>
  <si>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</si>
  <si>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</si>
  <si>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</si>
  <si>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</si>
  <si>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</si>
  <si>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</si>
  <si>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</si>
  <si>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</si>
  <si>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</si>
  <si>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</si>
  <si>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</si>
  <si>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</si>
  <si>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</si>
  <si>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</si>
  <si>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</si>
  <si>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</si>
  <si>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</si>
  <si>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</si>
  <si>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</si>
  <si>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</si>
  <si>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</si>
  <si>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</si>
  <si>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</si>
  <si>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</si>
  <si>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</si>
  <si>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</si>
  <si>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</si>
  <si>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</si>
  <si>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</si>
  <si>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</si>
  <si>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</si>
  <si>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</si>
  <si>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</si>
  <si>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</si>
  <si>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</si>
  <si>
    <t>地址</t>
  </si>
  <si>
    <t>房地产权证号</t>
  </si>
  <si>
    <t>国有土地使用证号</t>
  </si>
  <si>
    <t>房屋用途</t>
  </si>
  <si>
    <t>建筑面积（㎡）</t>
  </si>
  <si>
    <t>土地面积（㎡）</t>
  </si>
  <si>
    <t>北京市朝阳区安立路68号1层A-1区</t>
  </si>
  <si>
    <t>X京房权证朝字第960121号</t>
  </si>
  <si>
    <t>京朝其国用（2011出）第0600614号</t>
  </si>
  <si>
    <t>北京市朝阳区安立路68号1层2区</t>
  </si>
  <si>
    <t>X京房权证朝字第960120号</t>
  </si>
  <si>
    <t>京朝其国用（2011出）第0600612号</t>
  </si>
  <si>
    <t>北京市朝阳区安立路68号1层3区</t>
  </si>
  <si>
    <t>X京房权证朝字第960119号</t>
  </si>
  <si>
    <t>京朝其国用（2011出）第0600628号</t>
  </si>
  <si>
    <t>北京市朝阳区安立路68号1层4区</t>
  </si>
  <si>
    <t>X京房权证朝字第960118号</t>
  </si>
  <si>
    <t>京朝其国用（2011出）第0600629号</t>
  </si>
  <si>
    <t>北京市朝阳区安立路68号1层5区</t>
  </si>
  <si>
    <t>X京房权证朝字第960117号</t>
  </si>
  <si>
    <t>京朝其国用（2011出）第0600615号</t>
  </si>
  <si>
    <t>北京市朝阳区安立路68号1层A-6区</t>
  </si>
  <si>
    <t>X京房权证朝字第960105号</t>
  </si>
  <si>
    <t>京朝其国用（2011出）第0600616号</t>
  </si>
  <si>
    <t>北京市朝阳区安立路68号1层A-7区</t>
  </si>
  <si>
    <t>X京房权证朝字第960102号</t>
  </si>
  <si>
    <t>京朝其国用（2011出）第0600619号</t>
  </si>
  <si>
    <t>北京市朝阳区安立路68号1层8区</t>
  </si>
  <si>
    <t>X京房权证朝字第960101号</t>
  </si>
  <si>
    <t>京朝其国用（2011出）第0600623号</t>
  </si>
  <si>
    <t>北京市朝阳区安立路68号2层68-1</t>
  </si>
  <si>
    <t>X京房权证朝字第966646号</t>
  </si>
  <si>
    <t>京朝其国用（2011出）第0600795号</t>
  </si>
  <si>
    <t>北京市朝阳区安立路68号2层68-2</t>
  </si>
  <si>
    <t>X京房权证朝字第966645号</t>
  </si>
  <si>
    <t>京朝其国用（2011出）第0600794号</t>
  </si>
  <si>
    <t>北京市朝阳区安立路68号2层68-3</t>
  </si>
  <si>
    <t>X京房权证朝字第966641号</t>
  </si>
  <si>
    <t>京朝其国用（2011出）第0600796号</t>
  </si>
  <si>
    <t>北京市朝阳区安立路68号2层68-4</t>
  </si>
  <si>
    <t>X京房权证朝字第966640号</t>
  </si>
  <si>
    <t>京朝其国用（2011出）第0600797号</t>
  </si>
  <si>
    <t>北京市朝阳区安立路68号-1层A-1区</t>
  </si>
  <si>
    <t>X京房权证朝字第960132号</t>
  </si>
  <si>
    <t>京朝其国用（2011出）第0600621号</t>
  </si>
  <si>
    <t>北京市朝阳区安立路68号-1层2区</t>
  </si>
  <si>
    <t>X京房权证朝字第960131号</t>
  </si>
  <si>
    <t>京朝其国用（2011出）第0600626号</t>
  </si>
  <si>
    <t>北京市朝阳区安立路68号-1层3区</t>
  </si>
  <si>
    <t>X京房权证朝字第960130号</t>
  </si>
  <si>
    <t>京朝其国用（2011出）第0600631号</t>
  </si>
  <si>
    <t>北京市朝阳区安立路68号-1层4区</t>
  </si>
  <si>
    <t>X京房权证朝字第960129号</t>
  </si>
  <si>
    <t>京朝其国用（2011出）第0600630号</t>
  </si>
  <si>
    <t xml:space="preserve">北京市朝阳区安立路68号-1层5 </t>
  </si>
  <si>
    <t>X京房权证朝字第966644号</t>
  </si>
  <si>
    <t>京朝其国用（2011出）第0600798号</t>
  </si>
  <si>
    <t>北京市朝阳区安立路68号-1层6区</t>
  </si>
  <si>
    <t>X京房权证朝字第960127号</t>
  </si>
  <si>
    <t>京朝其国用（2011出）第0600625号</t>
  </si>
  <si>
    <t>北京市朝阳区安立路68号-1层7区</t>
  </si>
  <si>
    <t>X京房权证朝字第960125号</t>
  </si>
  <si>
    <t>京朝其国用（2011出）第0600627号</t>
  </si>
  <si>
    <t>北京市朝阳区安立路68号-1层A-8区</t>
  </si>
  <si>
    <t>X京房权证朝字第960124号</t>
  </si>
  <si>
    <t>京朝其国用（2011出）第0600624号</t>
  </si>
  <si>
    <t>北京市朝阳区安立路68号-1层A-9区</t>
  </si>
  <si>
    <t>X京房权证朝字第960123号</t>
  </si>
  <si>
    <t>京朝其国用（2011出）第0600622号</t>
  </si>
  <si>
    <t>北京市朝阳区安立路68号-1层10区</t>
  </si>
  <si>
    <t>X京房权证朝字第960122号</t>
  </si>
  <si>
    <t>京朝其国用（2011出）第0600620号</t>
  </si>
  <si>
    <t>北京市朝阳区安立路68号-1层11区</t>
  </si>
  <si>
    <t>X京房权证朝字第960133号</t>
  </si>
  <si>
    <t>京朝其国用（2011出）第0600618号</t>
  </si>
  <si>
    <t xml:space="preserve">北京市朝阳区安立路68号-1层12 </t>
  </si>
  <si>
    <t>X京房权证朝字第966642号</t>
  </si>
  <si>
    <t>京朝其国用（2011出）第0600127号</t>
  </si>
  <si>
    <t>面积总计</t>
  </si>
  <si>
    <t>吴薇</t>
  </si>
  <si>
    <t>郑燚</t>
  </si>
  <si>
    <t>抵押</t>
  </si>
  <si>
    <t>房地产抵押价值</t>
  </si>
  <si>
    <t>北京市</t>
  </si>
  <si>
    <t>企业</t>
  </si>
  <si>
    <t>是</t>
  </si>
  <si>
    <t>地上</t>
  </si>
  <si>
    <t>独立商业</t>
  </si>
  <si>
    <t>办公楼</t>
  </si>
  <si>
    <t>地下</t>
  </si>
  <si>
    <t>商业</t>
    <phoneticPr fontId="7" type="noConversion"/>
  </si>
  <si>
    <t>办公</t>
    <phoneticPr fontId="7" type="noConversion"/>
  </si>
  <si>
    <t>成新度</t>
  </si>
  <si>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</si>
  <si>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</si>
  <si>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面积</t>
    <phoneticPr fontId="3" type="noConversion"/>
  </si>
  <si>
    <t>利息：取LPR加浮动点数</t>
  </si>
  <si>
    <t>押一</t>
  </si>
  <si>
    <t>钢混</t>
  </si>
  <si>
    <t>非生产用房</t>
  </si>
  <si>
    <t>收益法-商业</t>
  </si>
  <si>
    <t>收益法-商业</t>
    <phoneticPr fontId="16" type="noConversion"/>
  </si>
  <si>
    <t>收益法-办公</t>
  </si>
  <si>
    <t>收益法-办公</t>
    <phoneticPr fontId="16" type="noConversion"/>
  </si>
  <si>
    <t>估价对象容积率</t>
  </si>
  <si>
    <t>不临65条商业街</t>
  </si>
  <si>
    <t>通路</t>
  </si>
  <si>
    <t>通电</t>
  </si>
  <si>
    <t>通讯</t>
  </si>
  <si>
    <t>通上水</t>
  </si>
  <si>
    <t>通下水</t>
  </si>
  <si>
    <t>平整</t>
  </si>
  <si>
    <t>与级别开发程度不一致</t>
  </si>
  <si>
    <t>楼层修正</t>
  </si>
  <si>
    <t>较好</t>
  </si>
  <si>
    <t>较好</t>
    <phoneticPr fontId="40" type="noConversion"/>
  </si>
  <si>
    <t>较好</t>
    <phoneticPr fontId="24" type="noConversion"/>
  </si>
  <si>
    <t>较好</t>
    <phoneticPr fontId="40" type="noConversion"/>
  </si>
  <si>
    <t>七通</t>
    <phoneticPr fontId="24" type="noConversion"/>
  </si>
  <si>
    <t>好</t>
  </si>
  <si>
    <t>未包含在土地购买价格中</t>
  </si>
  <si>
    <t>已包含在土地取得成本中</t>
  </si>
  <si>
    <t>商务金融用地</t>
  </si>
  <si>
    <t>现房</t>
  </si>
  <si>
    <t>成本法</t>
  </si>
  <si>
    <t>收益法（汇总）</t>
  </si>
  <si>
    <t>楼层系数</t>
    <phoneticPr fontId="8" type="noConversion"/>
  </si>
  <si>
    <t>面积</t>
    <phoneticPr fontId="8" type="noConversion"/>
  </si>
  <si>
    <t>楼层</t>
    <phoneticPr fontId="8" type="noConversion"/>
  </si>
  <si>
    <r>
      <rPr>
        <sz val="10"/>
        <color indexed="8"/>
        <rFont val="宋体"/>
        <family val="3"/>
        <charset val="134"/>
      </rPr>
      <t>商业</t>
    </r>
    <r>
      <rPr>
        <sz val="10"/>
        <color indexed="8"/>
        <rFont val="Arial"/>
        <family val="2"/>
      </rPr>
      <t>1</t>
    </r>
    <phoneticPr fontId="8" type="noConversion"/>
  </si>
  <si>
    <r>
      <rPr>
        <sz val="10"/>
        <color indexed="8"/>
        <rFont val="宋体"/>
        <family val="3"/>
        <charset val="134"/>
      </rPr>
      <t>商业</t>
    </r>
    <r>
      <rPr>
        <sz val="10"/>
        <color indexed="8"/>
        <rFont val="Arial"/>
        <family val="2"/>
      </rPr>
      <t>-1</t>
    </r>
    <phoneticPr fontId="8" type="noConversion"/>
  </si>
  <si>
    <r>
      <rPr>
        <sz val="10"/>
        <color indexed="8"/>
        <rFont val="宋体"/>
        <family val="3"/>
        <charset val="134"/>
      </rPr>
      <t>办公</t>
    </r>
    <r>
      <rPr>
        <sz val="10"/>
        <color indexed="8"/>
        <rFont val="Arial"/>
        <family val="2"/>
      </rPr>
      <t>2</t>
    </r>
    <phoneticPr fontId="8" type="noConversion"/>
  </si>
  <si>
    <t>单价</t>
    <phoneticPr fontId="8" type="noConversion"/>
  </si>
  <si>
    <t>总价</t>
  </si>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</sst>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0" fillId="0" borderId="1" xfId="0" applyBorder="1">
      <alignment vertical="center"/>
    </xf>
    <xf numFmtId="0" fontId="168"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3</xdr:col>
      <xdr:colOff>2304156</xdr:colOff>
      <xdr:row>55</xdr:row>
      <xdr:rowOff>113772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14950"/>
          <a:ext cx="7152381" cy="4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北京市北京市朝阳区安立路68号1层A-1区房地产抵押价值预评估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受贵公司委托，我公司对北京市北京市朝阳区安立路68号1层A-1区房地产抵押价值进行了预评估。</v>
      </c>
    </row>
    <row r="7" spans="1:2" s="1203" customFormat="1">
      <c r="A7" s="1201" t="s">
        <v>566</v>
      </c>
      <c r="B7" s="1202" t="str">
        <f>'预评函-1'!A7</f>
        <v>估价对象为北京市北京市朝阳区安立路68号1层A-1区房地产，为所有。根据《国有土地使用证》[]，估价对象（分摊）出让国有建设用地使用权面积为4272.76平方米，建筑面积为40083.94平方米。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市朝阳区安立路68号1层A-1区房地产,属开发建设的，该项目尚在开发建设中。根据《国有土地使用证》[]，估价对象（分摊）出让国有建设用地使用权面积为4272.76平方米，规划建筑面积为40083.94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北京市朝阳区安立路68号1层A-1区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2023年3月20日（评估专业人员实地查勘之日）</v>
      </c>
    </row>
    <row r="13" spans="1:2" s="1203" customFormat="1">
      <c r="A13" s="1201" t="s">
        <v>529</v>
      </c>
      <c r="B13" s="1202"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101033</v>
      </c>
    </row>
    <row r="21" spans="1:2" s="1203" customFormat="1">
      <c r="A21" s="1201" t="s">
        <v>537</v>
      </c>
      <c r="B21" s="1202">
        <f ca="1">'预评函-2'!D7</f>
        <v>25205</v>
      </c>
    </row>
    <row r="22" spans="1:2" s="1203" customFormat="1">
      <c r="A22" s="1201" t="s">
        <v>538</v>
      </c>
      <c r="B22" s="1202" t="str">
        <f ca="1">'预评函-2'!D6</f>
        <v>壹拾亿壹仟零叁拾叁万元整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101033</v>
      </c>
    </row>
    <row r="31" spans="1:2" s="1203" customFormat="1">
      <c r="A31" s="1201" t="s">
        <v>576</v>
      </c>
      <c r="B31" s="1202">
        <f ca="1">'预评函-2'!D15</f>
        <v>25205</v>
      </c>
    </row>
    <row r="32" spans="1:2" s="1203" customFormat="1">
      <c r="A32" s="1201" t="s">
        <v>543</v>
      </c>
      <c r="B32" s="1202" t="str">
        <f ca="1">'预评函-2'!D14</f>
        <v>壹拾亿壹仟零叁拾叁万元整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北京市北京市朝阳区安立路68号1层A-1区房地产</v>
      </c>
    </row>
    <row r="42" spans="1:2" s="1203" customFormat="1">
      <c r="A42" s="1201" t="s">
        <v>590</v>
      </c>
      <c r="B42" s="1202" t="str">
        <f>'预评函-3'!B2</f>
        <v>建筑面积</v>
      </c>
    </row>
    <row r="43" spans="1:2" s="1203" customFormat="1">
      <c r="A43" s="1201" t="s">
        <v>591</v>
      </c>
      <c r="B43" s="1202">
        <f>'预评函-3'!B4</f>
        <v>40083.94000000001</v>
      </c>
    </row>
    <row r="44" spans="1:2" s="1203" customFormat="1">
      <c r="A44" s="1201" t="s">
        <v>575</v>
      </c>
      <c r="B44" s="1202" t="str">
        <f>'预评函-3'!C2</f>
        <v>(分摊)土地面积</v>
      </c>
    </row>
    <row r="45" spans="1:2" s="1203" customFormat="1">
      <c r="A45" s="1201" t="s">
        <v>547</v>
      </c>
      <c r="B45" s="1202">
        <f>'预评函-3'!C4</f>
        <v>4272.76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2576</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2577</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3477</v>
      </c>
      <c r="C19" s="1547"/>
    </row>
    <row r="20" spans="1:3">
      <c r="A20" s="1546" t="s">
        <v>1048</v>
      </c>
      <c r="B20" s="1546" t="s">
        <v>3479</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安立路68号1层A-1区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4" t="s">
        <v>385</v>
      </c>
      <c r="C54" s="1551" t="s">
        <v>583</v>
      </c>
    </row>
    <row r="55" spans="1:4">
      <c r="A55" s="3517"/>
      <c r="B55" s="1554" t="s">
        <v>386</v>
      </c>
      <c r="C55" s="1551" t="s">
        <v>584</v>
      </c>
    </row>
    <row r="56" spans="1:4">
      <c r="A56" s="3517"/>
      <c r="B56" s="1554" t="s">
        <v>387</v>
      </c>
      <c r="C56" s="1551" t="s">
        <v>588</v>
      </c>
    </row>
    <row r="57" spans="1:4">
      <c r="A57" s="351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18" t="s">
        <v>2579</v>
      </c>
      <c r="J2" s="3518"/>
      <c r="K2" s="3518"/>
      <c r="L2" s="3518"/>
      <c r="M2" s="3518"/>
      <c r="N2" s="3518"/>
      <c r="O2" s="3518"/>
      <c r="P2" s="3518"/>
      <c r="Q2" s="3518"/>
      <c r="R2" s="3518"/>
    </row>
    <row r="3" spans="1:18">
      <c r="A3" s="3017" t="s">
        <v>2500</v>
      </c>
      <c r="B3" s="3018">
        <f>项目基本情况!D3</f>
        <v>45005</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3.75</v>
      </c>
      <c r="D5" s="3022">
        <f>IF(ISERROR(ROUND(POWER(1+E5,A5-C5)*(POWER(1+E5,C5)-1)/(POWER(1+E5,A5)-1),3)),0,ROUND(POWER(1+E5,A5-C5)*(POWER(1+E5,C5)-1)/(POWER(1+E5,A5)-1),4))</f>
        <v>0.17280000000000001</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13.76</v>
      </c>
      <c r="D6" s="3022">
        <f>IF(ISERROR(ROUND(POWER(1+E6,A6-C6)*(POWER(1+E6,C6)-1)/(POWER(1+E6,A6)-1),3)),0,ROUND(POWER(1+E6,A6-C6)*(POWER(1+E6,C6)-1)/(POWER(1+E6,A6)-1),4))</f>
        <v>0.4854</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33.770000000000003</v>
      </c>
      <c r="D7" s="3022">
        <f>IF(ISERROR(ROUND(POWER(1+E7,A7-C7)*(POWER(1+E7,C7)-1)/(POWER(1+E7,A7)-1),3)),0,ROUND(POWER(1+E7,A7-C7)*(POWER(1+E7,C7)-1)/(POWER(1+E7,A7)-1),4))</f>
        <v>0.78439999999999999</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7" t="str">
        <f>IF(B10="北京市","北京市",C10)&amp;F10&amp;IF(结果表!G1="在建","出让国有建设用地使用权及在建建筑物",IF(结果表!G1="土地","出让国有建设用地使用权",))&amp;B9&amp;"预评估"</f>
        <v>北京市北京市朝阳区安立路68号1层A-1区房地产抵押价值预评估</v>
      </c>
      <c r="C1" s="3528"/>
      <c r="D1" s="3528"/>
      <c r="E1" s="3528"/>
      <c r="F1" s="3528"/>
      <c r="G1" s="3528"/>
      <c r="H1" s="3528"/>
      <c r="I1" s="3529"/>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北京市北京市朝阳区安立路68号1层A-1区房地产抵押价值</v>
      </c>
      <c r="T1" s="1745"/>
      <c r="U1" s="1745"/>
      <c r="V1" s="1745"/>
      <c r="W1" s="1745"/>
      <c r="X1" s="1745"/>
      <c r="Y1" s="1745"/>
      <c r="Z1" s="1745"/>
      <c r="AA1" s="1745"/>
      <c r="AB1" s="1745"/>
    </row>
    <row r="2" spans="1:30">
      <c r="A2" s="2367" t="s">
        <v>2169</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北京市北京市朝阳区安立路68号1层A-1区房地产</v>
      </c>
      <c r="T2" s="1745"/>
      <c r="U2" s="1745"/>
      <c r="V2" s="1745"/>
      <c r="W2" s="1745"/>
      <c r="X2" s="1745"/>
      <c r="Y2" s="1745"/>
      <c r="Z2" s="1745"/>
      <c r="AA2" s="1745"/>
      <c r="AB2" s="1745"/>
    </row>
    <row r="3" spans="1:30">
      <c r="A3" s="302" t="s">
        <v>2170</v>
      </c>
      <c r="B3" s="2373">
        <v>45005</v>
      </c>
      <c r="C3" s="2374" t="s">
        <v>2171</v>
      </c>
      <c r="D3" s="2373">
        <f>B3</f>
        <v>45005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3455</v>
      </c>
      <c r="C4" s="2376">
        <f ca="1">SUMIF(注册房地产估价师,B4,估价师及机构信息!B3:B24)</f>
        <v>1419970001</v>
      </c>
      <c r="D4" s="2375" t="s">
        <v>3456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3457</v>
      </c>
      <c r="C8" s="2390"/>
      <c r="D8" s="3530" t="s">
        <v>2177</v>
      </c>
      <c r="E8" s="2391" t="s">
        <v>3458</v>
      </c>
      <c r="F8" s="2392"/>
      <c r="G8" s="2661"/>
      <c r="H8" s="2661"/>
      <c r="I8" s="2661"/>
      <c r="J8" s="2439"/>
      <c r="K8" s="2612"/>
      <c r="L8" s="2611"/>
      <c r="M8" s="2611"/>
      <c r="N8" s="2439"/>
      <c r="O8" s="2450"/>
      <c r="P8" s="2439"/>
      <c r="Q8" s="2439"/>
      <c r="R8" s="2439"/>
    </row>
    <row r="9" spans="1:30" ht="13.5" thickBot="1">
      <c r="A9" s="2393" t="s">
        <v>2178</v>
      </c>
      <c r="B9" s="2394" t="s">
        <v>3458</v>
      </c>
      <c r="C9" s="2395"/>
      <c r="D9" s="3531"/>
      <c r="E9" s="2394" t="s">
        <v>43</v>
      </c>
      <c r="F9" s="2396"/>
      <c r="G9" s="2663"/>
      <c r="H9" s="2663"/>
      <c r="I9" s="2663"/>
      <c r="J9" s="2439"/>
      <c r="K9" s="2614"/>
      <c r="L9" s="2611"/>
      <c r="M9" s="2611"/>
      <c r="N9" s="2439"/>
      <c r="O9" s="2450"/>
      <c r="P9" s="2439"/>
      <c r="Q9" s="2439"/>
      <c r="R9" s="2439"/>
    </row>
    <row r="10" spans="1:30" ht="13.5" thickTop="1">
      <c r="A10" s="2397" t="s">
        <v>2179</v>
      </c>
      <c r="B10" s="2398" t="s">
        <v>3459</v>
      </c>
      <c r="C10" s="2399"/>
      <c r="D10" s="2382"/>
      <c r="E10" s="2400" t="s">
        <v>2180</v>
      </c>
      <c r="F10" s="3470" t="str">
        <f>面积指标!$B$2</f>
        <v>北京市朝阳区安立路68号1层A-1区</v>
      </c>
      <c r="G10" s="2664"/>
      <c r="H10" s="2665"/>
      <c r="I10" s="2666"/>
      <c r="J10" s="2439"/>
      <c r="K10" s="2614"/>
      <c r="L10" s="2611"/>
      <c r="M10" s="2611"/>
      <c r="N10" s="2439"/>
      <c r="O10" s="2450"/>
      <c r="P10" s="2439"/>
      <c r="Q10" s="2439"/>
      <c r="R10" s="2439"/>
    </row>
    <row r="11" spans="1:30">
      <c r="A11" s="2401" t="s">
        <v>2181</v>
      </c>
      <c r="B11" s="2402" t="s">
        <v>3460</v>
      </c>
      <c r="C11" s="2403"/>
      <c r="D11" s="2404"/>
      <c r="E11" s="2370"/>
      <c r="F11" s="2370"/>
      <c r="G11" s="2370"/>
      <c r="H11" s="2370"/>
      <c r="I11" s="2370"/>
      <c r="J11" s="3058"/>
      <c r="K11" s="3057"/>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6" t="s">
        <v>2575</v>
      </c>
      <c r="J12" s="3059"/>
      <c r="K12" s="2611"/>
      <c r="L12" s="2611"/>
      <c r="M12" s="2439"/>
      <c r="N12" s="2450"/>
      <c r="O12" s="2439"/>
      <c r="P12" s="2439"/>
      <c r="Q12" s="2439"/>
      <c r="AD12" s="1745"/>
    </row>
    <row r="13" spans="1:30">
      <c r="A13" s="3420" t="s">
        <v>3335</v>
      </c>
      <c r="B13" s="2407" t="s">
        <v>2190</v>
      </c>
      <c r="C13" s="856"/>
      <c r="D13" s="856">
        <v>52333</v>
      </c>
      <c r="E13" s="856">
        <v>55986</v>
      </c>
      <c r="F13" s="856"/>
      <c r="G13" s="856"/>
      <c r="H13" s="856"/>
      <c r="I13" s="856"/>
      <c r="J13" s="3059"/>
      <c r="K13" s="2611"/>
      <c r="L13" s="2611"/>
      <c r="M13" s="2439"/>
      <c r="N13" s="2450"/>
      <c r="O13" s="2439"/>
      <c r="P13" s="2439"/>
      <c r="Q13" s="2439"/>
      <c r="AD13" s="1745"/>
    </row>
    <row r="14" spans="1:30">
      <c r="A14" s="1081"/>
      <c r="B14" s="2407" t="s">
        <v>2191</v>
      </c>
      <c r="C14" s="2408"/>
      <c r="D14" s="2408">
        <v>40</v>
      </c>
      <c r="E14" s="2408">
        <v>50</v>
      </c>
      <c r="F14" s="2408"/>
      <c r="G14" s="2408"/>
      <c r="H14" s="2408"/>
      <c r="I14" s="2408"/>
      <c r="J14" s="3060"/>
      <c r="K14" s="2611"/>
      <c r="L14" s="2611"/>
      <c r="M14" s="2439"/>
      <c r="N14" s="2450"/>
      <c r="O14" s="2439"/>
      <c r="P14" s="2439"/>
      <c r="Q14" s="2439"/>
      <c r="AD14" s="1745"/>
    </row>
    <row r="15" spans="1:30">
      <c r="A15" s="320"/>
      <c r="B15" s="2409" t="s">
        <v>2192</v>
      </c>
      <c r="C15" s="2410" t="str">
        <f>IF(A13="出让",IF(C13="","",ROUNDDOWN(MIN((C13-$D$3)/365,C14),2)),C14)</f>
        <v/>
      </c>
      <c r="D15" s="2410">
        <f>IF(A13="出让",IF(D13="","",ROUNDDOWN(MIN((D13-$D$3)/365,D14),2)),D14)</f>
        <v>20.07</v>
      </c>
      <c r="E15" s="2410">
        <f>IF(A13="出让",IF(E13="","",ROUNDDOWN(MIN((E13-$D$3)/365,E14),2)),E14)</f>
        <v>30.08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7"/>
      <c r="N15" s="2451"/>
      <c r="O15" s="2507"/>
      <c r="P15" s="2439"/>
      <c r="Q15" s="2439"/>
      <c r="AD15" s="1745"/>
    </row>
    <row r="16" spans="1:30">
      <c r="A16" s="2400" t="s">
        <v>2193</v>
      </c>
      <c r="B16" s="3537"/>
      <c r="C16" s="3538"/>
      <c r="D16" s="3539"/>
      <c r="E16" s="2413" t="s">
        <v>2194</v>
      </c>
      <c r="F16" s="3540"/>
      <c r="G16" s="3541"/>
      <c r="H16" s="3541"/>
      <c r="I16" s="3542"/>
      <c r="J16" s="2439"/>
      <c r="K16" s="2615"/>
      <c r="L16" s="2451"/>
      <c r="M16" s="2451"/>
      <c r="N16" s="2507"/>
      <c r="O16" s="2451"/>
      <c r="P16" s="2507"/>
      <c r="Q16" s="2439"/>
      <c r="R16" s="2439"/>
    </row>
    <row r="17" spans="1:28">
      <c r="A17" s="313" t="s">
        <v>2195</v>
      </c>
      <c r="B17" s="302" t="s">
        <v>2196</v>
      </c>
      <c r="C17" s="8">
        <f>'数据-汇总表'!E3</f>
        <v>40083.94000000001</v>
      </c>
      <c r="D17" s="2322" t="s">
        <v>2197</v>
      </c>
      <c r="E17" s="3543" t="s">
        <v>2198</v>
      </c>
      <c r="F17" s="3544"/>
      <c r="G17" s="3544"/>
      <c r="H17" s="3544"/>
      <c r="I17" s="3545"/>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4272.76</v>
      </c>
      <c r="D18" s="1092" t="s">
        <v>2201</v>
      </c>
      <c r="E18" s="3546" t="s">
        <v>2202</v>
      </c>
      <c r="F18" s="3547"/>
      <c r="G18" s="3547"/>
      <c r="H18" s="3547"/>
      <c r="I18" s="3548"/>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33" t="s">
        <v>2206</v>
      </c>
      <c r="C20" s="3534"/>
      <c r="D20" s="3535" t="s">
        <v>2207</v>
      </c>
      <c r="E20" s="3536"/>
      <c r="F20" s="2645" t="s">
        <v>1056</v>
      </c>
      <c r="G20" s="2662"/>
      <c r="H20" s="2662"/>
      <c r="I20" s="2662"/>
      <c r="J20" s="2439"/>
      <c r="K20" s="353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0"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0"/>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0"/>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1"/>
      <c r="B30" s="302" t="s">
        <v>2218</v>
      </c>
      <c r="C30" s="3522"/>
      <c r="D30" s="3523"/>
      <c r="E30" s="2662"/>
      <c r="F30" s="2662"/>
      <c r="G30" s="2662"/>
      <c r="H30" s="2662"/>
      <c r="I30" s="2662"/>
      <c r="J30" s="2439"/>
      <c r="K30" s="2614"/>
      <c r="L30" s="2611"/>
      <c r="M30" s="2611"/>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2" t="s">
        <v>2578</v>
      </c>
      <c r="G36" s="2662"/>
      <c r="H36" s="2662"/>
      <c r="I36" s="2662"/>
      <c r="J36" s="2439"/>
      <c r="K36" s="2614"/>
      <c r="L36" s="2611"/>
      <c r="M36" s="2611"/>
      <c r="N36" s="2439"/>
      <c r="O36" s="2450"/>
      <c r="P36" s="2439"/>
      <c r="Q36" s="2439"/>
      <c r="R36" s="2439"/>
      <c r="S36" s="2439"/>
      <c r="T36" s="2439"/>
      <c r="U36" s="2439"/>
      <c r="V36" s="2439"/>
    </row>
    <row r="37" spans="1:30">
      <c r="A37" s="2628" t="s">
        <v>2230</v>
      </c>
      <c r="B37" s="2431" t="s">
        <v>296</v>
      </c>
      <c r="C37" s="2431" t="s">
        <v>296</v>
      </c>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t="s">
        <v>2943</v>
      </c>
      <c r="C38" s="2432" t="s">
        <v>2935</v>
      </c>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573" customWidth="1"/>
    <col min="2" max="2" width="11" style="1573" customWidth="1"/>
    <col min="3" max="3" width="27.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面积指标!C26</f>
        <v>4272.76</v>
      </c>
      <c r="B3" s="11">
        <f>IF(C3="否",G5-AT5,G5)</f>
        <v>40083.94000000001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40083.94000000001</v>
      </c>
      <c r="H5" s="13">
        <f t="shared" ref="H5:AT5" si="0">SUM(H13:H656)</f>
        <v>40083.94000000001</v>
      </c>
      <c r="I5" s="13">
        <f t="shared" si="0"/>
        <v>12616.670000000002</v>
      </c>
      <c r="J5" s="13">
        <f t="shared" si="0"/>
        <v>0</v>
      </c>
      <c r="K5" s="13">
        <f t="shared" si="0"/>
        <v>8169.5</v>
      </c>
      <c r="L5" s="13">
        <f t="shared" si="0"/>
        <v>0</v>
      </c>
      <c r="M5" s="13">
        <f t="shared" si="0"/>
        <v>19297.77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40083.94000000001</v>
      </c>
      <c r="BA5" s="15">
        <f t="shared" si="1"/>
        <v>40083.94000000001</v>
      </c>
      <c r="BB5" s="15">
        <f t="shared" si="1"/>
        <v>12616.670000000002</v>
      </c>
      <c r="BC5" s="15">
        <f t="shared" si="1"/>
        <v>8169.5</v>
      </c>
      <c r="BD5" s="15">
        <f t="shared" si="1"/>
        <v>19297.77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4272.76</v>
      </c>
      <c r="F6" s="13" t="s">
        <v>0</v>
      </c>
      <c r="G6" s="13" t="s">
        <v>1</v>
      </c>
      <c r="H6" s="17">
        <f>SUMIF(I$12:AB$12,"总值",I6:AB6)</f>
        <v>4272.76</v>
      </c>
      <c r="I6" s="13">
        <f t="shared" ref="I6:AB6" si="2">ROUND($A$3*I5/$B$3,2)</f>
        <v>1344.88</v>
      </c>
      <c r="J6" s="13">
        <f t="shared" si="2"/>
        <v>0</v>
      </c>
      <c r="K6" s="13">
        <f t="shared" si="2"/>
        <v>870.83</v>
      </c>
      <c r="L6" s="13">
        <f t="shared" si="2"/>
        <v>0</v>
      </c>
      <c r="M6" s="13">
        <f t="shared" si="2"/>
        <v>2057.0500000000002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4272.76</v>
      </c>
      <c r="AZ6" s="13" t="s">
        <v>2</v>
      </c>
      <c r="BA6" s="13">
        <f>ROUND($AY$6*BA5/$AZ$5,2)</f>
        <v>4272.76</v>
      </c>
      <c r="BB6" s="13">
        <f>ROUND($AY$6*BB5/$AZ$5,2)</f>
        <v>1344.88</v>
      </c>
      <c r="BC6" s="13">
        <f t="shared" ref="BC6:BH6" si="4">ROUND($AY$6*BC5/$AZ$5,2)</f>
        <v>870.83</v>
      </c>
      <c r="BD6" s="13">
        <f t="shared" si="4"/>
        <v>2057.0500000000002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3462</v>
      </c>
      <c r="J9" s="809"/>
      <c r="K9" s="1603" t="s">
        <v>3462</v>
      </c>
      <c r="L9" s="809"/>
      <c r="M9" s="1603" t="s">
        <v>3465</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t="s">
        <v>673</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3463</v>
      </c>
      <c r="J11" s="1615"/>
      <c r="K11" s="1614" t="s">
        <v>3464</v>
      </c>
      <c r="L11" s="1615"/>
      <c r="M11" s="1614" t="s">
        <v>3463</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t="str">
        <f>M10</f>
        <v>商业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办公楼</v>
      </c>
      <c r="BD12" s="1624" t="str">
        <f>M11</f>
        <v>独立商业</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5" customHeight="1">
      <c r="A13" s="1051"/>
      <c r="B13" s="1051"/>
      <c r="C13" s="1051" t="str">
        <f>面积指标!B2</f>
        <v>北京市朝阳区安立路68号1层A-1区</v>
      </c>
      <c r="D13" s="1625" t="s">
        <v>3461</v>
      </c>
      <c r="E13" s="13">
        <f>IF($C$3="是",ROUND($A$3*G13/$B$3,2),ROUND($A$3*(G13-AT13)/$B$3,2))</f>
        <v>48.53</v>
      </c>
      <c r="F13" s="29"/>
      <c r="G13" s="30">
        <f>H13+AC13+AT13</f>
        <v>455.3</v>
      </c>
      <c r="H13" s="17">
        <f>SUMIF(I$12:AB$12,"总值",I13:AB13)</f>
        <v>455.3</v>
      </c>
      <c r="I13" s="1626">
        <f>面积指标!F2</f>
        <v>455.3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北京市朝阳区安立路68号1层A-1区</v>
      </c>
      <c r="AY13" s="1349">
        <f>ROUND($AY$6*AZ13/$AZ$5,2)</f>
        <v>48.53</v>
      </c>
      <c r="AZ13" s="13">
        <f>BA13+BL13</f>
        <v>455.3</v>
      </c>
      <c r="BA13" s="13">
        <f>SUM(BB13:BK13)</f>
        <v>455.3</v>
      </c>
      <c r="BB13" s="13">
        <f>IF($D13="是",I13-J13,0)</f>
        <v>455.3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5" customHeight="1">
      <c r="A14" s="1051"/>
      <c r="B14" s="1051"/>
      <c r="C14" s="1051" t="str">
        <f>面积指标!B3</f>
        <v>北京市朝阳区安立路68号1层2区</v>
      </c>
      <c r="D14" s="1625" t="s">
        <v>3461</v>
      </c>
      <c r="E14" s="13">
        <f>IF($C$3="是",ROUND($A$3*G14/$B$3,2),ROUND($A$3*(G14-AT14)/$B$3,2))</f>
        <v>144.55000000000001</v>
      </c>
      <c r="F14" s="29"/>
      <c r="G14" s="30">
        <f>H14+AC14+AT14</f>
        <v>1356.1</v>
      </c>
      <c r="H14" s="17">
        <f>SUMIF(I$12:AB$12,"总值",I14:AB14)</f>
        <v>1356.1</v>
      </c>
      <c r="I14" s="1626">
        <f>面积指标!F3</f>
        <v>1356.1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北京市朝阳区安立路68号1层2区</v>
      </c>
      <c r="AY14" s="1349">
        <f>ROUND($AY$6*AZ14/$AZ$5,2)</f>
        <v>144.55000000000001</v>
      </c>
      <c r="AZ14" s="13">
        <f>BA14+BL14</f>
        <v>1356.1</v>
      </c>
      <c r="BA14" s="13">
        <f>SUM(BB14:BK14)</f>
        <v>1356.1</v>
      </c>
      <c r="BB14" s="13">
        <f>IF($D14="是",I14-J14,0)</f>
        <v>1356.1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5" customHeight="1">
      <c r="A15" s="1051"/>
      <c r="B15" s="1051"/>
      <c r="C15" s="1051" t="str">
        <f>面积指标!B4</f>
        <v>北京市朝阳区安立路68号1层3区</v>
      </c>
      <c r="D15" s="1625" t="s">
        <v>3461</v>
      </c>
      <c r="E15" s="13">
        <f>IF($C$3="是",ROUND($A$3*G15/$B$3,2),ROUND($A$3*(G15-AT15)/$B$3,2))</f>
        <v>186.22</v>
      </c>
      <c r="F15" s="29"/>
      <c r="G15" s="30">
        <f>H15+AC15+AT15</f>
        <v>1746.94</v>
      </c>
      <c r="H15" s="17">
        <f>SUMIF(I$12:AB$12,"总值",I15:AB15)</f>
        <v>1746.94</v>
      </c>
      <c r="I15" s="1626">
        <f>面积指标!F4</f>
        <v>1746.94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北京市朝阳区安立路68号1层3区</v>
      </c>
      <c r="AY15" s="1349">
        <f>ROUND($AY$6*AZ15/$AZ$5,2)</f>
        <v>186.22</v>
      </c>
      <c r="AZ15" s="13">
        <f>BA15+BL15</f>
        <v>1746.94</v>
      </c>
      <c r="BA15" s="13">
        <f>SUM(BB15:BK15)</f>
        <v>1746.94</v>
      </c>
      <c r="BB15" s="13">
        <f>IF($D15="是",I15-J15,0)</f>
        <v>1746.94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5" customHeight="1">
      <c r="A16" s="1051"/>
      <c r="B16" s="1051"/>
      <c r="C16" s="1051" t="str">
        <f>面积指标!B5</f>
        <v>北京市朝阳区安立路68号1层4区</v>
      </c>
      <c r="D16" s="1625" t="s">
        <v>3461</v>
      </c>
      <c r="E16" s="13">
        <f>IF($C$3="是",ROUND($A$3*G16/$B$3,2),ROUND($A$3*(G16-AT16)/$B$3,2))</f>
        <v>114.08</v>
      </c>
      <c r="F16" s="29"/>
      <c r="G16" s="30">
        <f>H16+AC16+AT16</f>
        <v>1070.23</v>
      </c>
      <c r="H16" s="17">
        <f>SUMIF(I$12:AB$12,"总值",I16:AB16)</f>
        <v>1070.23</v>
      </c>
      <c r="I16" s="1626">
        <f>面积指标!F5</f>
        <v>1070.23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北京市朝阳区安立路68号1层4区</v>
      </c>
      <c r="AY16" s="1349">
        <f>ROUND($AY$6*AZ16/$AZ$5,2)</f>
        <v>114.08</v>
      </c>
      <c r="AZ16" s="13">
        <f>BA16+BL16</f>
        <v>1070.23</v>
      </c>
      <c r="BA16" s="13">
        <f>SUM(BB16:BK16)</f>
        <v>1070.23</v>
      </c>
      <c r="BB16" s="13">
        <f>IF($D16="是",I16-J16,0)</f>
        <v>1070.23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5" customHeight="1">
      <c r="A17" s="1051"/>
      <c r="B17" s="1051"/>
      <c r="C17" s="1051" t="str">
        <f>面积指标!B6</f>
        <v>北京市朝阳区安立路68号1层5区</v>
      </c>
      <c r="D17" s="1625" t="s">
        <v>3461</v>
      </c>
      <c r="E17" s="13">
        <f>IF($C$3="是",ROUND($A$3*G17/$B$3,2),ROUND($A$3*(G17-AT17)/$B$3,2))</f>
        <v>25.48</v>
      </c>
      <c r="F17" s="29"/>
      <c r="G17" s="30">
        <f>H17+AC17+AT17</f>
        <v>239.04</v>
      </c>
      <c r="H17" s="17">
        <f>SUMIF(I$12:AB$12,"总值",I17:AB17)</f>
        <v>239.04</v>
      </c>
      <c r="I17" s="1626">
        <f>面积指标!F6</f>
        <v>239.04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北京市朝阳区安立路68号1层5区</v>
      </c>
      <c r="AY17" s="1349">
        <f>ROUND($AY$6*AZ17/$AZ$5,2)</f>
        <v>25.48</v>
      </c>
      <c r="AZ17" s="13">
        <f>BA17+BL17</f>
        <v>239.04</v>
      </c>
      <c r="BA17" s="13">
        <f>SUM(BB17:BK17)</f>
        <v>239.04</v>
      </c>
      <c r="BB17" s="13">
        <f>IF($D17="是",I17-J17,0)</f>
        <v>239.04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ustomHeight="1">
      <c r="A18" s="6"/>
      <c r="B18" s="31"/>
      <c r="C18" s="1051" t="str">
        <f>面积指标!B7</f>
        <v>北京市朝阳区安立路68号1层A-6区</v>
      </c>
      <c r="D18" s="1625" t="s">
        <v>3461</v>
      </c>
      <c r="E18" s="32">
        <f t="shared" ref="E18:E112" si="7">IF($C$3="是",ROUND($A$3*G18/$B$3,2),ROUND($A$3*(G18-AT18)/$B$3,2))</f>
        <v>430.02</v>
      </c>
      <c r="F18" s="33"/>
      <c r="G18" s="34">
        <f t="shared" ref="G18:G109" si="8">H18+AC18+AT18</f>
        <v>4034.09</v>
      </c>
      <c r="H18" s="35">
        <f t="shared" ref="H18:H109" si="9">SUMIF(I$12:AB$12,"总值",I18:AB18)</f>
        <v>4034.09</v>
      </c>
      <c r="I18" s="1626">
        <f>面积指标!F7</f>
        <v>4034.09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北京市朝阳区安立路68号1层A-6区</v>
      </c>
      <c r="AY18" s="39">
        <f t="shared" ref="AY18:AY109" si="14">ROUND($AY$6*AZ18/$AZ$5,2)</f>
        <v>430.02</v>
      </c>
      <c r="AZ18" s="32">
        <f t="shared" ref="AZ18:AZ109" si="15">BA18+BL18</f>
        <v>4034.09</v>
      </c>
      <c r="BA18" s="32">
        <f t="shared" ref="BA18:BA109" si="16">SUM(BB18:BK18)</f>
        <v>4034.09</v>
      </c>
      <c r="BB18" s="32">
        <f t="shared" ref="BB18:BB109" si="17">IF($D18="是",I18-J18,0)</f>
        <v>4034.09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5" customHeight="1">
      <c r="A19" s="6"/>
      <c r="B19" s="31"/>
      <c r="C19" s="1051" t="str">
        <f>面积指标!B8</f>
        <v>北京市朝阳区安立路68号1层A-7区</v>
      </c>
      <c r="D19" s="1625" t="s">
        <v>3461</v>
      </c>
      <c r="E19" s="32">
        <f t="shared" si="7"/>
        <v>189.54</v>
      </c>
      <c r="F19" s="33"/>
      <c r="G19" s="34">
        <f t="shared" si="8"/>
        <v>1778.1</v>
      </c>
      <c r="H19" s="35">
        <f t="shared" si="9"/>
        <v>1778.1</v>
      </c>
      <c r="I19" s="1626">
        <f>面积指标!F8</f>
        <v>1778.1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北京市朝阳区安立路68号1层A-7区</v>
      </c>
      <c r="AY19" s="39">
        <f t="shared" si="14"/>
        <v>189.54</v>
      </c>
      <c r="AZ19" s="32">
        <f t="shared" si="15"/>
        <v>1778.1</v>
      </c>
      <c r="BA19" s="32">
        <f t="shared" si="16"/>
        <v>1778.1</v>
      </c>
      <c r="BB19" s="32">
        <f t="shared" si="17"/>
        <v>1778.1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5" customHeight="1">
      <c r="A20" s="6"/>
      <c r="B20" s="31"/>
      <c r="C20" s="1051" t="str">
        <f>面积指标!B9</f>
        <v>北京市朝阳区安立路68号1层8区</v>
      </c>
      <c r="D20" s="1625" t="s">
        <v>3461</v>
      </c>
      <c r="E20" s="32">
        <f t="shared" si="7"/>
        <v>206.46</v>
      </c>
      <c r="F20" s="33"/>
      <c r="G20" s="34">
        <f t="shared" si="8"/>
        <v>1936.87</v>
      </c>
      <c r="H20" s="35">
        <f t="shared" si="9"/>
        <v>1936.87</v>
      </c>
      <c r="I20" s="1626">
        <f>面积指标!F9</f>
        <v>1936.87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北京市朝阳区安立路68号1层8区</v>
      </c>
      <c r="AY20" s="39">
        <f t="shared" si="14"/>
        <v>206.46</v>
      </c>
      <c r="AZ20" s="32">
        <f t="shared" si="15"/>
        <v>1936.87</v>
      </c>
      <c r="BA20" s="32">
        <f t="shared" si="16"/>
        <v>1936.87</v>
      </c>
      <c r="BB20" s="32">
        <f t="shared" si="17"/>
        <v>1936.87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5" customHeight="1">
      <c r="A21" s="6"/>
      <c r="B21" s="31"/>
      <c r="C21" s="1051" t="str">
        <f>面积指标!B10</f>
        <v>北京市朝阳区安立路68号2层68-1</v>
      </c>
      <c r="D21" s="1625" t="s">
        <v>3461</v>
      </c>
      <c r="E21" s="32">
        <f t="shared" si="7"/>
        <v>234.64</v>
      </c>
      <c r="F21" s="33"/>
      <c r="G21" s="34">
        <f t="shared" si="8"/>
        <v>2201.21</v>
      </c>
      <c r="H21" s="35">
        <f t="shared" si="9"/>
        <v>2201.21</v>
      </c>
      <c r="I21" s="36"/>
      <c r="J21" s="36"/>
      <c r="K21" s="36">
        <f>面积指标!F10</f>
        <v>2201.21</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北京市朝阳区安立路68号2层68-1</v>
      </c>
      <c r="AY21" s="39">
        <f t="shared" si="14"/>
        <v>234.64</v>
      </c>
      <c r="AZ21" s="32">
        <f t="shared" si="15"/>
        <v>2201.21</v>
      </c>
      <c r="BA21" s="32">
        <f t="shared" si="16"/>
        <v>2201.21</v>
      </c>
      <c r="BB21" s="32">
        <f t="shared" si="17"/>
        <v>0</v>
      </c>
      <c r="BC21" s="32">
        <f t="shared" si="18"/>
        <v>2201.21</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5" customHeight="1">
      <c r="A22" s="6"/>
      <c r="B22" s="31"/>
      <c r="C22" s="1051" t="str">
        <f>面积指标!B11</f>
        <v>北京市朝阳区安立路68号2层68-2</v>
      </c>
      <c r="D22" s="1625" t="s">
        <v>3461</v>
      </c>
      <c r="E22" s="32">
        <f t="shared" si="7"/>
        <v>218.14</v>
      </c>
      <c r="F22" s="33"/>
      <c r="G22" s="34">
        <f t="shared" si="8"/>
        <v>2046.46</v>
      </c>
      <c r="H22" s="35">
        <f t="shared" si="9"/>
        <v>2046.46</v>
      </c>
      <c r="I22" s="36"/>
      <c r="J22" s="36"/>
      <c r="K22" s="36">
        <f>面积指标!F11</f>
        <v>2046.46</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北京市朝阳区安立路68号2层68-2</v>
      </c>
      <c r="AY22" s="39">
        <f t="shared" si="14"/>
        <v>218.14</v>
      </c>
      <c r="AZ22" s="32">
        <f t="shared" si="15"/>
        <v>2046.46</v>
      </c>
      <c r="BA22" s="32">
        <f t="shared" si="16"/>
        <v>2046.46</v>
      </c>
      <c r="BB22" s="32">
        <f t="shared" si="17"/>
        <v>0</v>
      </c>
      <c r="BC22" s="32">
        <f t="shared" si="18"/>
        <v>2046.46</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5" customHeight="1">
      <c r="A23" s="6"/>
      <c r="B23" s="31"/>
      <c r="C23" s="1051" t="str">
        <f>面积指标!B12</f>
        <v>北京市朝阳区安立路68号2层68-3</v>
      </c>
      <c r="D23" s="1625" t="s">
        <v>3461</v>
      </c>
      <c r="E23" s="32">
        <f t="shared" si="7"/>
        <v>219.76</v>
      </c>
      <c r="F23" s="33"/>
      <c r="G23" s="34">
        <f t="shared" si="8"/>
        <v>2061.62</v>
      </c>
      <c r="H23" s="35">
        <f t="shared" si="9"/>
        <v>2061.62</v>
      </c>
      <c r="I23" s="36"/>
      <c r="J23" s="36"/>
      <c r="K23" s="36">
        <f>面积指标!F12</f>
        <v>2061.62</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北京市朝阳区安立路68号2层68-3</v>
      </c>
      <c r="AY23" s="39">
        <f t="shared" si="14"/>
        <v>219.76</v>
      </c>
      <c r="AZ23" s="32">
        <f t="shared" si="15"/>
        <v>2061.62</v>
      </c>
      <c r="BA23" s="32">
        <f t="shared" si="16"/>
        <v>2061.62</v>
      </c>
      <c r="BB23" s="32">
        <f t="shared" si="17"/>
        <v>0</v>
      </c>
      <c r="BC23" s="32">
        <f t="shared" si="18"/>
        <v>2061.62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5" customHeight="1">
      <c r="A24" s="6"/>
      <c r="B24" s="31"/>
      <c r="C24" s="1051" t="str">
        <f>面积指标!B13</f>
        <v>北京市朝阳区安立路68号2层68-4</v>
      </c>
      <c r="D24" s="1625" t="s">
        <v>3461</v>
      </c>
      <c r="E24" s="32">
        <f t="shared" si="7"/>
        <v>198.29</v>
      </c>
      <c r="F24" s="33"/>
      <c r="G24" s="34">
        <f t="shared" si="8"/>
        <v>1860.21</v>
      </c>
      <c r="H24" s="35">
        <f t="shared" si="9"/>
        <v>1860.21</v>
      </c>
      <c r="I24" s="36"/>
      <c r="J24" s="36"/>
      <c r="K24" s="36">
        <f>面积指标!F13</f>
        <v>1860.21</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北京市朝阳区安立路68号2层68-4</v>
      </c>
      <c r="AY24" s="39">
        <f t="shared" si="14"/>
        <v>198.29</v>
      </c>
      <c r="AZ24" s="32">
        <f t="shared" si="15"/>
        <v>1860.21</v>
      </c>
      <c r="BA24" s="32">
        <f t="shared" si="16"/>
        <v>1860.21</v>
      </c>
      <c r="BB24" s="32">
        <f t="shared" si="17"/>
        <v>0</v>
      </c>
      <c r="BC24" s="32">
        <f t="shared" si="18"/>
        <v>1860.21</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5" customHeight="1">
      <c r="A25" s="6"/>
      <c r="B25" s="31"/>
      <c r="C25" s="1051" t="str">
        <f>面积指标!B14</f>
        <v>北京市朝阳区安立路68号-1层A-1区</v>
      </c>
      <c r="D25" s="1625" t="s">
        <v>3461</v>
      </c>
      <c r="E25" s="32">
        <f t="shared" si="7"/>
        <v>129.94</v>
      </c>
      <c r="F25" s="33"/>
      <c r="G25" s="34">
        <f t="shared" si="8"/>
        <v>1218.97</v>
      </c>
      <c r="H25" s="35">
        <f t="shared" si="9"/>
        <v>1218.97</v>
      </c>
      <c r="I25" s="36"/>
      <c r="J25" s="36"/>
      <c r="K25" s="36"/>
      <c r="L25" s="36"/>
      <c r="M25" s="36">
        <f>面积指标!F14</f>
        <v>1218.97</v>
      </c>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北京市朝阳区安立路68号-1层A-1区</v>
      </c>
      <c r="AY25" s="39">
        <f t="shared" si="14"/>
        <v>129.94</v>
      </c>
      <c r="AZ25" s="32">
        <f t="shared" si="15"/>
        <v>1218.97</v>
      </c>
      <c r="BA25" s="32">
        <f t="shared" si="16"/>
        <v>1218.97</v>
      </c>
      <c r="BB25" s="32">
        <f t="shared" si="17"/>
        <v>0</v>
      </c>
      <c r="BC25" s="32">
        <f t="shared" si="18"/>
        <v>0</v>
      </c>
      <c r="BD25" s="32">
        <f t="shared" si="19"/>
        <v>1218.97</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5" customHeight="1">
      <c r="A26" s="6"/>
      <c r="B26" s="31"/>
      <c r="C26" s="1051" t="str">
        <f>面积指标!B15</f>
        <v>北京市朝阳区安立路68号-1层2区</v>
      </c>
      <c r="D26" s="1625" t="s">
        <v>3461</v>
      </c>
      <c r="E26" s="32">
        <f t="shared" si="7"/>
        <v>154.96</v>
      </c>
      <c r="F26" s="33"/>
      <c r="G26" s="34">
        <f t="shared" si="8"/>
        <v>1453.72</v>
      </c>
      <c r="H26" s="35">
        <f t="shared" si="9"/>
        <v>1453.72</v>
      </c>
      <c r="I26" s="36"/>
      <c r="J26" s="36"/>
      <c r="K26" s="36"/>
      <c r="L26" s="36"/>
      <c r="M26" s="36">
        <f>面积指标!F15</f>
        <v>1453.72</v>
      </c>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北京市朝阳区安立路68号-1层2区</v>
      </c>
      <c r="AY26" s="39">
        <f t="shared" si="14"/>
        <v>154.96</v>
      </c>
      <c r="AZ26" s="32">
        <f t="shared" si="15"/>
        <v>1453.72</v>
      </c>
      <c r="BA26" s="32">
        <f t="shared" si="16"/>
        <v>1453.72</v>
      </c>
      <c r="BB26" s="32">
        <f t="shared" si="17"/>
        <v>0</v>
      </c>
      <c r="BC26" s="32">
        <f t="shared" si="18"/>
        <v>0</v>
      </c>
      <c r="BD26" s="32">
        <f t="shared" si="19"/>
        <v>1453.72</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5" customHeight="1">
      <c r="A27" s="6"/>
      <c r="B27" s="31"/>
      <c r="C27" s="1051" t="str">
        <f>面积指标!B16</f>
        <v>北京市朝阳区安立路68号-1层3区</v>
      </c>
      <c r="D27" s="1625" t="s">
        <v>3461</v>
      </c>
      <c r="E27" s="32">
        <f t="shared" si="7"/>
        <v>134.19</v>
      </c>
      <c r="F27" s="33"/>
      <c r="G27" s="34">
        <f t="shared" si="8"/>
        <v>1258.8800000000001</v>
      </c>
      <c r="H27" s="35">
        <f t="shared" si="9"/>
        <v>1258.8800000000001</v>
      </c>
      <c r="I27" s="36"/>
      <c r="J27" s="36"/>
      <c r="K27" s="36"/>
      <c r="L27" s="36"/>
      <c r="M27" s="36">
        <f>面积指标!F16</f>
        <v>1258.8800000000001</v>
      </c>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北京市朝阳区安立路68号-1层3区</v>
      </c>
      <c r="AY27" s="39">
        <f t="shared" si="14"/>
        <v>134.19</v>
      </c>
      <c r="AZ27" s="32">
        <f t="shared" si="15"/>
        <v>1258.8800000000001</v>
      </c>
      <c r="BA27" s="32">
        <f t="shared" si="16"/>
        <v>1258.8800000000001</v>
      </c>
      <c r="BB27" s="32">
        <f t="shared" si="17"/>
        <v>0</v>
      </c>
      <c r="BC27" s="32">
        <f t="shared" si="18"/>
        <v>0</v>
      </c>
      <c r="BD27" s="32">
        <f t="shared" si="19"/>
        <v>1258.8800000000001</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5" customHeight="1">
      <c r="A28" s="6"/>
      <c r="B28" s="31"/>
      <c r="C28" s="1051" t="str">
        <f>面积指标!B17</f>
        <v>北京市朝阳区安立路68号-1层4区</v>
      </c>
      <c r="D28" s="1625" t="s">
        <v>3461</v>
      </c>
      <c r="E28" s="32">
        <f t="shared" si="7"/>
        <v>177.65</v>
      </c>
      <c r="F28" s="33"/>
      <c r="G28" s="34">
        <f t="shared" si="8"/>
        <v>1666.54</v>
      </c>
      <c r="H28" s="35">
        <f t="shared" si="9"/>
        <v>1666.54</v>
      </c>
      <c r="I28" s="36"/>
      <c r="J28" s="36"/>
      <c r="K28" s="36"/>
      <c r="L28" s="36"/>
      <c r="M28" s="36">
        <f>面积指标!F17</f>
        <v>1666.54</v>
      </c>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北京市朝阳区安立路68号-1层4区</v>
      </c>
      <c r="AY28" s="39">
        <f t="shared" si="14"/>
        <v>177.65</v>
      </c>
      <c r="AZ28" s="32">
        <f t="shared" si="15"/>
        <v>1666.54</v>
      </c>
      <c r="BA28" s="32">
        <f t="shared" si="16"/>
        <v>1666.54</v>
      </c>
      <c r="BB28" s="32">
        <f t="shared" si="17"/>
        <v>0</v>
      </c>
      <c r="BC28" s="32">
        <f t="shared" si="18"/>
        <v>0</v>
      </c>
      <c r="BD28" s="32">
        <f t="shared" si="19"/>
        <v>1666.54</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5" customHeight="1">
      <c r="A29" s="6"/>
      <c r="B29" s="31"/>
      <c r="C29" s="1051" t="str">
        <f>面积指标!B18</f>
        <v xml:space="preserve">北京市朝阳区安立路68号-1层5 </v>
      </c>
      <c r="D29" s="1625" t="s">
        <v>3461</v>
      </c>
      <c r="E29" s="32">
        <f t="shared" si="7"/>
        <v>157.15</v>
      </c>
      <c r="F29" s="33"/>
      <c r="G29" s="34">
        <f t="shared" si="8"/>
        <v>1474.31</v>
      </c>
      <c r="H29" s="35">
        <f t="shared" si="9"/>
        <v>1474.31</v>
      </c>
      <c r="I29" s="36"/>
      <c r="J29" s="36"/>
      <c r="K29" s="36"/>
      <c r="L29" s="36"/>
      <c r="M29" s="36">
        <f>面积指标!F18</f>
        <v>1474.31</v>
      </c>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t="str">
        <f t="shared" si="13"/>
        <v xml:space="preserve">北京市朝阳区安立路68号-1层5 </v>
      </c>
      <c r="AY29" s="39">
        <f t="shared" si="14"/>
        <v>157.15</v>
      </c>
      <c r="AZ29" s="32">
        <f t="shared" si="15"/>
        <v>1474.31</v>
      </c>
      <c r="BA29" s="32">
        <f t="shared" si="16"/>
        <v>1474.31</v>
      </c>
      <c r="BB29" s="32">
        <f t="shared" si="17"/>
        <v>0</v>
      </c>
      <c r="BC29" s="32">
        <f t="shared" si="18"/>
        <v>0</v>
      </c>
      <c r="BD29" s="32">
        <f t="shared" si="19"/>
        <v>1474.31</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5" customHeight="1">
      <c r="A30" s="6"/>
      <c r="B30" s="31"/>
      <c r="C30" s="1051" t="str">
        <f>面积指标!B19</f>
        <v>北京市朝阳区安立路68号-1层6区</v>
      </c>
      <c r="D30" s="1625" t="s">
        <v>3461</v>
      </c>
      <c r="E30" s="32">
        <f t="shared" si="7"/>
        <v>251.6</v>
      </c>
      <c r="F30" s="33"/>
      <c r="G30" s="34">
        <f t="shared" si="8"/>
        <v>2360.36</v>
      </c>
      <c r="H30" s="35">
        <f t="shared" si="9"/>
        <v>2360.36</v>
      </c>
      <c r="I30" s="36"/>
      <c r="J30" s="36"/>
      <c r="K30" s="36"/>
      <c r="L30" s="36"/>
      <c r="M30" s="36">
        <f>面积指标!F19</f>
        <v>2360.36</v>
      </c>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t="str">
        <f t="shared" si="13"/>
        <v>北京市朝阳区安立路68号-1层6区</v>
      </c>
      <c r="AY30" s="39">
        <f t="shared" si="14"/>
        <v>251.6</v>
      </c>
      <c r="AZ30" s="32">
        <f t="shared" si="15"/>
        <v>2360.36</v>
      </c>
      <c r="BA30" s="32">
        <f t="shared" si="16"/>
        <v>2360.36</v>
      </c>
      <c r="BB30" s="32">
        <f t="shared" si="17"/>
        <v>0</v>
      </c>
      <c r="BC30" s="32">
        <f t="shared" si="18"/>
        <v>0</v>
      </c>
      <c r="BD30" s="32">
        <f t="shared" si="19"/>
        <v>2360.36</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5" customHeight="1">
      <c r="A31" s="6"/>
      <c r="B31" s="31"/>
      <c r="C31" s="1051" t="str">
        <f>面积指标!B20</f>
        <v>北京市朝阳区安立路68号-1层7区</v>
      </c>
      <c r="D31" s="1625" t="s">
        <v>3461</v>
      </c>
      <c r="E31" s="32">
        <f t="shared" si="7"/>
        <v>196.76</v>
      </c>
      <c r="F31" s="33"/>
      <c r="G31" s="34">
        <f t="shared" si="8"/>
        <v>1845.83</v>
      </c>
      <c r="H31" s="35">
        <f t="shared" si="9"/>
        <v>1845.83</v>
      </c>
      <c r="I31" s="36"/>
      <c r="J31" s="36"/>
      <c r="K31" s="36"/>
      <c r="L31" s="36"/>
      <c r="M31" s="36">
        <f>面积指标!F20</f>
        <v>1845.83</v>
      </c>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t="str">
        <f t="shared" si="13"/>
        <v>北京市朝阳区安立路68号-1层7区</v>
      </c>
      <c r="AY31" s="39">
        <f t="shared" si="14"/>
        <v>196.76</v>
      </c>
      <c r="AZ31" s="32">
        <f t="shared" si="15"/>
        <v>1845.83</v>
      </c>
      <c r="BA31" s="32">
        <f t="shared" si="16"/>
        <v>1845.83</v>
      </c>
      <c r="BB31" s="32">
        <f t="shared" si="17"/>
        <v>0</v>
      </c>
      <c r="BC31" s="32">
        <f t="shared" si="18"/>
        <v>0</v>
      </c>
      <c r="BD31" s="32">
        <f t="shared" si="19"/>
        <v>1845.83</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5" customHeight="1">
      <c r="A32" s="6"/>
      <c r="B32" s="31"/>
      <c r="C32" s="1051" t="str">
        <f>面积指标!B21</f>
        <v>北京市朝阳区安立路68号-1层A-8区</v>
      </c>
      <c r="D32" s="1625" t="s">
        <v>3461</v>
      </c>
      <c r="E32" s="32">
        <f t="shared" si="7"/>
        <v>246.86</v>
      </c>
      <c r="F32" s="33"/>
      <c r="G32" s="34">
        <f t="shared" si="8"/>
        <v>2315.83</v>
      </c>
      <c r="H32" s="35">
        <f t="shared" si="9"/>
        <v>2315.83</v>
      </c>
      <c r="I32" s="36"/>
      <c r="J32" s="36"/>
      <c r="K32" s="36"/>
      <c r="L32" s="36"/>
      <c r="M32" s="36">
        <f>面积指标!F21</f>
        <v>2315.83</v>
      </c>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t="str">
        <f t="shared" si="13"/>
        <v>北京市朝阳区安立路68号-1层A-8区</v>
      </c>
      <c r="AY32" s="39">
        <f t="shared" si="14"/>
        <v>246.86</v>
      </c>
      <c r="AZ32" s="32">
        <f t="shared" si="15"/>
        <v>2315.83</v>
      </c>
      <c r="BA32" s="32">
        <f t="shared" si="16"/>
        <v>2315.83</v>
      </c>
      <c r="BB32" s="32">
        <f t="shared" si="17"/>
        <v>0</v>
      </c>
      <c r="BC32" s="32">
        <f t="shared" si="18"/>
        <v>0</v>
      </c>
      <c r="BD32" s="32">
        <f t="shared" si="19"/>
        <v>2315.83</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15" customHeight="1">
      <c r="A33" s="6"/>
      <c r="B33" s="31"/>
      <c r="C33" s="1051" t="str">
        <f>面积指标!B22</f>
        <v>北京市朝阳区安立路68号-1层A-9区</v>
      </c>
      <c r="D33" s="1625" t="s">
        <v>3461</v>
      </c>
      <c r="E33" s="32">
        <f t="shared" si="7"/>
        <v>131.9</v>
      </c>
      <c r="F33" s="33"/>
      <c r="G33" s="34">
        <f t="shared" si="8"/>
        <v>1237.3599999999999</v>
      </c>
      <c r="H33" s="35">
        <f t="shared" si="9"/>
        <v>1237.3599999999999</v>
      </c>
      <c r="I33" s="36"/>
      <c r="J33" s="36"/>
      <c r="K33" s="36"/>
      <c r="L33" s="36"/>
      <c r="M33" s="36">
        <f>面积指标!F22</f>
        <v>1237.3599999999999</v>
      </c>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t="str">
        <f t="shared" si="13"/>
        <v>北京市朝阳区安立路68号-1层A-9区</v>
      </c>
      <c r="AY33" s="39">
        <f t="shared" si="14"/>
        <v>131.9</v>
      </c>
      <c r="AZ33" s="32">
        <f t="shared" si="15"/>
        <v>1237.3599999999999</v>
      </c>
      <c r="BA33" s="32">
        <f t="shared" si="16"/>
        <v>1237.3599999999999</v>
      </c>
      <c r="BB33" s="32">
        <f t="shared" si="17"/>
        <v>0</v>
      </c>
      <c r="BC33" s="32">
        <f t="shared" si="18"/>
        <v>0</v>
      </c>
      <c r="BD33" s="32">
        <f t="shared" si="19"/>
        <v>1237.3599999999999</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15" customHeight="1">
      <c r="A34" s="6"/>
      <c r="B34" s="31"/>
      <c r="C34" s="1051" t="str">
        <f>面积指标!B23</f>
        <v>北京市朝阳区安立路68号-1层10区</v>
      </c>
      <c r="D34" s="1625" t="s">
        <v>3461</v>
      </c>
      <c r="E34" s="32">
        <f t="shared" si="7"/>
        <v>204.78</v>
      </c>
      <c r="F34" s="33"/>
      <c r="G34" s="34">
        <f t="shared" si="8"/>
        <v>1921.09</v>
      </c>
      <c r="H34" s="35">
        <f t="shared" si="9"/>
        <v>1921.09</v>
      </c>
      <c r="I34" s="36"/>
      <c r="J34" s="36"/>
      <c r="K34" s="36"/>
      <c r="L34" s="36"/>
      <c r="M34" s="36">
        <f>面积指标!F23</f>
        <v>1921.09</v>
      </c>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t="str">
        <f t="shared" si="13"/>
        <v>北京市朝阳区安立路68号-1层10区</v>
      </c>
      <c r="AY34" s="39">
        <f t="shared" si="14"/>
        <v>204.78</v>
      </c>
      <c r="AZ34" s="32">
        <f t="shared" si="15"/>
        <v>1921.09</v>
      </c>
      <c r="BA34" s="32">
        <f t="shared" si="16"/>
        <v>1921.09</v>
      </c>
      <c r="BB34" s="32">
        <f t="shared" si="17"/>
        <v>0</v>
      </c>
      <c r="BC34" s="32">
        <f t="shared" si="18"/>
        <v>0</v>
      </c>
      <c r="BD34" s="32">
        <f t="shared" si="19"/>
        <v>1921.09</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ht="15" customHeight="1">
      <c r="A35" s="6"/>
      <c r="B35" s="31"/>
      <c r="C35" s="1051" t="str">
        <f>面积指标!B24</f>
        <v>北京市朝阳区安立路68号-1层11区</v>
      </c>
      <c r="D35" s="1625" t="s">
        <v>3461</v>
      </c>
      <c r="E35" s="32">
        <f t="shared" si="7"/>
        <v>194.45</v>
      </c>
      <c r="F35" s="33"/>
      <c r="G35" s="34">
        <f t="shared" si="8"/>
        <v>1824.16</v>
      </c>
      <c r="H35" s="35">
        <f t="shared" si="9"/>
        <v>1824.16</v>
      </c>
      <c r="I35" s="36"/>
      <c r="J35" s="36"/>
      <c r="K35" s="36"/>
      <c r="L35" s="36"/>
      <c r="M35" s="36">
        <f>面积指标!F24</f>
        <v>1824.16</v>
      </c>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t="str">
        <f t="shared" si="13"/>
        <v>北京市朝阳区安立路68号-1层11区</v>
      </c>
      <c r="AY35" s="39">
        <f t="shared" si="14"/>
        <v>194.45</v>
      </c>
      <c r="AZ35" s="32">
        <f t="shared" si="15"/>
        <v>1824.16</v>
      </c>
      <c r="BA35" s="32">
        <f t="shared" si="16"/>
        <v>1824.16</v>
      </c>
      <c r="BB35" s="32">
        <f t="shared" si="17"/>
        <v>0</v>
      </c>
      <c r="BC35" s="32">
        <f t="shared" si="18"/>
        <v>0</v>
      </c>
      <c r="BD35" s="32">
        <f t="shared" si="19"/>
        <v>1824.16</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ht="15" customHeight="1">
      <c r="A36" s="6"/>
      <c r="B36" s="31"/>
      <c r="C36" s="1051" t="str">
        <f>面积指标!B25</f>
        <v xml:space="preserve">北京市朝阳区安立路68号-1层12 </v>
      </c>
      <c r="D36" s="1625" t="s">
        <v>3461</v>
      </c>
      <c r="E36" s="32">
        <f t="shared" si="7"/>
        <v>76.83</v>
      </c>
      <c r="F36" s="33"/>
      <c r="G36" s="34">
        <f t="shared" si="8"/>
        <v>720.72</v>
      </c>
      <c r="H36" s="35">
        <f t="shared" si="9"/>
        <v>720.72</v>
      </c>
      <c r="I36" s="36"/>
      <c r="J36" s="36"/>
      <c r="K36" s="36"/>
      <c r="L36" s="36"/>
      <c r="M36" s="36">
        <f>面积指标!F25</f>
        <v>720.72</v>
      </c>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t="str">
        <f t="shared" si="13"/>
        <v xml:space="preserve">北京市朝阳区安立路68号-1层12 </v>
      </c>
      <c r="AY36" s="39">
        <f t="shared" si="14"/>
        <v>76.83</v>
      </c>
      <c r="AZ36" s="32">
        <f t="shared" si="15"/>
        <v>720.72</v>
      </c>
      <c r="BA36" s="32">
        <f t="shared" si="16"/>
        <v>720.72</v>
      </c>
      <c r="BB36" s="32">
        <f t="shared" si="17"/>
        <v>0</v>
      </c>
      <c r="BC36" s="32">
        <f t="shared" si="18"/>
        <v>0</v>
      </c>
      <c r="BD36" s="32">
        <f t="shared" si="19"/>
        <v>720.72</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7"/>
      <c r="G2" s="2648"/>
      <c r="H2" s="2649"/>
      <c r="I2" s="2325" t="s">
        <v>1132</v>
      </c>
      <c r="J2" s="2657"/>
      <c r="K2" s="2657"/>
      <c r="L2" s="2657"/>
      <c r="M2" s="2657"/>
      <c r="N2" s="2659"/>
      <c r="O2" s="2657"/>
      <c r="P2" s="2657"/>
    </row>
    <row r="3" spans="1:16" ht="15.75" thickBot="1">
      <c r="A3" s="3559" t="s">
        <v>1105</v>
      </c>
      <c r="B3" s="3559"/>
      <c r="C3" s="3559"/>
      <c r="D3" s="43">
        <f>'数据-基础表'!AY6</f>
        <v>4272.76</v>
      </c>
      <c r="E3" s="43">
        <f>'数据-基础表'!AZ5</f>
        <v>40083.94000000001</v>
      </c>
      <c r="F3" s="2657"/>
      <c r="G3" s="1145"/>
      <c r="H3" s="1026" t="s">
        <v>1106</v>
      </c>
      <c r="I3" s="855">
        <f>ROUND('数据-基础表'!B3/'数据-基础表'!A3,2)</f>
        <v>9.3800000000000008</v>
      </c>
      <c r="J3" s="2657"/>
      <c r="K3" s="2657"/>
      <c r="L3" s="2657"/>
      <c r="M3" s="2657"/>
      <c r="N3" s="2659"/>
      <c r="O3" s="2657"/>
      <c r="P3" s="2657"/>
    </row>
    <row r="4" spans="1:16" ht="15">
      <c r="A4" s="3560"/>
      <c r="B4" s="3561"/>
      <c r="C4" s="3562"/>
      <c r="D4" s="1641" t="s">
        <v>1107</v>
      </c>
      <c r="E4" s="1642" t="s">
        <v>1108</v>
      </c>
      <c r="F4" s="2657"/>
      <c r="G4" s="2650" t="s">
        <v>1133</v>
      </c>
      <c r="H4" s="1026" t="s">
        <v>1113</v>
      </c>
      <c r="I4" s="855">
        <f>ROUND(SUMIF('数据-基础表'!I9:AS9,"地上",'数据-基础表'!I5:AS5)/'数据-基础表'!A3,2)</f>
        <v>4.8600000000000003</v>
      </c>
      <c r="J4" s="2657"/>
      <c r="K4" s="2657"/>
      <c r="L4" s="2657"/>
      <c r="M4" s="2657"/>
      <c r="N4" s="2659"/>
      <c r="O4" s="2657"/>
      <c r="P4" s="2657"/>
    </row>
    <row r="5" spans="1:16">
      <c r="A5" s="44" t="s">
        <v>1109</v>
      </c>
      <c r="B5" s="3563" t="s">
        <v>1110</v>
      </c>
      <c r="C5" s="3563"/>
      <c r="D5" s="45">
        <f>ROUND($D$3*E5/$E$3,2)</f>
        <v>0</v>
      </c>
      <c r="E5" s="46">
        <f>SUMIF('数据-基础表'!$11:$11,"住宅",'数据-基础表'!$5:$5)</f>
        <v>0</v>
      </c>
      <c r="F5" s="2657"/>
      <c r="G5" s="1145"/>
      <c r="H5" s="1026" t="s">
        <v>1106</v>
      </c>
      <c r="I5" s="855">
        <f>ROUND(E31/D31,2)</f>
        <v>9.3800000000000008</v>
      </c>
      <c r="J5" s="2657"/>
      <c r="K5" s="2657"/>
      <c r="L5" s="2657"/>
      <c r="M5" s="2657"/>
      <c r="N5" s="2657"/>
      <c r="O5" s="2657"/>
      <c r="P5" s="2657"/>
    </row>
    <row r="6" spans="1:16" ht="15" thickBot="1">
      <c r="A6" s="1644"/>
      <c r="B6" s="3563" t="s">
        <v>1111</v>
      </c>
      <c r="C6" s="3563"/>
      <c r="D6" s="45">
        <f>ROUND($D$3*E6/$E$3,2)</f>
        <v>4272.76</v>
      </c>
      <c r="E6" s="46">
        <f>E3-E5</f>
        <v>40083.94000000001</v>
      </c>
      <c r="F6" s="2657"/>
      <c r="G6" s="2651" t="s">
        <v>1112</v>
      </c>
      <c r="H6" s="1146" t="s">
        <v>1113</v>
      </c>
      <c r="I6" s="2652">
        <f>ROUND(F31/D31,2)</f>
        <v>4.8600000000000003</v>
      </c>
      <c r="J6" s="2657"/>
      <c r="K6" s="2657"/>
      <c r="L6" s="2657"/>
      <c r="M6" s="2657"/>
      <c r="N6" s="2657"/>
      <c r="O6" s="2657"/>
      <c r="P6" s="2657"/>
    </row>
    <row r="7" spans="1:16" ht="15.75" thickBot="1">
      <c r="A7" s="3555"/>
      <c r="B7" s="3556"/>
      <c r="C7" s="3557"/>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2215.71</v>
      </c>
      <c r="E8" s="48">
        <f>SUMIF('数据-基础表'!BB10:BK10,"地上",'数据-基础表'!BB5:BK5)</f>
        <v>20786.170000000002</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2057.0500000000002</v>
      </c>
      <c r="E10" s="48">
        <f>SUMPRODUCT(('数据-基础表'!BB10:BK10="地下")*('数据-基础表'!BB11:BK11="商业")*('数据-基础表'!BB5:BK5))</f>
        <v>19297.77</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4272.76</v>
      </c>
      <c r="E16" s="50">
        <f>SUM(E8:E15)</f>
        <v>40083.94</v>
      </c>
      <c r="F16" s="2657"/>
      <c r="G16" s="2658"/>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3466</v>
      </c>
      <c r="D19" s="45">
        <f>ROUND($D$3*E19/$E$3,2)</f>
        <v>3401.93</v>
      </c>
      <c r="E19" s="53">
        <f t="shared" ref="E19:E26" si="1">SUM(F19:G19)</f>
        <v>31914.440000000002</v>
      </c>
      <c r="F19" s="2792">
        <f>'数据-基础表'!I5</f>
        <v>12616.670000000002</v>
      </c>
      <c r="G19" s="2793">
        <f>'数据-基础表'!M5</f>
        <v>19297.77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3401.93</v>
      </c>
      <c r="S19" s="1027">
        <f t="shared" si="5"/>
        <v>31914.440000000002</v>
      </c>
    </row>
    <row r="20" spans="1:19">
      <c r="A20" s="1670"/>
      <c r="B20" s="47" t="s">
        <v>1153</v>
      </c>
      <c r="C20" s="3414" t="s">
        <v>3467</v>
      </c>
      <c r="D20" s="45">
        <f t="shared" ref="D20:D26" si="6">ROUND($D$3*E20/$E$3,2)</f>
        <v>870.83</v>
      </c>
      <c r="E20" s="53">
        <f t="shared" si="1"/>
        <v>8169.5</v>
      </c>
      <c r="F20" s="2792">
        <f>'数据-基础表'!K5</f>
        <v>8169.5</v>
      </c>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870.83</v>
      </c>
      <c r="S20" s="1027">
        <f t="shared" si="5"/>
        <v>8169.5</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4272.76</v>
      </c>
      <c r="E27" s="1141">
        <f>IF(SUM(E19:E26)='数据-基础表'!BA5,SUM(E19:E26),IF(F27="地上面积有误","面积有误","地下面积有误"))</f>
        <v>40083.94</v>
      </c>
      <c r="F27" s="1140">
        <f>IF(SUM(F19:F26)=E8,SUM(F19:F26),"地上面积有误")</f>
        <v>20786.170000000002</v>
      </c>
      <c r="G27" s="1142">
        <f>SUM(G19:G26)</f>
        <v>19297.77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4272.76</v>
      </c>
      <c r="S27" s="1026">
        <f>IF(SUM(S19:S26)=$E$3,SUM(S19:S26),SUM(S19:S26)&amp;"误差"&amp;ROUND(SUM(S19:S26)-E3,2))</f>
        <v>40083.94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4272.76</v>
      </c>
      <c r="E31" s="676">
        <f>E27+E30</f>
        <v>40083.94</v>
      </c>
      <c r="F31" s="677">
        <f>F27+F30</f>
        <v>20786.170000000002</v>
      </c>
      <c r="G31" s="678">
        <f>G27+G30</f>
        <v>19297.77</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2"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45005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52333</v>
      </c>
      <c r="F6" s="64">
        <f>SUMIF(项目基本情况!C$12:I$12,C6,项目基本情况!C$15:I$15)</f>
        <v>20.07</v>
      </c>
      <c r="G6" s="65">
        <f>IF(ISERROR(ROUND(POWER(1+H6,D6-F6)*(POWER(1+H6,F6)-1)/(POWER(1+H6,D6)-1),3)),0,ROUND(POWER(1+H6,D6-F6)*(POWER(1+H6,F6)-1)/(POWER(1+H6,D6)-1),3))</f>
        <v>0.746</v>
      </c>
      <c r="H6" s="732">
        <v>5.5E-2</v>
      </c>
      <c r="I6" s="732">
        <v>0.06</v>
      </c>
      <c r="J6" s="66">
        <v>0.08</v>
      </c>
      <c r="K6" s="1030">
        <f>SUMIF('数据-汇总表'!C$19:C$33,A6,'数据-汇总表'!E$19:E$33)</f>
        <v>31914.440000000002</v>
      </c>
      <c r="L6" s="733">
        <v>4000</v>
      </c>
      <c r="M6" s="67">
        <f t="shared" ref="M6:M14" si="0">ROUND(K6*L6/10000,0)</f>
        <v>12766</v>
      </c>
      <c r="N6" s="731">
        <v>0.8</v>
      </c>
      <c r="O6" s="67" t="str">
        <f>IF($N$5="成新度","——",ROUND(M6*N6,0))</f>
        <v>——</v>
      </c>
      <c r="P6" s="68" t="str">
        <f>IF($N$5="成新度","——",M6-O6)</f>
        <v>——</v>
      </c>
      <c r="Q6" s="734">
        <v>0.2</v>
      </c>
      <c r="R6" s="69">
        <f ca="1">SUMIF('数据-汇总表'!C$19:C$33,A6,'数据-汇总表'!R$19:R$27)</f>
        <v>3401.93</v>
      </c>
      <c r="S6" s="51">
        <f>IF('数据-汇总表'!$I$17="按面积比例",SUMIF('数据-汇总表'!C$19:C$33,A6,'数据-汇总表'!K$19:K$33),SUMIF('数据-汇总表'!C$19:C$33,A6,'数据-汇总表'!N$19:N$33))</f>
        <v>0</v>
      </c>
      <c r="T6" s="1172">
        <f>ROUND($L$14*S6/10000,0)</f>
        <v>0</v>
      </c>
      <c r="U6" s="3425">
        <f>V21</f>
        <v>7.8</v>
      </c>
      <c r="V6" s="70">
        <v>0.02</v>
      </c>
      <c r="W6" s="70">
        <v>0.15</v>
      </c>
      <c r="X6" s="1040"/>
      <c r="Y6" s="71">
        <f>N6</f>
        <v>0.8</v>
      </c>
      <c r="Z6" s="72"/>
      <c r="AA6" s="66"/>
      <c r="AB6" s="66"/>
      <c r="AC6" s="1040"/>
      <c r="AD6" s="73"/>
      <c r="AE6" s="1041">
        <f ca="1">IF(AN6="",0,SUMIF(INDIRECT("'"&amp;AN6&amp;"'"&amp;"!E:E"),$AE$5,INDIRECT("'"&amp;AN6&amp;"'"&amp;"!F:F")))</f>
        <v>20.07</v>
      </c>
      <c r="AF6" s="1348"/>
      <c r="AG6" s="138">
        <f>IF(AF6="",0,AE6-AF6)</f>
        <v>0</v>
      </c>
      <c r="AH6" s="74">
        <f>面积指标!F50</f>
        <v>16162.09</v>
      </c>
      <c r="AI6" s="76">
        <v>365</v>
      </c>
      <c r="AJ6" s="77"/>
      <c r="AK6" s="78">
        <v>0.01</v>
      </c>
      <c r="AL6" s="79">
        <v>1.5E-3</v>
      </c>
      <c r="AM6" s="80">
        <v>0.01</v>
      </c>
      <c r="AN6" s="1715" t="s">
        <v>3476</v>
      </c>
      <c r="AO6" s="52">
        <f ca="1">SUMIF(INDIRECT("'"&amp;AN6&amp;"'"&amp;"!A:A"),"总价",INDIRECT("'"&amp;AN6&amp;"'"&amp;"!B:B"))</f>
        <v>40371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55986</v>
      </c>
      <c r="F7" s="64">
        <f>SUMIF(项目基本情况!C$12:I$12,C7,项目基本情况!C$15:I$15)</f>
        <v>30.08</v>
      </c>
      <c r="G7" s="65">
        <f t="shared" ref="G7:G11" si="2">IF(ISERROR(ROUND(POWER(1+H7,D7-F7)*(POWER(1+H7,F7)-1)/(POWER(1+H7,D7)-1),3)),0,ROUND(POWER(1+H7,D7-F7)*(POWER(1+H7,F7)-1)/(POWER(1+H7,D7)-1),3))</f>
        <v>0.84299999999999997</v>
      </c>
      <c r="H7" s="732">
        <v>0.05</v>
      </c>
      <c r="I7" s="732">
        <v>5.5E-2</v>
      </c>
      <c r="J7" s="66">
        <f>J6</f>
        <v>0.08</v>
      </c>
      <c r="K7" s="1030">
        <f>SUMIF('数据-汇总表'!C$19:C$33,A7,'数据-汇总表'!E$19:E$33)</f>
        <v>8169.5</v>
      </c>
      <c r="L7" s="733">
        <f>L6</f>
        <v>4000</v>
      </c>
      <c r="M7" s="67">
        <f t="shared" si="0"/>
        <v>3268</v>
      </c>
      <c r="N7" s="731">
        <f>N6</f>
        <v>0.8</v>
      </c>
      <c r="O7" s="67" t="str">
        <f t="shared" ref="O7:O14" si="3">IF($N$5="成新度","——",ROUND(M7*N7,0))</f>
        <v>——</v>
      </c>
      <c r="P7" s="68" t="str">
        <f t="shared" ref="P7:P14" si="4">IF($N$5="成新度","——",M7-O7)</f>
        <v>——</v>
      </c>
      <c r="Q7" s="734">
        <f>Q6</f>
        <v>0.2</v>
      </c>
      <c r="R7" s="69">
        <f ca="1">SUMIF('数据-汇总表'!C$19:C$33,A7,'数据-汇总表'!R$19:R$27)</f>
        <v>870.83</v>
      </c>
      <c r="S7" s="51">
        <f>IF('数据-汇总表'!$I$17="按面积比例",SUMIF('数据-汇总表'!C$19:C$33,A7,'数据-汇总表'!K$19:K$33),SUMIF('数据-汇总表'!C$19:C$33,A7,'数据-汇总表'!N$19:N$33))</f>
        <v>0</v>
      </c>
      <c r="T7" s="1172">
        <f t="shared" ref="T7:T13" si="5">ROUND($L$14*S7/10000,0)</f>
        <v>0</v>
      </c>
      <c r="U7" s="3425">
        <f>V19*0.6</f>
        <v>7.1999999999999993</v>
      </c>
      <c r="V7" s="70">
        <f>V6</f>
        <v>0.02</v>
      </c>
      <c r="W7" s="70">
        <f>W6</f>
        <v>0.15</v>
      </c>
      <c r="X7" s="1040"/>
      <c r="Y7" s="71">
        <f>Y6</f>
        <v>0.8</v>
      </c>
      <c r="Z7" s="72"/>
      <c r="AA7" s="66"/>
      <c r="AB7" s="66"/>
      <c r="AC7" s="1040"/>
      <c r="AD7" s="73"/>
      <c r="AE7" s="1041">
        <f t="shared" ref="AE7:AE13" ca="1" si="6">IF(AN7="",0,SUMIF(INDIRECT("'"&amp;AN7&amp;"'"&amp;"!E:E"),$AE$5,INDIRECT("'"&amp;AN7&amp;"'"&amp;"!F:F")))</f>
        <v>30.08</v>
      </c>
      <c r="AF7" s="1348"/>
      <c r="AG7" s="138">
        <f t="shared" ref="AG7:AG13" si="7">IF(AF7="",0,AE7-AF7)</f>
        <v>0</v>
      </c>
      <c r="AH7" s="74">
        <f>面积指标!F51</f>
        <v>3889.79</v>
      </c>
      <c r="AI7" s="76">
        <v>365</v>
      </c>
      <c r="AJ7" s="77"/>
      <c r="AK7" s="78">
        <f>AK6</f>
        <v>0.01</v>
      </c>
      <c r="AL7" s="79">
        <f>AL6</f>
        <v>1.5E-3</v>
      </c>
      <c r="AM7" s="80">
        <f>AM6</f>
        <v>0.01</v>
      </c>
      <c r="AN7" s="1715" t="s">
        <v>3478</v>
      </c>
      <c r="AO7" s="52">
        <f t="shared" ref="AO7:AO13" ca="1" si="8">SUMIF(INDIRECT("'"&amp;AN7&amp;"'"&amp;"!A:A"),"总价",INDIRECT("'"&amp;AN7&amp;"'"&amp;"!B:B"))</f>
        <v>12022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0.76600000000000001</v>
      </c>
      <c r="H16" s="90">
        <f>ROUND(SUMPRODUCT(H6:H13,K6:K13)/SUMPRODUCT((H6:H13&gt;0)*(K6:K13)),3)</f>
        <v>5.3999999999999999E-2</v>
      </c>
      <c r="I16" s="91"/>
      <c r="J16" s="91"/>
      <c r="K16" s="92">
        <f>SUM(K6:K15)</f>
        <v>40083.94</v>
      </c>
      <c r="L16" s="93">
        <f>ROUND(M16*10000/SUM(K6:K14),0)</f>
        <v>4000</v>
      </c>
      <c r="M16" s="93">
        <f>SUM(M6:M14)</f>
        <v>16034</v>
      </c>
      <c r="N16" s="94">
        <f>ROUND(SUMPRODUCT(M6:M14,N6:N14)/M16,3)</f>
        <v>0.8</v>
      </c>
      <c r="O16" s="93">
        <f>SUM(O6:O14)</f>
        <v>0</v>
      </c>
      <c r="P16" s="93">
        <f>SUM(P6:P14)</f>
        <v>0</v>
      </c>
      <c r="Q16" s="95">
        <f>ROUND(SUMPRODUCT(Q6:Q13,K6:K13)/SUMPRODUCT((Q6:Q13&gt;0)*(K6:K13)),2)</f>
        <v>0.2</v>
      </c>
      <c r="R16" s="1034">
        <f ca="1">SUM(R6:R13)</f>
        <v>4272.76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3471" t="s">
        <v>3471</v>
      </c>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2668"/>
      <c r="O19" s="2668"/>
      <c r="P19" s="2668"/>
      <c r="Q19" s="2668"/>
      <c r="R19" s="2668"/>
      <c r="S19" s="2668"/>
      <c r="T19" s="2668"/>
      <c r="U19" s="2668" t="s">
        <v>3469</v>
      </c>
      <c r="V19" s="2668">
        <v>12</v>
      </c>
      <c r="W19" s="2668">
        <f>'数据-汇总表'!F19</f>
        <v>12616.670000000002</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2668"/>
      <c r="O20" s="2668"/>
      <c r="P20" s="2668"/>
      <c r="Q20" s="2668"/>
      <c r="R20" s="2668"/>
      <c r="S20" s="2668"/>
      <c r="T20" s="2668">
        <v>0.4</v>
      </c>
      <c r="U20" s="2668" t="s">
        <v>3470</v>
      </c>
      <c r="V20" s="2668">
        <f>ROUND(V19*T20,0)</f>
        <v>5</v>
      </c>
      <c r="W20" s="2668">
        <f>'数据-汇总表'!G19</f>
        <v>19297.77</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2</v>
      </c>
      <c r="C21" s="2670"/>
      <c r="D21" s="2673"/>
      <c r="E21" s="2670"/>
      <c r="F21" s="2670"/>
      <c r="G21" s="2670"/>
      <c r="H21" s="2670"/>
      <c r="I21" s="2670"/>
      <c r="J21" s="2670"/>
      <c r="K21" s="2669"/>
      <c r="L21" s="2669"/>
      <c r="M21" s="2668"/>
      <c r="N21" s="2668"/>
      <c r="O21" s="2668"/>
      <c r="P21" s="2668"/>
      <c r="Q21" s="2668"/>
      <c r="R21" s="2668"/>
      <c r="S21" s="2668"/>
      <c r="T21" s="2668" t="s">
        <v>3510</v>
      </c>
      <c r="U21" s="2668"/>
      <c r="V21" s="3472">
        <f>ROUND((W19*V19+W20*V20)/W21,1)</f>
        <v>7.8</v>
      </c>
      <c r="W21" s="2668">
        <f>W20+W19</f>
        <v>31914.440000000002</v>
      </c>
      <c r="X21" s="2668"/>
      <c r="Y21" s="2668"/>
      <c r="Z21" s="2668"/>
      <c r="AA21" s="2668"/>
      <c r="AB21" s="2668"/>
      <c r="AC21" s="2668"/>
      <c r="AD21" s="2668"/>
      <c r="AE21" s="2668"/>
      <c r="AF21" s="2668"/>
      <c r="AG21" s="2668">
        <f>3500*10000/'数据-汇总表'!E3/365</f>
        <v>2.3922401580010368</v>
      </c>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802</v>
      </c>
      <c r="C29" s="2799" t="s">
        <v>2290</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3472</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12</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110</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64" t="s">
        <v>2282</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73" t="s">
        <v>3491</v>
      </c>
      <c r="D3" s="2464"/>
      <c r="E3" s="2442" t="s">
        <v>2280</v>
      </c>
      <c r="F3" s="2465" t="s">
        <v>2253</v>
      </c>
      <c r="G3" s="2466" t="s">
        <v>2281</v>
      </c>
      <c r="H3" s="799"/>
      <c r="I3" s="799"/>
      <c r="J3" s="799"/>
      <c r="K3" s="799"/>
      <c r="L3" s="799"/>
      <c r="M3" s="799"/>
      <c r="N3" s="799"/>
      <c r="O3" s="799"/>
      <c r="P3" s="799"/>
      <c r="Q3" s="799"/>
      <c r="R3" s="799"/>
    </row>
    <row r="4" spans="1:29" ht="36">
      <c r="A4" s="2442"/>
      <c r="B4" s="323" t="s">
        <v>2254</v>
      </c>
      <c r="C4" s="3474" t="s">
        <v>3492</v>
      </c>
      <c r="D4" s="2464"/>
      <c r="E4" s="2467"/>
      <c r="F4" s="1373" t="s">
        <v>2255</v>
      </c>
      <c r="G4" s="2468" t="s">
        <v>2256</v>
      </c>
      <c r="H4" s="799"/>
      <c r="I4" s="799"/>
      <c r="J4" s="799"/>
      <c r="K4" s="799"/>
      <c r="L4" s="799"/>
      <c r="M4" s="799"/>
      <c r="N4" s="799"/>
      <c r="O4" s="799"/>
      <c r="P4" s="799"/>
      <c r="Q4" s="799"/>
      <c r="R4" s="799"/>
    </row>
    <row r="5" spans="1:29" ht="24">
      <c r="A5" s="2442"/>
      <c r="B5" s="323" t="s">
        <v>2257</v>
      </c>
      <c r="C5" s="3474" t="s">
        <v>3492</v>
      </c>
      <c r="D5" s="2464"/>
      <c r="E5" s="2467"/>
      <c r="F5" s="323" t="s">
        <v>2258</v>
      </c>
      <c r="G5" s="2468" t="s">
        <v>2259</v>
      </c>
      <c r="H5" s="799"/>
      <c r="I5" s="799"/>
      <c r="J5" s="799"/>
      <c r="K5" s="799"/>
      <c r="L5" s="799"/>
      <c r="M5" s="799"/>
      <c r="N5" s="799"/>
      <c r="O5" s="799"/>
      <c r="P5" s="799"/>
      <c r="Q5" s="799"/>
      <c r="R5" s="799"/>
    </row>
    <row r="6" spans="1:29">
      <c r="A6" s="2442"/>
      <c r="B6" s="323" t="s">
        <v>2260</v>
      </c>
      <c r="C6" s="3475" t="s">
        <v>3493</v>
      </c>
      <c r="D6" s="2464"/>
      <c r="E6" s="2467"/>
      <c r="F6" s="323" t="s">
        <v>2261</v>
      </c>
      <c r="G6" s="2468" t="s">
        <v>2262</v>
      </c>
      <c r="H6" s="799"/>
      <c r="I6" s="799"/>
      <c r="J6" s="799"/>
      <c r="K6" s="799"/>
      <c r="L6" s="799"/>
      <c r="M6" s="799"/>
      <c r="N6" s="799"/>
      <c r="O6" s="799"/>
      <c r="P6" s="799"/>
      <c r="Q6" s="799"/>
      <c r="R6" s="799"/>
    </row>
    <row r="7" spans="1:29" ht="24.75" thickBot="1">
      <c r="A7" s="2442"/>
      <c r="B7" s="323" t="s">
        <v>2258</v>
      </c>
      <c r="C7" s="3475" t="s">
        <v>3493</v>
      </c>
      <c r="D7" s="2469"/>
      <c r="E7" s="2470"/>
      <c r="F7" s="2471" t="s">
        <v>2263</v>
      </c>
      <c r="G7" s="2472" t="s">
        <v>2264</v>
      </c>
      <c r="H7" s="799"/>
      <c r="I7" s="799"/>
      <c r="J7" s="799"/>
      <c r="K7" s="799"/>
      <c r="L7" s="799"/>
      <c r="M7" s="799"/>
      <c r="N7" s="799"/>
      <c r="O7" s="799"/>
      <c r="P7" s="799"/>
      <c r="Q7" s="799"/>
      <c r="R7" s="799"/>
    </row>
    <row r="8" spans="1:29">
      <c r="A8" s="2442"/>
      <c r="B8" s="323" t="s">
        <v>2261</v>
      </c>
      <c r="C8" s="3475" t="s">
        <v>3494</v>
      </c>
      <c r="D8" s="2469"/>
      <c r="E8" s="2469"/>
      <c r="F8" s="2473"/>
      <c r="G8" s="2473"/>
      <c r="H8" s="799"/>
      <c r="I8" s="799"/>
      <c r="J8" s="799"/>
      <c r="K8" s="799"/>
      <c r="L8" s="799"/>
      <c r="M8" s="799"/>
      <c r="N8" s="799"/>
      <c r="O8" s="799"/>
      <c r="P8" s="799"/>
      <c r="Q8" s="799"/>
      <c r="R8" s="799"/>
    </row>
    <row r="9" spans="1:29">
      <c r="A9" s="2442"/>
      <c r="B9" s="323" t="s">
        <v>2265</v>
      </c>
      <c r="C9" s="3474" t="s">
        <v>3493</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40083.94000000001</v>
      </c>
      <c r="C1" s="2683"/>
      <c r="D1" s="2683"/>
      <c r="E1" s="2683"/>
      <c r="F1" s="2683"/>
      <c r="G1" s="2684"/>
      <c r="H1" s="2685"/>
      <c r="I1" s="2685"/>
      <c r="J1" s="2685"/>
      <c r="K1" s="2685"/>
    </row>
    <row r="2" spans="1:11" ht="16.5">
      <c r="A2" s="2510" t="s">
        <v>653</v>
      </c>
      <c r="B2" s="2510">
        <f>SUM(C14:C23)</f>
        <v>4272.76</v>
      </c>
      <c r="C2" s="2683"/>
      <c r="D2" s="2683"/>
      <c r="E2" s="2683"/>
      <c r="F2" s="2683"/>
      <c r="G2" s="2684"/>
      <c r="H2" s="2685"/>
      <c r="I2" s="2685"/>
      <c r="J2" s="2685"/>
      <c r="K2" s="2685"/>
    </row>
    <row r="3" spans="1:11" ht="16.5">
      <c r="A3" s="2510" t="s">
        <v>662</v>
      </c>
      <c r="B3" s="2512">
        <f>项目基本情况!D3</f>
        <v>45005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101033</v>
      </c>
      <c r="C5" s="2510">
        <f ca="1">IF(B5=D14,结果表!H102,ROUND(B5*10000/$B$1,0))</f>
        <v>25205</v>
      </c>
      <c r="D5" s="2510">
        <f ca="1">ROUND(B5*10000/$B$2,0)</f>
        <v>236458</v>
      </c>
      <c r="E5" s="2683"/>
      <c r="F5" s="2684"/>
      <c r="G5" s="2684"/>
      <c r="H5" s="2685"/>
      <c r="I5" s="2685"/>
      <c r="J5" s="2685"/>
      <c r="K5" s="2685"/>
    </row>
    <row r="6" spans="1:11" ht="16.5">
      <c r="A6" s="2510" t="s">
        <v>656</v>
      </c>
      <c r="B6" s="2510">
        <f ca="1">SUM(G14:G23)</f>
        <v>101033</v>
      </c>
      <c r="C6" s="2510">
        <f ca="1">IF(B6=G14,结果表!H108,ROUND(B6*10000/$B$1,0))</f>
        <v>25205</v>
      </c>
      <c r="D6" s="2510">
        <f ca="1">ROUND(B6*10000/$B$2,0)</f>
        <v>236458</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3359</v>
      </c>
      <c r="D10" s="2510" t="s">
        <v>3360</v>
      </c>
      <c r="E10" s="3438"/>
      <c r="F10" s="3442" t="s">
        <v>3361</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40083.94000000001</v>
      </c>
      <c r="C14" s="2516">
        <f>结果表!C118</f>
        <v>4272.76</v>
      </c>
      <c r="D14" s="2516">
        <f ca="1">结果表!H118</f>
        <v>101033</v>
      </c>
      <c r="E14" s="2516">
        <f ca="1">ROUND(D14*10000/B14,0)</f>
        <v>25205</v>
      </c>
      <c r="F14" s="2516">
        <f ca="1">ROUND(D14*10000/C14,0)</f>
        <v>236458</v>
      </c>
      <c r="G14" s="2516">
        <f ca="1">D14</f>
        <v>101033</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L26" sqref="L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3499</v>
      </c>
      <c r="H1" s="1750" t="str">
        <f>IF(G1="现房","——","估价对象范围")</f>
        <v>——</v>
      </c>
      <c r="I1" s="1751"/>
    </row>
    <row r="2" spans="1:12" ht="21.75" customHeight="1" thickBot="1">
      <c r="A2" s="3600" t="str">
        <f>项目基本情况!S2</f>
        <v>北京市北京市朝阳区安立路68号1层A-1区房地产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4" t="s">
        <v>1265</v>
      </c>
      <c r="B4" s="1755" t="s">
        <v>1266</v>
      </c>
      <c r="C4" s="1756" t="s">
        <v>3500</v>
      </c>
      <c r="D4" s="1756" t="s">
        <v>3501</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7"/>
      <c r="G5" s="1757"/>
      <c r="H5" s="1757"/>
      <c r="I5" s="1373"/>
    </row>
    <row r="6" spans="1:12" ht="12.75">
      <c r="A6" s="3580"/>
      <c r="B6" s="3567"/>
      <c r="C6" s="3584"/>
      <c r="D6" s="3603"/>
      <c r="E6" s="131" t="s">
        <v>1270</v>
      </c>
      <c r="F6" s="1757"/>
      <c r="G6" s="1757"/>
      <c r="H6" s="1757"/>
      <c r="I6" s="1373"/>
    </row>
    <row r="7" spans="1:12" ht="12.75">
      <c r="A7" s="3580"/>
      <c r="B7" s="3567"/>
      <c r="C7" s="3585"/>
      <c r="D7" s="3603"/>
      <c r="E7" s="131" t="s">
        <v>1271</v>
      </c>
      <c r="F7" s="1757"/>
      <c r="G7" s="1757"/>
      <c r="H7" s="1757"/>
      <c r="I7" s="1373"/>
    </row>
    <row r="8" spans="1:12" ht="12.75">
      <c r="A8" s="3580" t="s">
        <v>1272</v>
      </c>
      <c r="B8" s="3567">
        <v>15</v>
      </c>
      <c r="C8" s="3583"/>
      <c r="D8" s="3603"/>
      <c r="E8" s="131" t="s">
        <v>1273</v>
      </c>
      <c r="F8" s="1757"/>
      <c r="G8" s="1757"/>
      <c r="H8" s="1757"/>
      <c r="I8" s="1373"/>
    </row>
    <row r="9" spans="1:12" ht="12.75">
      <c r="A9" s="3580"/>
      <c r="B9" s="3567"/>
      <c r="C9" s="3585"/>
      <c r="D9" s="3603"/>
      <c r="E9" s="131" t="s">
        <v>1274</v>
      </c>
      <c r="F9" s="1757"/>
      <c r="G9" s="1757"/>
      <c r="H9" s="1757"/>
      <c r="I9" s="1373"/>
    </row>
    <row r="10" spans="1:12" ht="12.75">
      <c r="A10" s="3580" t="s">
        <v>1275</v>
      </c>
      <c r="B10" s="3567">
        <v>15</v>
      </c>
      <c r="C10" s="3583"/>
      <c r="D10" s="3603"/>
      <c r="E10" s="131" t="s">
        <v>1276</v>
      </c>
      <c r="F10" s="1757"/>
      <c r="G10" s="1757"/>
      <c r="H10" s="1757"/>
      <c r="I10" s="1373"/>
    </row>
    <row r="11" spans="1:12" ht="12.75">
      <c r="A11" s="3580"/>
      <c r="B11" s="3567"/>
      <c r="C11" s="3585"/>
      <c r="D11" s="3603"/>
      <c r="E11" s="131" t="s">
        <v>1277</v>
      </c>
      <c r="F11" s="1757"/>
      <c r="G11" s="1757"/>
      <c r="H11" s="1757"/>
      <c r="I11" s="1373"/>
    </row>
    <row r="12" spans="1:12" ht="12.75">
      <c r="A12" s="3580" t="s">
        <v>1278</v>
      </c>
      <c r="B12" s="3567">
        <v>15</v>
      </c>
      <c r="C12" s="3583"/>
      <c r="D12" s="3603"/>
      <c r="E12" s="131" t="s">
        <v>1279</v>
      </c>
      <c r="F12" s="1757"/>
      <c r="G12" s="1757"/>
      <c r="H12" s="1757"/>
      <c r="I12" s="1373"/>
    </row>
    <row r="13" spans="1:12" ht="12.75">
      <c r="A13" s="3580"/>
      <c r="B13" s="3567"/>
      <c r="C13" s="3585"/>
      <c r="D13" s="3603"/>
      <c r="E13" s="131" t="s">
        <v>1280</v>
      </c>
      <c r="F13" s="1757"/>
      <c r="G13" s="1757"/>
      <c r="H13" s="1757"/>
      <c r="I13" s="1373"/>
    </row>
    <row r="14" spans="1:12" ht="12.75">
      <c r="A14" s="3580" t="s">
        <v>1281</v>
      </c>
      <c r="B14" s="3567">
        <v>30</v>
      </c>
      <c r="C14" s="3583">
        <v>7</v>
      </c>
      <c r="D14" s="3603">
        <v>3</v>
      </c>
      <c r="E14" s="131" t="s">
        <v>1282</v>
      </c>
      <c r="F14" s="1757"/>
      <c r="G14" s="1757"/>
      <c r="H14" s="1757"/>
      <c r="I14" s="1373"/>
    </row>
    <row r="15" spans="1:12" ht="12.75">
      <c r="A15" s="3580"/>
      <c r="B15" s="3567"/>
      <c r="C15" s="3584"/>
      <c r="D15" s="3603"/>
      <c r="E15" s="131" t="s">
        <v>1283</v>
      </c>
      <c r="F15" s="1757"/>
      <c r="G15" s="1757"/>
      <c r="H15" s="1757"/>
      <c r="I15" s="1373"/>
    </row>
    <row r="16" spans="1:12" ht="12.75">
      <c r="A16" s="3580"/>
      <c r="B16" s="3567"/>
      <c r="C16" s="3585"/>
      <c r="D16" s="360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0" t="s">
        <v>2131</v>
      </c>
      <c r="F18" s="3591"/>
      <c r="G18" s="3591"/>
      <c r="H18" s="3591"/>
      <c r="I18" s="3591"/>
      <c r="K18" s="302" t="s">
        <v>1289</v>
      </c>
      <c r="L18" s="302">
        <f>IF(C1="",'数据-汇总表'!E3,SUMIF(项目类型,C1,'数据-汇总表'!E17:E26)+SUMIF(项目类型,C1,'数据-汇总表'!I17:I26))</f>
        <v>40083.94000000001</v>
      </c>
      <c r="M18" s="302">
        <f>IF(C1="",'数据-汇总表'!E3,SUMIF(项目类型,C1,'数据-汇总表'!E17:E26))</f>
        <v>40083.94000000001</v>
      </c>
    </row>
    <row r="19" spans="1:36" ht="15">
      <c r="A19" s="1761" t="s">
        <v>1290</v>
      </c>
      <c r="B19" s="1762" t="s">
        <v>1291</v>
      </c>
      <c r="C19" s="134">
        <f ca="1">SUMIF(INDIRECT("'"&amp;C4&amp;"'"&amp;"!A:A"),结果表!B19,INDIRECT("'"&amp;C4&amp;"'"&amp;"!B:B"))</f>
        <v>121879</v>
      </c>
      <c r="D19" s="135">
        <f ca="1">SUMIF(INDIRECT("'"&amp;D4&amp;"'"&amp;"!A:A"),结果表!B19,INDIRECT("'"&amp;D4&amp;"'"&amp;"!B:B"))</f>
        <v>52393</v>
      </c>
      <c r="E19" s="1761" t="s">
        <v>1292</v>
      </c>
      <c r="F19" s="1762" t="s">
        <v>1291</v>
      </c>
      <c r="G19" s="136">
        <f ca="1">ROUND(C19*$C$18+D19*$D$18,0)</f>
        <v>101033</v>
      </c>
      <c r="H19" s="1763" t="s">
        <v>1293</v>
      </c>
      <c r="I19" s="129"/>
      <c r="K19" s="302" t="s">
        <v>1294</v>
      </c>
      <c r="L19" s="302">
        <f>IF(C1="",'数据-汇总表'!D3,SUMIF(项目类型,C1,'数据-汇总表'!D17:D26)+SUMIF(项目类型,C1,'数据-汇总表'!H17:H27))</f>
        <v>4272.76</v>
      </c>
      <c r="M19" s="302">
        <f>IF(C1="",'数据-汇总表'!D3,SUMIF(项目类型,C1,'数据-汇总表'!D17:D26))</f>
        <v>4272.76</v>
      </c>
    </row>
    <row r="20" spans="1:36" ht="15">
      <c r="A20" s="1764"/>
      <c r="B20" s="1026" t="s">
        <v>1295</v>
      </c>
      <c r="C20" s="137">
        <f ca="1">SUMIF(INDIRECT("'"&amp;C4&amp;"'"&amp;"!A:A"),结果表!B20,INDIRECT("'"&amp;C4&amp;"'"&amp;"!B:B"))</f>
        <v>30406</v>
      </c>
      <c r="D20" s="138">
        <f ca="1">SUMIF(INDIRECT("'"&amp;D4&amp;"'"&amp;"!A:A"),结果表!B20,INDIRECT("'"&amp;D4&amp;"'"&amp;"!B:B"))</f>
        <v>13071</v>
      </c>
      <c r="E20" s="1764"/>
      <c r="F20" s="1026" t="s">
        <v>1295</v>
      </c>
      <c r="G20" s="139">
        <f ca="1">ROUND(C20*$C$18+D20*$D$18,0)</f>
        <v>25206</v>
      </c>
      <c r="H20" s="808" t="s">
        <v>1296</v>
      </c>
      <c r="I20" s="129"/>
    </row>
    <row r="21" spans="1:36" ht="15" customHeight="1" thickBot="1">
      <c r="A21" s="828"/>
      <c r="B21" s="1765" t="s">
        <v>1297</v>
      </c>
      <c r="C21" s="719">
        <f ca="1">ROUND(C19*10000/L19,0)</f>
        <v>285247</v>
      </c>
      <c r="D21" s="720">
        <f ca="1">ROUND(D19*10000/L19,0)</f>
        <v>122621</v>
      </c>
      <c r="E21" s="828"/>
      <c r="F21" s="1765" t="s">
        <v>1297</v>
      </c>
      <c r="G21" s="140">
        <f ca="1">ROUND(G19*10000/L19,0)</f>
        <v>236458</v>
      </c>
      <c r="H21" s="1766" t="s">
        <v>1296</v>
      </c>
      <c r="I21" s="129"/>
    </row>
    <row r="22" spans="1:36" ht="15" thickBot="1">
      <c r="A22" s="1688" t="s">
        <v>1298</v>
      </c>
      <c r="B22" s="1767"/>
      <c r="C22" s="1768"/>
      <c r="D22" s="721">
        <f ca="1">IF(C19&lt;D19,D19/C19-1,C19/D19-1)</f>
        <v>1.3262458725402246</v>
      </c>
      <c r="E22" s="129"/>
      <c r="F22" s="129"/>
      <c r="G22" s="129"/>
      <c r="H22" s="129"/>
      <c r="I22" s="129"/>
      <c r="L22" s="3476" t="s">
        <v>3504</v>
      </c>
      <c r="M22" s="3476" t="s">
        <v>3502</v>
      </c>
      <c r="N22" s="3476" t="s">
        <v>3503</v>
      </c>
      <c r="O22" s="3476" t="s">
        <v>3508</v>
      </c>
    </row>
    <row r="23" spans="1:36" ht="13.5" thickBot="1">
      <c r="A23" s="1747"/>
      <c r="B23" s="1747"/>
      <c r="C23" s="1747"/>
      <c r="D23" s="1747"/>
      <c r="E23" s="129"/>
      <c r="F23" s="129"/>
      <c r="G23" s="129"/>
      <c r="H23" s="129"/>
      <c r="I23" s="129"/>
      <c r="L23" s="725" t="s">
        <v>3505</v>
      </c>
      <c r="M23" s="725">
        <v>1</v>
      </c>
      <c r="N23" s="725">
        <f>'数据-汇总表'!F19</f>
        <v>12616.670000000002</v>
      </c>
      <c r="O23" s="725">
        <v>40000</v>
      </c>
    </row>
    <row r="24" spans="1:36" ht="14.25">
      <c r="A24" s="3574" t="s">
        <v>1299</v>
      </c>
      <c r="B24" s="1762" t="s">
        <v>1291</v>
      </c>
      <c r="C24" s="136">
        <f>IF(B30=0,0,D30)</f>
        <v>0</v>
      </c>
      <c r="D24" s="1769"/>
      <c r="E24" s="129"/>
      <c r="F24" s="129"/>
      <c r="G24" s="129"/>
      <c r="H24" s="129"/>
      <c r="I24" s="129"/>
      <c r="L24" s="725" t="s">
        <v>3506</v>
      </c>
      <c r="M24" s="725">
        <v>0.4</v>
      </c>
      <c r="N24" s="725">
        <f>'数据-汇总表'!G19</f>
        <v>19297.77</v>
      </c>
      <c r="O24" s="725">
        <f>O23*M24</f>
        <v>16000</v>
      </c>
    </row>
    <row r="25" spans="1:36" ht="14.25">
      <c r="A25" s="3575"/>
      <c r="B25" s="1026" t="s">
        <v>1295</v>
      </c>
      <c r="C25" s="141">
        <f>IF(B30=0,0,C30)</f>
        <v>0</v>
      </c>
      <c r="D25" s="1770"/>
      <c r="E25" s="129"/>
      <c r="F25" s="129"/>
      <c r="G25" s="129"/>
      <c r="H25" s="129"/>
      <c r="I25" s="129"/>
      <c r="L25" s="725" t="s">
        <v>3507</v>
      </c>
      <c r="M25" s="725">
        <v>0.6</v>
      </c>
      <c r="N25" s="725">
        <f>'数据-汇总表'!F20</f>
        <v>8169.5</v>
      </c>
      <c r="O25" s="725">
        <f>O23*M25</f>
        <v>24000</v>
      </c>
    </row>
    <row r="26" spans="1:36" ht="13.5" customHeight="1">
      <c r="A26" s="1771" t="s">
        <v>1300</v>
      </c>
      <c r="B26" s="142" t="s">
        <v>1301</v>
      </c>
      <c r="C26" s="142" t="s">
        <v>1302</v>
      </c>
      <c r="D26" s="143" t="s">
        <v>1303</v>
      </c>
      <c r="E26" s="129"/>
      <c r="F26" s="129"/>
      <c r="G26" s="129"/>
      <c r="H26" s="129"/>
      <c r="I26" s="129"/>
      <c r="O26" s="1748">
        <f>ROUND((O23*N23+O24*N24+O25*N25)/L18,0)</f>
        <v>25185</v>
      </c>
    </row>
    <row r="27" spans="1:36" ht="14.25">
      <c r="A27" s="1771"/>
      <c r="B27" s="142">
        <v>0</v>
      </c>
      <c r="C27" s="142">
        <v>0</v>
      </c>
      <c r="D27" s="143">
        <f>ROUND(C27*B27/10000,0)</f>
        <v>0</v>
      </c>
      <c r="E27" s="129"/>
      <c r="F27" s="129"/>
      <c r="G27" s="130"/>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101033</v>
      </c>
      <c r="D32" s="1775" t="s">
        <v>3509</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4" t="s">
        <v>1312</v>
      </c>
      <c r="B36" s="1787" t="s">
        <v>1313</v>
      </c>
      <c r="C36" s="145"/>
      <c r="D36" s="1788"/>
      <c r="E36" s="1789"/>
      <c r="F36" s="1790"/>
      <c r="G36" s="129"/>
      <c r="H36" s="129"/>
      <c r="I36" s="129"/>
    </row>
    <row r="37" spans="1:15" ht="15.75" thickBot="1">
      <c r="A37" s="3595"/>
      <c r="B37" s="1674" t="s">
        <v>1314</v>
      </c>
      <c r="C37" s="147"/>
      <c r="D37" s="1139"/>
      <c r="E37" s="1139"/>
      <c r="F37" s="1790"/>
      <c r="G37" s="129"/>
      <c r="H37" s="129"/>
      <c r="I37" s="129"/>
    </row>
    <row r="38" spans="1:15" ht="15.75" thickBot="1">
      <c r="A38" s="359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71" t="s">
        <v>1326</v>
      </c>
      <c r="B45" s="3572"/>
      <c r="C45" s="3573"/>
      <c r="D45" s="155">
        <f ca="1">ROUND(H101*F45,0)</f>
        <v>101033</v>
      </c>
      <c r="E45" s="156" t="s">
        <v>1327</v>
      </c>
      <c r="F45" s="157">
        <v>1</v>
      </c>
      <c r="G45" s="158" t="s">
        <v>1328</v>
      </c>
      <c r="H45" s="129"/>
      <c r="I45" s="129"/>
      <c r="J45" s="3649" t="s">
        <v>1329</v>
      </c>
      <c r="K45" s="3649"/>
      <c r="L45" s="3649"/>
      <c r="M45" s="3649"/>
      <c r="N45" s="3649"/>
      <c r="O45" s="3649"/>
    </row>
    <row r="46" spans="1:15" ht="14.25" hidden="1" customHeight="1">
      <c r="A46" s="3568" t="s">
        <v>1330</v>
      </c>
      <c r="B46" s="3569"/>
      <c r="C46" s="3569"/>
      <c r="D46" s="3569"/>
      <c r="E46" s="3569"/>
      <c r="F46" s="3569"/>
      <c r="G46" s="3570"/>
      <c r="H46" s="1806"/>
      <c r="I46" s="159"/>
      <c r="J46" s="2521">
        <v>1</v>
      </c>
      <c r="K46" s="3630" t="s">
        <v>1331</v>
      </c>
      <c r="L46" s="3630"/>
      <c r="M46" s="3650"/>
      <c r="N46" s="3650"/>
      <c r="O46" s="3650"/>
    </row>
    <row r="47" spans="1:15" ht="12" hidden="1" customHeight="1">
      <c r="A47" s="160" t="s">
        <v>1332</v>
      </c>
      <c r="B47" s="161"/>
      <c r="C47" s="162"/>
      <c r="D47" s="1087" t="s">
        <v>1333</v>
      </c>
      <c r="E47" s="302" t="s">
        <v>1334</v>
      </c>
      <c r="F47" s="163" t="s">
        <v>1335</v>
      </c>
      <c r="G47" s="2544" t="s">
        <v>1336</v>
      </c>
      <c r="H47" s="2545"/>
      <c r="I47" s="159"/>
      <c r="J47" s="2521">
        <v>2</v>
      </c>
      <c r="K47" s="3630" t="s">
        <v>1337</v>
      </c>
      <c r="L47" s="3630"/>
      <c r="M47" s="3651">
        <f>'数据-取费表'!B2</f>
        <v>45005</v>
      </c>
      <c r="N47" s="3651"/>
      <c r="O47" s="3651"/>
    </row>
    <row r="48" spans="1:15" ht="25.5" hidden="1">
      <c r="A48" s="3599" t="s">
        <v>1338</v>
      </c>
      <c r="B48" s="3582"/>
      <c r="C48" s="3582"/>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30" t="s">
        <v>1340</v>
      </c>
      <c r="L48" s="3630"/>
      <c r="M48" s="3652">
        <f ca="1">H101</f>
        <v>101033</v>
      </c>
      <c r="N48" s="3652"/>
      <c r="O48" s="3652"/>
    </row>
    <row r="49" spans="1:35" ht="25.5" hidden="1" customHeight="1">
      <c r="A49" s="2333" t="s">
        <v>1341</v>
      </c>
      <c r="B49" s="3566" t="s">
        <v>1342</v>
      </c>
      <c r="C49" s="3566"/>
      <c r="D49" s="1590">
        <v>0</v>
      </c>
      <c r="E49" s="324" t="s">
        <v>1343</v>
      </c>
      <c r="F49" s="2424" t="s">
        <v>28</v>
      </c>
      <c r="G49" s="3636"/>
      <c r="H49" s="2310" t="s">
        <v>2134</v>
      </c>
      <c r="I49" s="2311"/>
      <c r="J49" s="2521">
        <v>4</v>
      </c>
      <c r="K49" s="3630" t="str">
        <f>IF(项目基本情况!E8="房地产抵押价值","房地产抵押价值","抵押担保权已注销时的房地产抵押价值")</f>
        <v>房地产抵押价值</v>
      </c>
      <c r="L49" s="3630"/>
      <c r="M49" s="3652">
        <f ca="1">IF(项目基本情况!E8="房地产抵押价值",H107,H109)</f>
        <v>101033</v>
      </c>
      <c r="N49" s="3652"/>
      <c r="O49" s="3652"/>
    </row>
    <row r="50" spans="1:35" ht="25.5" hidden="1" customHeight="1">
      <c r="A50" s="2549"/>
      <c r="B50" s="3566" t="s">
        <v>1344</v>
      </c>
      <c r="C50" s="3566"/>
      <c r="D50" s="2550"/>
      <c r="E50" s="332"/>
      <c r="F50" s="2424"/>
      <c r="G50" s="3637"/>
      <c r="H50" s="2312" t="s">
        <v>2135</v>
      </c>
      <c r="I50" s="2311"/>
      <c r="J50" s="3649" t="s">
        <v>1345</v>
      </c>
      <c r="K50" s="3649"/>
      <c r="L50" s="3649"/>
      <c r="M50" s="3649"/>
      <c r="N50" s="3649"/>
      <c r="O50" s="3649"/>
    </row>
    <row r="51" spans="1:35" ht="20.45" hidden="1" customHeight="1">
      <c r="A51" s="2551"/>
      <c r="B51" s="3566" t="s">
        <v>1346</v>
      </c>
      <c r="C51" s="3566"/>
      <c r="D51" s="1087"/>
      <c r="E51" s="327"/>
      <c r="F51" s="2424"/>
      <c r="G51" s="3638"/>
      <c r="H51" s="2312" t="s">
        <v>2136</v>
      </c>
      <c r="I51" s="2311"/>
      <c r="J51" s="2522" t="s">
        <v>1347</v>
      </c>
      <c r="K51" s="3630" t="s">
        <v>1348</v>
      </c>
      <c r="L51" s="3630"/>
      <c r="M51" s="2522" t="s">
        <v>1349</v>
      </c>
      <c r="N51" s="2522" t="s">
        <v>1350</v>
      </c>
      <c r="O51" s="2522" t="s">
        <v>1351</v>
      </c>
    </row>
    <row r="52" spans="1:35" ht="24" hidden="1" customHeight="1">
      <c r="A52" s="2335" t="s">
        <v>1352</v>
      </c>
      <c r="B52" s="3566" t="s">
        <v>1353</v>
      </c>
      <c r="C52" s="3566"/>
      <c r="D52" s="1087">
        <f ca="1">ROUND(D45*'数据-取费表'!B41/(1+'数据-取费表'!C42),0)</f>
        <v>5388</v>
      </c>
      <c r="E52" s="2334" t="s">
        <v>1354</v>
      </c>
      <c r="F52" s="2552">
        <f>'数据-取费表'!B41</f>
        <v>5.6000000000000001E-2</v>
      </c>
      <c r="G52" s="2553"/>
      <c r="H52" s="2542"/>
      <c r="I52" s="1807"/>
      <c r="J52" s="2521">
        <v>1</v>
      </c>
      <c r="K52" s="3631" t="s">
        <v>1355</v>
      </c>
      <c r="L52" s="3631"/>
      <c r="M52" s="2523" t="b">
        <f>D48</f>
        <v>0</v>
      </c>
      <c r="N52" s="2521" t="str">
        <f>E48</f>
        <v>销售额×税（费）率</v>
      </c>
      <c r="O52" s="2524">
        <f>F48</f>
        <v>5.6000000000000001E-2</v>
      </c>
    </row>
    <row r="53" spans="1:35" ht="12" hidden="1" customHeight="1">
      <c r="A53" s="2335" t="s">
        <v>1356</v>
      </c>
      <c r="B53" s="3592" t="s">
        <v>2287</v>
      </c>
      <c r="C53" s="3593"/>
      <c r="D53" s="1087">
        <f ca="1">ROUND(D45*'数据-取费表'!B41/(1+'数据-取费表'!C42),0)</f>
        <v>5388</v>
      </c>
      <c r="E53" s="2334" t="s">
        <v>1354</v>
      </c>
      <c r="F53" s="2552">
        <f>'数据-取费表'!B41</f>
        <v>5.6000000000000001E-2</v>
      </c>
      <c r="G53" s="2553"/>
      <c r="H53" s="2542"/>
      <c r="I53" s="1807"/>
      <c r="J53" s="2521">
        <v>2</v>
      </c>
      <c r="K53" s="3631" t="s">
        <v>1357</v>
      </c>
      <c r="L53" s="3631"/>
      <c r="M53" s="2523">
        <f t="shared" ref="M53:O54" ca="1" si="0">D55</f>
        <v>51</v>
      </c>
      <c r="N53" s="2521" t="str">
        <f t="shared" si="0"/>
        <v>销售额×税（费）率</v>
      </c>
      <c r="O53" s="2524" t="str">
        <f t="shared" si="0"/>
        <v>免征</v>
      </c>
    </row>
    <row r="54" spans="1:35" ht="12" hidden="1" customHeight="1">
      <c r="A54" s="2335" t="s">
        <v>1358</v>
      </c>
      <c r="B54" s="3592" t="s">
        <v>2288</v>
      </c>
      <c r="C54" s="3593"/>
      <c r="D54" s="1087">
        <f ca="1">C68</f>
        <v>5388</v>
      </c>
      <c r="E54" s="327" t="s">
        <v>1359</v>
      </c>
      <c r="F54" s="2552">
        <f>'数据-取费表'!B41</f>
        <v>5.6000000000000001E-2</v>
      </c>
      <c r="G54" s="2553"/>
      <c r="H54" s="2554"/>
      <c r="I54" s="1807"/>
      <c r="J54" s="2521">
        <v>3</v>
      </c>
      <c r="K54" s="3631" t="s">
        <v>1360</v>
      </c>
      <c r="L54" s="3631"/>
      <c r="M54" s="2523">
        <f t="shared" ca="1" si="0"/>
        <v>57185</v>
      </c>
      <c r="N54" s="2521" t="str">
        <f t="shared" si="0"/>
        <v>增值额×税（费）率</v>
      </c>
      <c r="O54" s="2525" t="str">
        <f t="shared" si="0"/>
        <v>免征</v>
      </c>
    </row>
    <row r="55" spans="1:35" ht="24" hidden="1" customHeight="1">
      <c r="A55" s="3581" t="s">
        <v>1361</v>
      </c>
      <c r="B55" s="3582"/>
      <c r="C55" s="3582"/>
      <c r="D55" s="2324">
        <f ca="1">IF(H55="个人住宅",0,ROUND(D45*I55,0))</f>
        <v>51</v>
      </c>
      <c r="E55" s="2334" t="s">
        <v>1362</v>
      </c>
      <c r="F55" s="2552" t="str">
        <f>IF(H55="正常",I55,"免征")</f>
        <v>免征</v>
      </c>
      <c r="G55" s="2553"/>
      <c r="H55" s="2548"/>
      <c r="I55" s="165">
        <f>'数据-取费表'!B49</f>
        <v>5.0000000000000001E-4</v>
      </c>
      <c r="J55" s="2521">
        <f>IF(H59="非个人房产","",4)</f>
        <v>4</v>
      </c>
      <c r="K55" s="3631" t="str">
        <f>IF(H59="非个人房产","——","个人所得税")</f>
        <v>个人所得税</v>
      </c>
      <c r="L55" s="3631"/>
      <c r="M55" s="2526">
        <f ca="1">D59</f>
        <v>962</v>
      </c>
      <c r="N55" s="2040" t="str">
        <f>E59</f>
        <v>差额计税</v>
      </c>
      <c r="O55" s="2527">
        <f>F59</f>
        <v>0.01</v>
      </c>
    </row>
    <row r="56" spans="1:35" ht="24.75" hidden="1">
      <c r="A56" s="3581" t="s">
        <v>1363</v>
      </c>
      <c r="B56" s="3582"/>
      <c r="C56" s="3582"/>
      <c r="D56" s="2324">
        <f ca="1">IF(H56="个人住宅",D57,D58)</f>
        <v>57185</v>
      </c>
      <c r="E56" s="2334" t="s">
        <v>1364</v>
      </c>
      <c r="F56" s="2552" t="str">
        <f>IF(H56="正常",F58,"免征")</f>
        <v>免征</v>
      </c>
      <c r="G56" s="2555" t="s">
        <v>1365</v>
      </c>
      <c r="H56" s="2556"/>
      <c r="I56" s="1808"/>
      <c r="J56" s="2521" t="str">
        <f>IF(项目基本情况!K6="上海银行",IF(J55="",4,J55+1),"")</f>
        <v/>
      </c>
      <c r="K56" s="3654" t="str">
        <f>IF(项目基本情况!K6="上海银行","其他处置费用","")</f>
        <v/>
      </c>
      <c r="L56" s="3655"/>
      <c r="M56" s="2523" t="str">
        <f>IF(项目基本情况!K6="上海银行",M69,"")</f>
        <v/>
      </c>
      <c r="N56" s="3654" t="str">
        <f>IF(项目基本情况!K6="上海银行","包含处置中涉及的律师、诉讼、拍卖、评估等费用","")</f>
        <v/>
      </c>
      <c r="O56" s="3657"/>
    </row>
    <row r="57" spans="1:35" ht="12.75" hidden="1">
      <c r="A57" s="2335" t="s">
        <v>1341</v>
      </c>
      <c r="B57" s="3592" t="s">
        <v>1366</v>
      </c>
      <c r="C57" s="3593"/>
      <c r="D57" s="1590">
        <v>0</v>
      </c>
      <c r="E57" s="324" t="s">
        <v>1343</v>
      </c>
      <c r="F57" s="302"/>
      <c r="G57" s="2553"/>
      <c r="H57" s="2557"/>
      <c r="I57" s="1808"/>
      <c r="J57" s="3631">
        <f>IF(AND(J55="",J56=""),4,IF(项目基本情况!K6="上海银行",结果表!J56+1,结果表!J55+1))</f>
        <v>5</v>
      </c>
      <c r="K57" s="3631" t="s">
        <v>1367</v>
      </c>
      <c r="L57" s="2528" t="s">
        <v>1368</v>
      </c>
      <c r="M57" s="2529"/>
      <c r="N57" s="2530">
        <f ca="1">SUMIF(M52:M56,"&lt;9e307")</f>
        <v>58198</v>
      </c>
      <c r="O57" s="2531"/>
      <c r="P57" s="2687">
        <f ca="1">N57/M49</f>
        <v>0.57602961408648656</v>
      </c>
    </row>
    <row r="58" spans="1:35" ht="24.75" hidden="1">
      <c r="A58" s="2335" t="s">
        <v>1352</v>
      </c>
      <c r="B58" s="3592" t="s">
        <v>1369</v>
      </c>
      <c r="C58" s="3566"/>
      <c r="D58" s="2324">
        <f ca="1">IF(H58="转让取得",C81,C97)</f>
        <v>57185</v>
      </c>
      <c r="E58" s="2334" t="s">
        <v>1364</v>
      </c>
      <c r="F58" s="302" t="s">
        <v>28</v>
      </c>
      <c r="G58" s="2553"/>
      <c r="H58" s="2556"/>
      <c r="I58" s="1808"/>
      <c r="J58" s="3631"/>
      <c r="K58" s="3631"/>
      <c r="L58" s="2528" t="s">
        <v>1370</v>
      </c>
      <c r="M58" s="2532"/>
      <c r="N58" s="2533" t="str">
        <f ca="1">NUMBERSTRING(INT(N57*10000),2)&amp;"元整"</f>
        <v>伍亿捌仟壹佰玖拾捌万元整</v>
      </c>
      <c r="O58" s="2534"/>
    </row>
    <row r="59" spans="1:35" ht="24.75" hidden="1" thickBot="1">
      <c r="A59" s="3634" t="s">
        <v>1371</v>
      </c>
      <c r="B59" s="3635"/>
      <c r="C59" s="3635"/>
      <c r="D59" s="2558">
        <f ca="1">IF(H59="非个人房产","——",IF(H59="个人住宅（满五唯一有凭证）",0,IF(H59="个人其他（无凭证）",ROUND(D45*F59,0),ROUND(C67*F59,0))))</f>
        <v>962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32">
        <f>J57+1</f>
        <v>6</v>
      </c>
      <c r="K59" s="3631" t="s">
        <v>1372</v>
      </c>
      <c r="L59" s="2521" t="s">
        <v>1368</v>
      </c>
      <c r="M59" s="2535"/>
      <c r="N59" s="2536">
        <f ca="1">M49-N57</f>
        <v>42835</v>
      </c>
      <c r="O59" s="2537"/>
    </row>
    <row r="60" spans="1:35" ht="12" hidden="1" customHeight="1">
      <c r="A60" s="1809"/>
      <c r="B60" s="1747"/>
      <c r="C60" s="1747"/>
      <c r="D60" s="1747"/>
      <c r="E60" s="1578"/>
      <c r="F60" s="1808"/>
      <c r="G60" s="1808"/>
      <c r="H60" s="1810"/>
      <c r="I60" s="129"/>
      <c r="J60" s="3633"/>
      <c r="K60" s="3631"/>
      <c r="L60" s="2528" t="s">
        <v>1370</v>
      </c>
      <c r="M60" s="2532"/>
      <c r="N60" s="2533" t="str">
        <f ca="1">NUMBERSTRING(INT(N59*10000),2)&amp;"元整"</f>
        <v>肆亿贰仟捌佰叁拾伍万元整</v>
      </c>
      <c r="O60" s="2534"/>
    </row>
    <row r="61" spans="1:35" ht="13.5" hidden="1" thickBot="1">
      <c r="A61" s="3579" t="s">
        <v>1373</v>
      </c>
      <c r="B61" s="3579"/>
      <c r="C61" s="3579"/>
      <c r="D61" s="3579"/>
      <c r="E61" s="3579"/>
      <c r="F61" s="1808"/>
      <c r="G61" s="1808"/>
      <c r="H61" s="1810"/>
      <c r="I61" s="129"/>
      <c r="J61" s="2521">
        <f>J59+1</f>
        <v>7</v>
      </c>
      <c r="K61" s="3631" t="s">
        <v>1374</v>
      </c>
      <c r="L61" s="3631"/>
      <c r="M61" s="2538"/>
      <c r="N61" s="2539">
        <f ca="1">ROUND(N59*10000/'数据-汇总表'!E3,0)</f>
        <v>10686</v>
      </c>
      <c r="O61" s="2540"/>
    </row>
    <row r="62" spans="1:35" ht="12.75" hidden="1">
      <c r="A62" s="3597" t="s">
        <v>1375</v>
      </c>
      <c r="B62" s="3598"/>
      <c r="C62" s="2021"/>
      <c r="D62" s="2021" t="s">
        <v>1376</v>
      </c>
      <c r="E62" s="166" t="s">
        <v>1377</v>
      </c>
      <c r="F62" s="1808"/>
      <c r="G62" s="1808"/>
      <c r="H62" s="1810"/>
      <c r="I62" s="129"/>
    </row>
    <row r="63" spans="1:35" ht="12.75" hidden="1">
      <c r="A63" s="173" t="s">
        <v>330</v>
      </c>
      <c r="B63" s="167" t="s">
        <v>1378</v>
      </c>
      <c r="C63" s="2562">
        <f ca="1">ROUND((C64+C65)/(1+'数据-取费表'!C42),0)</f>
        <v>96222</v>
      </c>
      <c r="D63" s="167"/>
      <c r="E63" s="168"/>
      <c r="F63" s="1808"/>
      <c r="G63" s="1808"/>
      <c r="H63" s="1810"/>
      <c r="I63" s="129"/>
      <c r="J63" s="3656" t="s">
        <v>1379</v>
      </c>
      <c r="K63" s="1332" t="s">
        <v>1380</v>
      </c>
      <c r="L63" s="1332">
        <f ca="1">IF(M49&gt;10000,M49*0.5%,IF(AND(M49&gt;1000,M49&lt;=10000),M49*1%,IF(AND(M49&gt;100,M49&lt;=1000),M49*3%,IF(AND(M49&gt;10,M49&lt;=100),M49*5%,M49*8%))))</f>
        <v>505.16500000000002</v>
      </c>
      <c r="M63" s="302">
        <f ca="1">ROUND(L63,1)</f>
        <v>505.2</v>
      </c>
      <c r="N63" s="2541"/>
      <c r="Z63" s="1752"/>
      <c r="AI63" s="1753"/>
    </row>
    <row r="64" spans="1:35" ht="14.25" hidden="1" customHeight="1">
      <c r="A64" s="169" t="s">
        <v>325</v>
      </c>
      <c r="B64" s="170" t="s">
        <v>1381</v>
      </c>
      <c r="C64" s="2563">
        <f ca="1">D45</f>
        <v>101033</v>
      </c>
      <c r="D64" s="170" t="s">
        <v>26</v>
      </c>
      <c r="E64" s="172"/>
      <c r="F64" s="1808"/>
      <c r="G64" s="1808"/>
      <c r="H64" s="1810"/>
      <c r="I64" s="129"/>
      <c r="J64" s="3656"/>
      <c r="K64" s="1332" t="s">
        <v>1382</v>
      </c>
      <c r="L64" s="1332">
        <f ca="1">IF(M49&gt;2000,M49*0.5%,IF(AND(M49&gt;1000,M49&lt;=2000),M49*0.6%,IF(AND(M49&gt;500,M49&lt;=1000),M49*0.7%,IF(AND(M49&gt;200,M49&lt;=500),M49*0.8%,IF(AND(M49&gt;100,M49&lt;=200),M49*0.9%,IF(AND(M49&gt;50,M49&lt;=100),M49*1%,IF(AND(M49&gt;20,M49&lt;=50),M49*1.5%,IF(AND(M49&gt;10,M49&lt;=20),M49*2%,IF(AND(M49&gt;1,M49&lt;=10),M49*2.5%)))))))))</f>
        <v>505.16500000000002</v>
      </c>
      <c r="M64" s="302">
        <f t="shared" ref="M64:M65" ca="1" si="1">ROUND(L64,1)</f>
        <v>505.2</v>
      </c>
      <c r="N64" s="2542" t="s">
        <v>1383</v>
      </c>
      <c r="Z64" s="1752"/>
      <c r="AI64" s="1753"/>
    </row>
    <row r="65" spans="1:35" ht="14.25" hidden="1" customHeight="1">
      <c r="A65" s="169" t="s">
        <v>326</v>
      </c>
      <c r="B65" s="170" t="s">
        <v>1384</v>
      </c>
      <c r="C65" s="2564"/>
      <c r="D65" s="170"/>
      <c r="E65" s="172"/>
      <c r="F65" s="1808"/>
      <c r="G65" s="1808"/>
      <c r="H65" s="1810"/>
      <c r="I65" s="129"/>
      <c r="J65" s="3656"/>
      <c r="K65" s="1332" t="s">
        <v>1385</v>
      </c>
      <c r="L65" s="1332">
        <f ca="1">IF(M49&gt;1000,M49*0.1%,IF(AND(M49&gt;500,M49&lt;=1000),M49*0.5%,IF(AND(M49&gt;50,M49&lt;=500),M49*1%,IF(AND(M49&gt;1,M49&lt;=50),M49*1.5%))))</f>
        <v>101.033</v>
      </c>
      <c r="M65" s="302">
        <f t="shared" ca="1" si="1"/>
        <v>101</v>
      </c>
      <c r="N65" s="2542" t="s">
        <v>1383</v>
      </c>
      <c r="Z65" s="1752"/>
      <c r="AI65" s="1753"/>
    </row>
    <row r="66" spans="1:35" ht="14.25" hidden="1" customHeight="1">
      <c r="A66" s="173" t="s">
        <v>327</v>
      </c>
      <c r="B66" s="174" t="s">
        <v>1386</v>
      </c>
      <c r="C66" s="2565"/>
      <c r="D66" s="174" t="s">
        <v>26</v>
      </c>
      <c r="E66" s="1338" t="s">
        <v>671</v>
      </c>
      <c r="F66" s="1808"/>
      <c r="G66" s="1808"/>
      <c r="H66" s="1810"/>
      <c r="I66" s="129"/>
      <c r="J66" s="3656"/>
      <c r="K66" s="1332" t="s">
        <v>1387</v>
      </c>
      <c r="L66" s="1332">
        <f ca="1">M49*0.5%</f>
        <v>505.16500000000002</v>
      </c>
      <c r="M66" s="302">
        <f ca="1">IF(L66&gt;0.5,0.5,ROUND(L66,0))</f>
        <v>0.5</v>
      </c>
      <c r="N66" s="2542" t="s">
        <v>1388</v>
      </c>
      <c r="Z66" s="1752"/>
      <c r="AI66" s="1753"/>
    </row>
    <row r="67" spans="1:35" ht="14.25" hidden="1" customHeight="1">
      <c r="A67" s="173" t="s">
        <v>328</v>
      </c>
      <c r="B67" s="174" t="s">
        <v>1389</v>
      </c>
      <c r="C67" s="2566">
        <f ca="1">C63-C66</f>
        <v>96222</v>
      </c>
      <c r="D67" s="170" t="s">
        <v>26</v>
      </c>
      <c r="E67" s="172"/>
      <c r="F67" s="1808"/>
      <c r="G67" s="1808"/>
      <c r="H67" s="1810"/>
      <c r="I67" s="129"/>
      <c r="J67" s="3656"/>
      <c r="K67" s="1332" t="s">
        <v>1390</v>
      </c>
      <c r="L67" s="1332">
        <f ca="1">IF(M49&gt;=10000,(8.25+(M49-10000)*0.01%),IF(AND(M49&gt;=8000,M49&lt;10000),(7.85+(M49-8000)*0.02%),IF(AND(M49&gt;=5000,M49&lt;8000),(6.65+(M49-5000)*0.04%),IF(AND(M49&gt;=2000,M49&lt;5000),(4.25+(PM49-2000)*0.08%),IF(AND(M49&gt;=1000,M49&lt;2000),(2.75+(M49-1000)*0.15%),IF(AND(M49&gt;=100,M49&lt;1000),(0.5+(M49-100)*0.25%),IF(AND(M49&gt;0,M49&lt;100),M49*0.5%)))))))</f>
        <v>17.353300000000001</v>
      </c>
      <c r="M67" s="302">
        <f ca="1">ROUND(L67*0.9,1)</f>
        <v>15.6</v>
      </c>
      <c r="N67" s="2541"/>
      <c r="Z67" s="1752"/>
      <c r="AI67" s="1753"/>
    </row>
    <row r="68" spans="1:35" ht="14.25" hidden="1" customHeight="1" thickBot="1">
      <c r="A68" s="176" t="s">
        <v>329</v>
      </c>
      <c r="B68" s="177" t="s">
        <v>1391</v>
      </c>
      <c r="C68" s="2567">
        <f ca="1">IF(C67&lt;=0,0,ROUND(C67*D68,0))</f>
        <v>5388</v>
      </c>
      <c r="D68" s="2568">
        <f>'数据-取费表'!B41</f>
        <v>5.6000000000000001E-2</v>
      </c>
      <c r="E68" s="178"/>
      <c r="F68" s="1808"/>
      <c r="G68" s="1808"/>
      <c r="H68" s="1810"/>
      <c r="I68" s="129"/>
      <c r="J68" s="3656"/>
      <c r="K68" s="1332" t="s">
        <v>1392</v>
      </c>
      <c r="L68" s="1332">
        <f ca="1">IF(M49&gt;10000,M49*0.5%,IF(AND(M49&gt;5000,M49&lt;=10000),M49*1%,IF(AND(M49&gt;1000,M49&lt;=5000),M49*2%,IF(AND(M49&gt;200,M49&lt;=1000),M49*3%,M49*5%))))</f>
        <v>505.16500000000002</v>
      </c>
      <c r="M68" s="302">
        <f ca="1">ROUND(L68,1)</f>
        <v>505.2</v>
      </c>
      <c r="N68" s="2541"/>
      <c r="Z68" s="1752"/>
      <c r="AI68" s="1753"/>
    </row>
    <row r="69" spans="1:35" s="1772" customFormat="1" ht="16.5" hidden="1" customHeight="1">
      <c r="A69" s="1811"/>
      <c r="B69" s="1812"/>
      <c r="C69" s="1813"/>
      <c r="D69" s="1814"/>
      <c r="E69" s="1815"/>
      <c r="F69" s="1578"/>
      <c r="G69" s="1578"/>
      <c r="H69" s="1577"/>
      <c r="I69" s="1747"/>
      <c r="J69" s="3656"/>
      <c r="K69" s="1332" t="s">
        <v>1393</v>
      </c>
      <c r="L69" s="1332"/>
      <c r="M69" s="302">
        <f ca="1">ROUND(SUM(M63:M68),0)</f>
        <v>1633</v>
      </c>
      <c r="N69" s="2543">
        <f ca="1">M69/M49</f>
        <v>1.6163035839775124E-2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8" t="s">
        <v>1394</v>
      </c>
      <c r="B70" s="3619"/>
      <c r="C70" s="3619"/>
      <c r="D70" s="3619"/>
      <c r="E70" s="3619"/>
      <c r="F70" s="3619"/>
      <c r="G70" s="3619"/>
      <c r="H70" s="361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7" t="s">
        <v>1375</v>
      </c>
      <c r="B71" s="3598"/>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6">
        <f ca="1">ROUND(D45/(1+'数据-取费表'!C42),0)</f>
        <v>96222</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6">
        <f ca="1">C74+C78</f>
        <v>577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2">
        <v>0.05</v>
      </c>
      <c r="E76" s="3592" t="s">
        <v>1402</v>
      </c>
      <c r="F76" s="3566"/>
      <c r="G76" s="3566"/>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4">
        <f ca="1">ROUND(D45*D78/(1+'数据-取费表'!C42),0)</f>
        <v>577</v>
      </c>
      <c r="D78" s="2575">
        <f>'数据-取费表'!B43</f>
        <v>6.000000000000001E-3</v>
      </c>
      <c r="E78" s="3576" t="s">
        <v>1406</v>
      </c>
      <c r="F78" s="3577"/>
      <c r="G78" s="3577"/>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6">
        <f ca="1">C72-C73</f>
        <v>95645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6">
        <f ca="1">IF(C79&lt;=0,0,C79/C73)</f>
        <v>165.7625649913345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7">
        <f ca="1">ROUND(IF(C79&lt;=0,0,IF(C80&gt;=200%,C79*60%-C73*35%,IF(C80&gt;=100%,C79*50%-C73*15%,IF(C80&gt;=50%,C79*40%-C73*5%,IF(C80&lt;50%,C79*30%,0))))),0)</f>
        <v>57185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6">
        <f ca="1">ROUND(D45/(1+'数据-取费表'!C42),0)</f>
        <v>96222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6">
        <f ca="1">IF(H88="仅含出让金",C87+C90+C91+C92+C93+C94,C87+C91+C92+C93+C94)</f>
        <v>577</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0"/>
      <c r="D90" s="2575"/>
      <c r="E90" s="193" t="str">
        <f>IF(H88="-","土地取得成本中已包含该笔费用"," ")</f>
        <v xml:space="preserve"> </v>
      </c>
      <c r="F90" s="2327"/>
      <c r="G90" s="3658" t="s">
        <v>2129</v>
      </c>
      <c r="H90" s="3659"/>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4">
        <f>IF(H91="——",成本法!C33,I91)</f>
        <v>0</v>
      </c>
      <c r="D91" s="2575"/>
      <c r="E91" s="3576" t="s">
        <v>1419</v>
      </c>
      <c r="F91" s="3577"/>
      <c r="G91" s="35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4">
        <f>ROUND((C87+C90+C91)*D92,0)</f>
        <v>0</v>
      </c>
      <c r="D92" s="2581"/>
      <c r="E92" s="3576" t="s">
        <v>1422</v>
      </c>
      <c r="F92" s="3577"/>
      <c r="G92" s="3577"/>
      <c r="H92" s="3586"/>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4">
        <f ca="1">ROUND(D45*D93/(1+'数据-取费表'!C42),0)</f>
        <v>577</v>
      </c>
      <c r="D93" s="2575">
        <f>'数据-取费表'!B43</f>
        <v>6.000000000000001E-3</v>
      </c>
      <c r="E93" s="3576" t="s">
        <v>1406</v>
      </c>
      <c r="F93" s="3577"/>
      <c r="G93" s="3577"/>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0">
        <f>ROUND((C87+C90+C91)*D94,0)</f>
        <v>0</v>
      </c>
      <c r="D94" s="2575">
        <v>0.2</v>
      </c>
      <c r="E94" s="3587" t="s">
        <v>1426</v>
      </c>
      <c r="F94" s="3588"/>
      <c r="G94" s="3588"/>
      <c r="H94" s="358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6">
        <f ca="1">ROUND(C85-C86,0)</f>
        <v>95645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6">
        <f ca="1">IF(C95&lt;=0,0,C95/C86)</f>
        <v>165.7625649913345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7">
        <f ca="1">ROUND(IF(C95&lt;=0,0,IF(C96&gt;=200%,C95*60%-C86*35%,IF(C96&gt;=100%,C95*50%-C86*15%,IF(C96&gt;=50%,C95*40%-C86*5%,IF(C96&lt;50%,C95*30%,0))))),0)</f>
        <v>57185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78"/>
      <c r="E100" s="3561" t="s">
        <v>1429</v>
      </c>
      <c r="F100" s="3561"/>
      <c r="G100" s="3561"/>
      <c r="H100" s="3578"/>
      <c r="I100" s="129"/>
    </row>
    <row r="101" spans="1:35" ht="18.75" customHeight="1">
      <c r="A101" s="3639" t="s">
        <v>1430</v>
      </c>
      <c r="B101" s="3640"/>
      <c r="C101" s="2583" t="str">
        <f>C4</f>
        <v>成本法</v>
      </c>
      <c r="D101" s="2584" t="str">
        <f>D4</f>
        <v>收益法（汇总）</v>
      </c>
      <c r="E101" s="3653" t="s">
        <v>1431</v>
      </c>
      <c r="F101" s="3610"/>
      <c r="G101" s="1827" t="s">
        <v>1432</v>
      </c>
      <c r="H101" s="2593">
        <f ca="1">H118</f>
        <v>101033</v>
      </c>
      <c r="I101" s="129"/>
    </row>
    <row r="102" spans="1:35" ht="18.75" customHeight="1">
      <c r="A102" s="3612" t="s">
        <v>1433</v>
      </c>
      <c r="B102" s="2582" t="s">
        <v>1432</v>
      </c>
      <c r="C102" s="2583">
        <f ca="1">IF(D32="楼面单价",ROUND(C19,0),C19)</f>
        <v>121879</v>
      </c>
      <c r="D102" s="2584">
        <f ca="1">IF(D32="楼面单价",ROUND(D19,0),D19)</f>
        <v>52393</v>
      </c>
      <c r="E102" s="3653"/>
      <c r="F102" s="3610"/>
      <c r="G102" s="1827" t="s">
        <v>1434</v>
      </c>
      <c r="H102" s="2553">
        <f ca="1">I118</f>
        <v>25205</v>
      </c>
      <c r="I102" s="129"/>
    </row>
    <row r="103" spans="1:35" ht="42.75" customHeight="1">
      <c r="A103" s="3612"/>
      <c r="B103" s="2582" t="s">
        <v>1434</v>
      </c>
      <c r="C103" s="2585">
        <f ca="1">C20</f>
        <v>30406</v>
      </c>
      <c r="D103" s="2586">
        <f ca="1">D20</f>
        <v>13071</v>
      </c>
      <c r="E103" s="3647" t="s">
        <v>1435</v>
      </c>
      <c r="F103" s="3648"/>
      <c r="G103" s="1828" t="s">
        <v>1436</v>
      </c>
      <c r="H103" s="2593">
        <f>IF(D36="正常操作",H104+H105+H106,H105+H106)</f>
        <v>0</v>
      </c>
      <c r="I103" s="129"/>
    </row>
    <row r="104" spans="1:35" ht="18.75" customHeight="1">
      <c r="A104" s="3612" t="s">
        <v>1437</v>
      </c>
      <c r="B104" s="2587" t="s">
        <v>1432</v>
      </c>
      <c r="C104" s="2588">
        <f ca="1">H118</f>
        <v>101033</v>
      </c>
      <c r="D104" s="2589"/>
      <c r="E104" s="1674" t="s">
        <v>1438</v>
      </c>
      <c r="F104" s="1666"/>
      <c r="G104" s="1828" t="s">
        <v>1436</v>
      </c>
      <c r="H104" s="2594">
        <f>IF(D36="同一抵押权人同一抵押物续贷",C36&amp;"（续贷，未扣减，详见特别提示）",C36)</f>
        <v>0</v>
      </c>
      <c r="I104" s="129"/>
    </row>
    <row r="105" spans="1:35" ht="18.75" customHeight="1" thickBot="1">
      <c r="A105" s="3613"/>
      <c r="B105" s="2590" t="s">
        <v>1434</v>
      </c>
      <c r="C105" s="2591">
        <f ca="1">I118</f>
        <v>25205</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9" t="str">
        <f>IF(项目基本情况!E8="已注销","——","3.房地产抵押价值")</f>
        <v>3.房地产抵押价值</v>
      </c>
      <c r="F107" s="3610"/>
      <c r="G107" s="1827" t="s">
        <v>1432</v>
      </c>
      <c r="H107" s="2593">
        <f ca="1">IF(E107="——","——",H101-H103)</f>
        <v>101033</v>
      </c>
      <c r="I107" s="129"/>
    </row>
    <row r="108" spans="1:35" ht="18.75" customHeight="1">
      <c r="A108" s="129"/>
      <c r="B108" s="129"/>
      <c r="C108" s="129"/>
      <c r="D108" s="129"/>
      <c r="E108" s="3609"/>
      <c r="F108" s="3610"/>
      <c r="G108" s="1827" t="s">
        <v>1434</v>
      </c>
      <c r="H108" s="2553">
        <f ca="1">IF(H107=H101,H102,ROUND(H107*10000/'数据-汇总表'!E3,0))</f>
        <v>25205</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7" t="s">
        <v>1432</v>
      </c>
      <c r="H109" s="2596" t="str">
        <f>IF(E109="——","——",H101-H105-H106)</f>
        <v>——</v>
      </c>
      <c r="I109" s="129"/>
    </row>
    <row r="110" spans="1:35" ht="18.75" customHeight="1">
      <c r="A110" s="129"/>
      <c r="B110" s="129"/>
      <c r="C110" s="129"/>
      <c r="D110" s="129"/>
      <c r="E110" s="3609"/>
      <c r="F110" s="3610"/>
      <c r="G110" s="1827" t="s">
        <v>1434</v>
      </c>
      <c r="H110" s="2553"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7" t="s">
        <v>1432</v>
      </c>
      <c r="H111" s="2593" t="str">
        <f>IF(E111="——","——",N59)</f>
        <v>——</v>
      </c>
      <c r="I111" s="129"/>
    </row>
    <row r="112" spans="1:35" ht="18.75" customHeight="1" thickBot="1">
      <c r="A112" s="129"/>
      <c r="B112" s="129"/>
      <c r="C112" s="129"/>
      <c r="D112" s="129"/>
      <c r="E112" s="3642"/>
      <c r="F112" s="3643"/>
      <c r="G112" s="1830" t="s">
        <v>1434</v>
      </c>
      <c r="H112" s="2597"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9" t="s">
        <v>1449</v>
      </c>
      <c r="E117" s="2329" t="s">
        <v>1450</v>
      </c>
      <c r="F117" s="2329" t="s">
        <v>1449</v>
      </c>
      <c r="G117" s="2329" t="s">
        <v>1451</v>
      </c>
      <c r="H117" s="2329" t="s">
        <v>1449</v>
      </c>
      <c r="I117" s="2329" t="s">
        <v>1451</v>
      </c>
    </row>
    <row r="118" spans="1:27" ht="24.75" customHeight="1">
      <c r="A118" s="2598" t="str">
        <f>项目基本情况!S2</f>
        <v>北京市北京市朝阳区安立路68号1层A-1区房地产</v>
      </c>
      <c r="B118" s="2329">
        <f>M18</f>
        <v>40083.94000000001</v>
      </c>
      <c r="C118" s="2329">
        <f>M19</f>
        <v>4272.76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101033</v>
      </c>
      <c r="I118" s="2329">
        <f ca="1">ROUND(IF(D32="楼面单价",C32,H118*10000/B118),0)</f>
        <v>25205</v>
      </c>
    </row>
    <row r="119" spans="1:27" ht="18.75" customHeight="1">
      <c r="A119" s="3580" t="s">
        <v>1452</v>
      </c>
      <c r="B119" s="3580"/>
      <c r="C119" s="3580"/>
      <c r="D119" s="3620" t="e">
        <f ca="1">NUMBERSTRING(INT(D118*10000),2)&amp;"元整"</f>
        <v>#REF!</v>
      </c>
      <c r="E119" s="3622"/>
      <c r="F119" s="3620" t="e">
        <f ca="1">NUMBERSTRING(INT(F118*10000),2)&amp;"元整"</f>
        <v>#REF!</v>
      </c>
      <c r="G119" s="3622"/>
      <c r="H119" s="3620" t="str">
        <f ca="1">NUMBERSTRING(INT(H118*10000),2)&amp;"元整"</f>
        <v>壹拾亿壹仟零叁拾叁万元整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0" t="s">
        <v>1452</v>
      </c>
      <c r="B121" s="3621"/>
      <c r="C121" s="3622"/>
      <c r="D121" s="3620" t="str">
        <f>IF(D120=0,"零元整",NUMBERSTRING(INT(D120*10000),2)&amp;"元整")</f>
        <v>零元整</v>
      </c>
      <c r="E121" s="3621"/>
      <c r="F121" s="3621"/>
      <c r="G121" s="3621"/>
      <c r="H121" s="3621"/>
      <c r="I121" s="3622"/>
      <c r="AA121" s="725"/>
    </row>
    <row r="122" spans="1:27" ht="18.75" customHeight="1">
      <c r="A122" s="3611" t="str">
        <f>IF(项目基本情况!B9="房地产市场价值","",MID(E107,3,LEN(E107)-2))</f>
        <v>房地产抵押价值</v>
      </c>
      <c r="B122" s="3611"/>
      <c r="C122" s="3611"/>
      <c r="D122" s="3644">
        <f ca="1">H107</f>
        <v>101033</v>
      </c>
      <c r="E122" s="3645"/>
      <c r="F122" s="3645"/>
      <c r="G122" s="3645"/>
      <c r="H122" s="3645"/>
      <c r="I122" s="3646"/>
      <c r="AA122" s="725"/>
    </row>
    <row r="123" spans="1:27" ht="18.75" customHeight="1">
      <c r="A123" s="3580" t="s">
        <v>1452</v>
      </c>
      <c r="B123" s="3580"/>
      <c r="C123" s="3580"/>
      <c r="D123" s="3620" t="str">
        <f ca="1">NUMBERSTRING(INT(D122*10000),2)&amp;"元整"</f>
        <v>壹拾亿壹仟零叁拾叁万元整</v>
      </c>
      <c r="E123" s="3621"/>
      <c r="F123" s="3621"/>
      <c r="G123" s="3621"/>
      <c r="H123" s="3621"/>
      <c r="I123" s="3622"/>
      <c r="AA123" s="725"/>
    </row>
    <row r="124" spans="1:27" ht="18.75" customHeight="1">
      <c r="A124" s="3611" t="str">
        <f>IF(项目基本情况!B9="房地产市场价值","",MID(E109,3,LEN(E109)-2))</f>
        <v/>
      </c>
      <c r="B124" s="3611"/>
      <c r="C124" s="3611"/>
      <c r="D124" s="3644" t="str">
        <f>H109</f>
        <v>——</v>
      </c>
      <c r="E124" s="3645"/>
      <c r="F124" s="3645"/>
      <c r="G124" s="3645"/>
      <c r="H124" s="3645"/>
      <c r="I124" s="3646"/>
      <c r="AA124" s="725"/>
    </row>
    <row r="125" spans="1:27" ht="18.75" customHeight="1">
      <c r="A125" s="3580" t="s">
        <v>1452</v>
      </c>
      <c r="B125" s="3580"/>
      <c r="C125" s="3580"/>
      <c r="D125" s="3620" t="e">
        <f>NUMBERSTRING(INT(D124*10000),2)&amp;"元整"</f>
        <v>#VALUE!</v>
      </c>
      <c r="E125" s="3621"/>
      <c r="F125" s="3621"/>
      <c r="G125" s="3621"/>
      <c r="H125" s="3621"/>
      <c r="I125" s="3622"/>
      <c r="AA125" s="725"/>
    </row>
    <row r="126" spans="1:27" ht="18.75" customHeight="1">
      <c r="A126" s="3611" t="str">
        <f>IF(项目基本情况!B9="房地产市场价值","",MID(E111,3,LEN(E111)-2))</f>
        <v/>
      </c>
      <c r="B126" s="3611"/>
      <c r="C126" s="3611"/>
      <c r="D126" s="3644" t="str">
        <f>H111</f>
        <v>——</v>
      </c>
      <c r="E126" s="3645"/>
      <c r="F126" s="3645"/>
      <c r="G126" s="3645"/>
      <c r="H126" s="3645"/>
      <c r="I126" s="3646"/>
      <c r="AA126" s="725"/>
    </row>
    <row r="127" spans="1:27" ht="18.75" customHeight="1">
      <c r="A127" s="3580" t="s">
        <v>1452</v>
      </c>
      <c r="B127" s="3580"/>
      <c r="C127" s="3580"/>
      <c r="D127" s="3620" t="e">
        <f>NUMBERSTRING(INT(D126*10000),2)&amp;"元整"</f>
        <v>#VALUE!</v>
      </c>
      <c r="E127" s="3621"/>
      <c r="F127" s="3621"/>
      <c r="G127" s="3621"/>
      <c r="H127" s="3621"/>
      <c r="I127" s="3622"/>
      <c r="AA127" s="725"/>
    </row>
    <row r="128" spans="1:27" ht="21.75" customHeight="1">
      <c r="A128" s="3627" t="s">
        <v>1453</v>
      </c>
      <c r="B128" s="3627"/>
      <c r="C128" s="3627"/>
      <c r="D128" s="3627"/>
      <c r="E128" s="3627"/>
      <c r="F128" s="3627"/>
      <c r="G128" s="3627"/>
      <c r="H128" s="3627"/>
      <c r="I128" s="362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121879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30406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72218</v>
      </c>
      <c r="D5" s="211" t="s">
        <v>1469</v>
      </c>
      <c r="E5" s="212" t="s">
        <v>1470</v>
      </c>
      <c r="F5" s="212" t="s">
        <v>1471</v>
      </c>
      <c r="G5" s="213"/>
    </row>
    <row r="6" spans="1:9" s="214" customFormat="1" ht="13.5" customHeight="1">
      <c r="A6" s="778" t="s">
        <v>1472</v>
      </c>
      <c r="B6" s="215" t="s">
        <v>1473</v>
      </c>
      <c r="C6" s="216">
        <f>'基准地价修正-商业'!B2+'基准地价修正-办公'!B2</f>
        <v>69302</v>
      </c>
      <c r="D6" s="217"/>
      <c r="E6" s="218"/>
      <c r="F6" s="218"/>
      <c r="G6" s="219"/>
    </row>
    <row r="7" spans="1:9" s="214" customFormat="1" ht="13.5" customHeight="1">
      <c r="A7" s="778" t="s">
        <v>1474</v>
      </c>
      <c r="B7" s="215" t="s">
        <v>1475</v>
      </c>
      <c r="C7" s="220">
        <f>ROUND(C6*F7,0)</f>
        <v>2114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802</v>
      </c>
      <c r="D8" s="222"/>
      <c r="E8" s="220"/>
      <c r="F8" s="221"/>
      <c r="G8" s="1856" t="s">
        <v>3496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802</v>
      </c>
      <c r="D10" s="845">
        <f ca="1">IF(B1="",'数据-汇总表'!E6,IF(INDIRECT("'数据-取费表'!c"&amp;$G$1)="住宅",INDIRECT("'数据-取费表'!s"&amp;$G$1),INDIRECT("'数据-取费表'!k"&amp;$G$1)+INDIRECT("'数据-取费表'!s"&amp;$G$1)))</f>
        <v>40083.94000000001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40083.94000000001</v>
      </c>
      <c r="E19" s="211">
        <f>'数据-取费表'!B31</f>
        <v>200</v>
      </c>
      <c r="F19" s="231"/>
      <c r="G19" s="1856" t="s">
        <v>3497</v>
      </c>
    </row>
    <row r="20" spans="1:7" s="214" customFormat="1" ht="13.5" customHeight="1">
      <c r="A20" s="255" t="s">
        <v>1493</v>
      </c>
      <c r="B20" s="210" t="s">
        <v>1494</v>
      </c>
      <c r="C20" s="232">
        <f ca="1">ROUND((C5+C19)*F20,0)</f>
        <v>1444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6178</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6118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14732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14732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102584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17558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16034</v>
      </c>
      <c r="D34" s="217"/>
      <c r="E34" s="220"/>
      <c r="F34" s="257">
        <f ca="1">IF('数据-取费表'!B24=0,1,IF(B1="",'数据-取费表'!N16,INDIRECT("'数据-取费表'!n"&amp;$G$1)))</f>
        <v>1</v>
      </c>
      <c r="G34" s="219" t="s">
        <v>1526</v>
      </c>
    </row>
    <row r="35" spans="1:7" ht="13.5" customHeight="1">
      <c r="A35" s="780" t="s">
        <v>351</v>
      </c>
      <c r="B35" s="215" t="s">
        <v>1527</v>
      </c>
      <c r="C35" s="220">
        <f ca="1">ROUND(C34*F35,0)</f>
        <v>481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802</v>
      </c>
      <c r="D37" s="217">
        <f ca="1">D19</f>
        <v>40083.94000000001</v>
      </c>
      <c r="E37" s="249">
        <f>'数据-取费表'!B35</f>
        <v>200</v>
      </c>
      <c r="F37" s="259"/>
      <c r="G37" s="261" t="s">
        <v>1532</v>
      </c>
    </row>
    <row r="38" spans="1:7" ht="13.5" customHeight="1">
      <c r="A38" s="780" t="s">
        <v>354</v>
      </c>
      <c r="B38" s="215" t="s">
        <v>1533</v>
      </c>
      <c r="C38" s="220">
        <f ca="1">ROUND(C34*F38,0)</f>
        <v>241</v>
      </c>
      <c r="D38" s="220"/>
      <c r="E38" s="220"/>
      <c r="F38" s="259">
        <f>'数据-取费表'!B36</f>
        <v>1.4999999999999999E-2</v>
      </c>
      <c r="G38" s="219" t="s">
        <v>1528</v>
      </c>
    </row>
    <row r="39" spans="1:7" s="214" customFormat="1" ht="13.5" customHeight="1">
      <c r="A39" s="255" t="s">
        <v>1534</v>
      </c>
      <c r="B39" s="210" t="s">
        <v>1535</v>
      </c>
      <c r="C39" s="232">
        <f ca="1">ROUND(C33*F20,0)</f>
        <v>351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744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729</v>
      </c>
      <c r="D42" s="238"/>
      <c r="E42" s="238"/>
      <c r="F42" s="239"/>
      <c r="G42" s="3660" t="s">
        <v>1544</v>
      </c>
    </row>
    <row r="43" spans="1:7" ht="13.5" customHeight="1">
      <c r="A43" s="780" t="s">
        <v>347</v>
      </c>
      <c r="B43" s="215" t="s">
        <v>1545</v>
      </c>
      <c r="C43" s="238">
        <f ca="1">ROUND(IF('数据-取费表'!B22&lt;=1,C39*F22*'数据-取费表'!B21/2,C39*(POWER((1+F22),'数据-取费表'!B21/2)-1)),0)</f>
        <v>15</v>
      </c>
      <c r="D43" s="238"/>
      <c r="E43" s="238"/>
      <c r="F43" s="239"/>
      <c r="G43" s="3661"/>
    </row>
    <row r="44" spans="1:7" ht="13.5" customHeight="1">
      <c r="A44" s="780" t="s">
        <v>348</v>
      </c>
      <c r="B44" s="215" t="s">
        <v>1546</v>
      </c>
      <c r="C44" s="238">
        <f ca="1">ROUND(IF('数据-取费表'!B22&lt;=1,C40*F22*'数据-取费表'!B21/2,C40*(POWER((1+F22),'数据-取费表'!B21/2)-1)),4)</f>
        <v>8.0000000000000004E-4</v>
      </c>
      <c r="D44" s="238"/>
      <c r="E44" s="238"/>
      <c r="F44" s="239"/>
      <c r="G44" s="3662"/>
    </row>
    <row r="45" spans="1:7" s="214" customFormat="1" ht="13.5" customHeight="1">
      <c r="A45" s="255" t="s">
        <v>1547</v>
      </c>
      <c r="B45" s="244" t="s">
        <v>1513</v>
      </c>
      <c r="C45" s="245">
        <f ca="1">C46</f>
        <v>3582</v>
      </c>
      <c r="D45" s="235">
        <f ca="1">C47</f>
        <v>4.0000000000000001E-3</v>
      </c>
      <c r="E45" s="236" t="s">
        <v>1539</v>
      </c>
      <c r="F45" s="246">
        <f ca="1">F27</f>
        <v>0.2</v>
      </c>
      <c r="G45" s="247" t="s">
        <v>1548</v>
      </c>
    </row>
    <row r="46" spans="1:7" s="214" customFormat="1" ht="13.5" customHeight="1">
      <c r="A46" s="780" t="s">
        <v>346</v>
      </c>
      <c r="B46" s="248" t="s">
        <v>1549</v>
      </c>
      <c r="C46" s="249">
        <f ca="1">ROUND((C33+C39)*F27,0)</f>
        <v>3582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24119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19295</v>
      </c>
      <c r="D51" s="232"/>
      <c r="E51" s="232"/>
      <c r="F51" s="264"/>
      <c r="G51" s="234" t="s">
        <v>1560</v>
      </c>
    </row>
    <row r="52" spans="1:7" s="208" customFormat="1" ht="16.5" thickBot="1">
      <c r="A52" s="265" t="s">
        <v>1561</v>
      </c>
      <c r="B52" s="266"/>
      <c r="C52" s="267">
        <f ca="1">C31+C51</f>
        <v>121879</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北京市北京市朝阳区安立路68号1层A-1区房地产抵押价值预评估</v>
      </c>
      <c r="C37" s="3477"/>
      <c r="D37" s="3477"/>
      <c r="E37" s="3477"/>
      <c r="F37" s="3477"/>
      <c r="G37" s="3477"/>
      <c r="H37" s="3477"/>
      <c r="I37" s="347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1">
        <f ca="1">ROUND(IF(D2="——",C52/10000,C52/10000-E2),4)</f>
        <v>21570.460899999998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8016788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8016788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8016788</v>
      </c>
      <c r="D10" s="845">
        <f ca="1">IF(B1="",'数据-汇总表'!E6,IF(INDIRECT("'数据-取费表'!c"&amp;$G$1)="住宅",INDIRECT("'数据-取费表'!s"&amp;$G$1),INDIRECT("'数据-取费表'!k"&amp;$G$1)+INDIRECT("'数据-取费表'!s"&amp;$G$1)))</f>
        <v>40083.94000000001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8016788</v>
      </c>
      <c r="D19" s="849">
        <f ca="1">D9+D10</f>
        <v>40083.94000000001</v>
      </c>
      <c r="E19" s="211">
        <f>'数据-取费表'!B31</f>
        <v>200</v>
      </c>
      <c r="F19" s="231"/>
      <c r="G19" s="1856"/>
    </row>
    <row r="20" spans="1:7" s="214" customFormat="1" ht="13.5" customHeight="1">
      <c r="A20" s="255" t="s">
        <v>1574</v>
      </c>
      <c r="B20" s="210" t="s">
        <v>1575</v>
      </c>
      <c r="C20" s="232">
        <f ca="1">ROUND((C5+C19)*F20,0)</f>
        <v>320672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1371708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679200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679200</v>
      </c>
      <c r="D24" s="238"/>
      <c r="E24" s="238"/>
      <c r="F24" s="239"/>
      <c r="G24" s="240" t="s">
        <v>1586</v>
      </c>
    </row>
    <row r="25" spans="1:7" s="214" customFormat="1" ht="24">
      <c r="A25" s="780" t="s">
        <v>1476</v>
      </c>
      <c r="B25" s="215" t="s">
        <v>1587</v>
      </c>
      <c r="C25" s="1128">
        <f ca="1">ROUND(IF('数据-取费表'!B22&lt;=1,C20*F22*'数据-取费表'!B22/2,C20*(POWER((1+F22),'数据-取费表'!B22/2)-1)),0)</f>
        <v>13308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3270850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3270850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22775579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175567657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160335760</v>
      </c>
      <c r="D34" s="217"/>
      <c r="E34" s="220"/>
      <c r="F34" s="257"/>
      <c r="G34" s="219"/>
    </row>
    <row r="35" spans="1:7" ht="13.5" customHeight="1">
      <c r="A35" s="780" t="s">
        <v>351</v>
      </c>
      <c r="B35" s="215" t="s">
        <v>1527</v>
      </c>
      <c r="C35" s="220">
        <f ca="1">ROUND(C34*F35,0)</f>
        <v>4810073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8016788</v>
      </c>
      <c r="D37" s="217">
        <f ca="1">D19</f>
        <v>40083.94000000001</v>
      </c>
      <c r="E37" s="249">
        <f>'数据-取费表'!B35</f>
        <v>200</v>
      </c>
      <c r="F37" s="259"/>
      <c r="G37" s="261"/>
    </row>
    <row r="38" spans="1:7" ht="13.5" customHeight="1">
      <c r="A38" s="780" t="s">
        <v>354</v>
      </c>
      <c r="B38" s="215" t="s">
        <v>1533</v>
      </c>
      <c r="C38" s="220">
        <f ca="1">ROUND(C34*F38,0)</f>
        <v>2405036</v>
      </c>
      <c r="D38" s="220"/>
      <c r="E38" s="220"/>
      <c r="F38" s="259">
        <f>'数据-取费表'!B36</f>
        <v>1.4999999999999999E-2</v>
      </c>
      <c r="G38" s="219" t="s">
        <v>1528</v>
      </c>
    </row>
    <row r="39" spans="1:7" s="214" customFormat="1" ht="13.5" customHeight="1">
      <c r="A39" s="255" t="s">
        <v>1534</v>
      </c>
      <c r="B39" s="210" t="s">
        <v>1535</v>
      </c>
      <c r="C39" s="232">
        <f ca="1">ROUND(C33*F20,0)</f>
        <v>3511353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7431779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7286058</v>
      </c>
      <c r="D42" s="238"/>
      <c r="E42" s="238"/>
      <c r="F42" s="239"/>
      <c r="G42" s="3660" t="s">
        <v>1591</v>
      </c>
    </row>
    <row r="43" spans="1:7" ht="13.5" customHeight="1">
      <c r="A43" s="780" t="s">
        <v>347</v>
      </c>
      <c r="B43" s="215" t="s">
        <v>1545</v>
      </c>
      <c r="C43" s="238">
        <f ca="1">ROUND(IF('数据-取费表'!B22&lt;=1,C39*F22*'数据-取费表'!B20/2,C39*(POWER((1+F22),'数据-取费表'!B20/2)-1)),0)</f>
        <v>145721</v>
      </c>
      <c r="D43" s="238"/>
      <c r="E43" s="238"/>
      <c r="F43" s="239"/>
      <c r="G43" s="3661"/>
    </row>
    <row r="44" spans="1:7" ht="13.5" customHeight="1">
      <c r="A44" s="780" t="s">
        <v>348</v>
      </c>
      <c r="B44" s="215" t="s">
        <v>1546</v>
      </c>
      <c r="C44" s="238">
        <f ca="1">ROUND(IF('数据-取费表'!B22&lt;=1,C40*F22*'数据-取费表'!B20/2,C40*(POWER((1+F22),'数据-取费表'!B20/2)-1)),4)</f>
        <v>8.0000000000000004E-4</v>
      </c>
      <c r="D44" s="238"/>
      <c r="E44" s="238"/>
      <c r="F44" s="239"/>
      <c r="G44" s="3662"/>
    </row>
    <row r="45" spans="1:7" s="214" customFormat="1" ht="13.5" customHeight="1">
      <c r="A45" s="255" t="s">
        <v>1547</v>
      </c>
      <c r="B45" s="244" t="s">
        <v>1513</v>
      </c>
      <c r="C45" s="245">
        <f ca="1">C46</f>
        <v>35815802</v>
      </c>
      <c r="D45" s="235">
        <f ca="1">C47</f>
        <v>4.0000000000000001E-3</v>
      </c>
      <c r="E45" s="236" t="s">
        <v>1539</v>
      </c>
      <c r="F45" s="246">
        <f ca="1">F27</f>
        <v>0.2</v>
      </c>
      <c r="G45" s="247" t="s">
        <v>1548</v>
      </c>
    </row>
    <row r="46" spans="1:7" s="214" customFormat="1" ht="13.5" customHeight="1">
      <c r="A46" s="780" t="s">
        <v>346</v>
      </c>
      <c r="B46" s="248" t="s">
        <v>1549</v>
      </c>
      <c r="C46" s="249">
        <f ca="1">ROUND((C33+C39)*F27,0)</f>
        <v>35815802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241161288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192929030</v>
      </c>
      <c r="D51" s="232"/>
      <c r="E51" s="232"/>
      <c r="F51" s="264"/>
      <c r="G51" s="234" t="s">
        <v>1560</v>
      </c>
    </row>
    <row r="52" spans="1:7" s="208" customFormat="1" ht="16.5" thickBot="1">
      <c r="A52" s="265" t="s">
        <v>1561</v>
      </c>
      <c r="B52" s="266"/>
      <c r="C52" s="267">
        <f ca="1">C31+C51</f>
        <v>215704609</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8</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40083.94000000001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40083.94000000001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802</v>
      </c>
      <c r="D20" s="846">
        <f ca="1">IF(C1="",'数据-汇总表'!E6,IF(INDIRECT("'数据-取费表'!c"&amp;$K$1)="住宅",INDIRECT("'数据-取费表'!s"&amp;$K$1),INDIRECT("'数据-取费表'!k"&amp;$K$1)+INDIRECT("'数据-取费表'!s"&amp;$K$1)))</f>
        <v>40083.94000000001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C37" sqref="C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31914.440000000002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55066</v>
      </c>
      <c r="C2" s="1999" t="s">
        <v>1935</v>
      </c>
      <c r="D2" s="2000" t="s">
        <v>1936</v>
      </c>
      <c r="E2" s="3419"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27091</v>
      </c>
      <c r="U2" s="1213">
        <f>D33</f>
        <v>12616.670000000002</v>
      </c>
      <c r="V2" s="3358">
        <f>ROUND(T2*U2/10000,0)</f>
        <v>34180</v>
      </c>
      <c r="W2" s="1216"/>
      <c r="X2" s="1216"/>
      <c r="Y2" s="1216"/>
      <c r="Z2" s="1216"/>
      <c r="AA2" s="1216"/>
      <c r="AB2" s="1216"/>
      <c r="AC2" s="1217"/>
      <c r="AD2" s="1218"/>
      <c r="AE2" s="1218"/>
      <c r="AF2" s="1218"/>
      <c r="AG2" s="1218"/>
      <c r="AH2" s="1218"/>
      <c r="AI2" s="1218"/>
      <c r="AJ2" s="1219"/>
    </row>
    <row r="3" spans="1:36" ht="15.75">
      <c r="A3" s="203" t="s">
        <v>1940</v>
      </c>
      <c r="B3" s="204">
        <f>ROUND(B2*10000/D1,0)</f>
        <v>17254</v>
      </c>
      <c r="C3" s="1999" t="s">
        <v>1941</v>
      </c>
      <c r="D3" s="2000" t="s">
        <v>1942</v>
      </c>
      <c r="E3" s="3417" t="s">
        <v>2438</v>
      </c>
      <c r="F3" s="2004" t="s">
        <v>3480</v>
      </c>
      <c r="G3" s="752">
        <f>IF(F3="宗地容积率",'数据-汇总表'!I4,IF(F3="估价对象容积率",'数据-汇总表'!I6,'数据-汇总表'!I7))</f>
        <v>4.8600000000000003</v>
      </c>
      <c r="H3" s="170" t="s">
        <v>1943</v>
      </c>
      <c r="I3" s="775">
        <v>1</v>
      </c>
      <c r="J3" s="2002" t="s">
        <v>1944</v>
      </c>
      <c r="K3" s="1119"/>
      <c r="L3" s="2003" t="s">
        <v>1945</v>
      </c>
      <c r="M3" s="864">
        <f>SUMPRODUCT((区片价!B30:B54=I2)*(区片价!C3:G3=E2)*(区片价!C30:G54))</f>
        <v>22460</v>
      </c>
      <c r="N3" s="866">
        <f>SUMPRODUCT((因素修正幅度!B30:B54=I2)*(因素修正幅度!C3:G3=E2)*(因素修正幅度!C30:G54))</f>
        <v>9.6000000000000002E-2</v>
      </c>
      <c r="O3" s="1119"/>
      <c r="P3" s="1119"/>
      <c r="Q3" s="1119"/>
      <c r="R3" s="1212">
        <v>2</v>
      </c>
      <c r="S3" s="3358">
        <f>ROUND(SUMPRODUCT((B106:B110=R3)*(C105:N105=G2)*(C106:N110)),4)</f>
        <v>1.1838</v>
      </c>
      <c r="T3" s="3358">
        <f t="shared" si="0"/>
        <v>21353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70"/>
      <c r="B4" s="3671"/>
      <c r="C4" s="3671"/>
      <c r="D4" s="3672"/>
      <c r="E4" s="3672"/>
      <c r="F4" s="3672"/>
      <c r="G4" s="3672"/>
      <c r="H4" s="3672"/>
      <c r="I4" s="3672"/>
      <c r="J4" s="36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18047</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22424</v>
      </c>
      <c r="D5" s="1339">
        <f>ROUND(C6*C17+C20,0)</f>
        <v>22424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15917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15296</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三级</v>
      </c>
      <c r="Y7" s="1214" t="s">
        <v>1956</v>
      </c>
      <c r="Z7" s="1215">
        <f>G3</f>
        <v>4.8600000000000003</v>
      </c>
      <c r="AA7" s="1216"/>
      <c r="AB7" s="1216"/>
      <c r="AC7" s="1217"/>
      <c r="AD7" s="1218"/>
      <c r="AE7" s="1218"/>
      <c r="AF7" s="1218"/>
      <c r="AG7" s="1218"/>
      <c r="AH7" s="1218"/>
      <c r="AI7" s="1218"/>
      <c r="AJ7" s="1219"/>
    </row>
    <row r="8" spans="1:36" ht="25.5">
      <c r="A8" s="3296"/>
      <c r="B8" s="170" t="s">
        <v>1957</v>
      </c>
      <c r="C8" s="2026" t="s">
        <v>3481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67" t="s">
        <v>1960</v>
      </c>
      <c r="X8" s="36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69"/>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6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74" t="s">
        <v>3257</v>
      </c>
      <c r="B20" s="167" t="s">
        <v>1994</v>
      </c>
      <c r="C20" s="3322">
        <f>ROUND(IF(F21="与级别开发程度一致",0,(G21-E21)/C21),0)</f>
        <v>-36</v>
      </c>
      <c r="D20" s="3338" t="s">
        <v>1998</v>
      </c>
      <c r="E20" s="3339"/>
      <c r="F20" s="3680" t="s">
        <v>1995</v>
      </c>
      <c r="G20" s="3681"/>
      <c r="H20" s="3323" t="s">
        <v>3482</v>
      </c>
      <c r="I20" s="3323" t="s">
        <v>3483</v>
      </c>
      <c r="J20" s="3324" t="s">
        <v>3484</v>
      </c>
      <c r="K20" s="2047" t="s">
        <v>3485</v>
      </c>
      <c r="L20" s="2047" t="s">
        <v>3486</v>
      </c>
      <c r="M20" s="2047" t="s">
        <v>3487</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7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45005</v>
      </c>
      <c r="H23" s="3340" t="s">
        <v>3259</v>
      </c>
      <c r="I23" s="3341" t="str">
        <f>IF(H23="季度增幅（自定义）",SUMIF(N25:N28,E2,O25:O28),"")</f>
        <v/>
      </c>
      <c r="J23" s="3443" t="s">
        <v>3258</v>
      </c>
      <c r="K23" s="1125"/>
      <c r="L23" s="2055" t="s">
        <v>2004</v>
      </c>
      <c r="M23" s="1328">
        <f>ROUND(SUMIF(地价!B2:G2,E2,地价!B16:G16),0)</f>
        <v>350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0.74619999999999997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20.07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3489</v>
      </c>
      <c r="C25" s="771">
        <f>IF(B25="容积率修正",IF(G3&lt;10,D26,J26),C27)</f>
        <v>1.5019</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0.91200000000000003</v>
      </c>
      <c r="E26" s="752">
        <f>ROUNDDOWN(G3,1)</f>
        <v>4.8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0.91349999999999998</v>
      </c>
      <c r="G26" s="752">
        <f>ROUNDUP(G3,1)</f>
        <v>4.8999999999999995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0.91100000000000003</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1.0516000000000001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55066</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5222</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27091</v>
      </c>
      <c r="D33" s="2098">
        <f>'数据-汇总表'!F19</f>
        <v>12616.670000000002</v>
      </c>
      <c r="E33" s="773">
        <f>ROUND(C33*D33/10000,0)</f>
        <v>34180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8"/>
      <c r="B37" s="2113" t="s">
        <v>2036</v>
      </c>
      <c r="C37" s="175">
        <f>ROUND(D5*C22*C23*C24*C28*F37,0)</f>
        <v>10823</v>
      </c>
      <c r="D37" s="2098">
        <f>'数据-汇总表'!G19</f>
        <v>19297.77</v>
      </c>
      <c r="E37" s="171">
        <f>ROUND(C37*D37/10000,0)</f>
        <v>20886</v>
      </c>
      <c r="F37" s="171">
        <f>SUMIF(修正!A57:A68,G2,修正!B57:B68)</f>
        <v>0.6</v>
      </c>
      <c r="G37" s="171">
        <f>ROUND(IF(E2="工业",C37*$M$42,C37*$M$41),0)</f>
        <v>2706</v>
      </c>
      <c r="H37" s="171">
        <f>D37</f>
        <v>19297.77</v>
      </c>
      <c r="I37" s="171">
        <f>ROUND(G37*H37/10000,0)</f>
        <v>5222</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9"/>
      <c r="B38" s="2041" t="s">
        <v>2037</v>
      </c>
      <c r="C38" s="175">
        <f>ROUND(D5*C22*C23*C24*C28*F38,0)</f>
        <v>5411</v>
      </c>
      <c r="D38" s="2098"/>
      <c r="E38" s="171">
        <f t="shared" ref="E38:E42" si="4">ROUND(C38*D38/10000,0)</f>
        <v>0</v>
      </c>
      <c r="F38" s="171">
        <f>SUMIF(修正!A57:A68,G2,修正!C57:C68)</f>
        <v>0.3</v>
      </c>
      <c r="G38" s="171">
        <f>ROUND(IF(E2="工业",C38*$M$42,C38*$M$41),0)</f>
        <v>1353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79"/>
      <c r="B39" s="2041" t="s">
        <v>3262</v>
      </c>
      <c r="C39" s="175">
        <f>ROUND(D5*C22*C23*C24*C28*F39,0)</f>
        <v>4509</v>
      </c>
      <c r="D39" s="2098"/>
      <c r="E39" s="171">
        <f t="shared" si="4"/>
        <v>0</v>
      </c>
      <c r="F39" s="171">
        <f>SUMIF(修正!A57:A68,G2,修正!D57:D68)</f>
        <v>0.25</v>
      </c>
      <c r="G39" s="171">
        <f>ROUND(IF(E2="工业",C39*$M$42,C39*$M$41),0)</f>
        <v>1127</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4509</v>
      </c>
      <c r="D40" s="2098"/>
      <c r="E40" s="171">
        <f t="shared" si="4"/>
        <v>0</v>
      </c>
      <c r="F40" s="175">
        <f>SUMIF(修正!A57:A68,G2,修正!E57:E68)</f>
        <v>0.25</v>
      </c>
      <c r="G40" s="171">
        <f>ROUND(IF(E2="工业",C40*$M$42,C40*$M$41),0)</f>
        <v>1127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3490</v>
      </c>
      <c r="D50" s="1065">
        <f t="shared" ref="D50:D58" si="7">SUMIF($J$49:$N$49,C50,J50:N50)</f>
        <v>1.44E-2</v>
      </c>
      <c r="E50" s="744">
        <f>ROUND(SUM(D50:D58),4)</f>
        <v>5.16E-2</v>
      </c>
      <c r="F50" s="1814">
        <f>IF(E2="商业",SUMIF(L1:L12,G2,N1:N12),"——")</f>
        <v>9.6000000000000002E-2</v>
      </c>
      <c r="G50" s="1063">
        <v>1.44E-2</v>
      </c>
      <c r="H50" s="1066">
        <f t="shared" ref="H50:H58" si="8">IFERROR(ROUNDDOWN($F$50*I50/2,4),"——")</f>
        <v>1.44E-2</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3490</v>
      </c>
      <c r="D51" s="1065">
        <f t="shared" si="7"/>
        <v>1.0500000000000001E-2</v>
      </c>
      <c r="E51" s="745"/>
      <c r="F51" s="1814"/>
      <c r="G51" s="1063">
        <v>1.0500000000000001E-2</v>
      </c>
      <c r="H51" s="1066">
        <f t="shared" si="8"/>
        <v>1.0500000000000001E-2</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3490</v>
      </c>
      <c r="D52" s="1065">
        <f t="shared" si="7"/>
        <v>5.7000000000000002E-3</v>
      </c>
      <c r="E52" s="745"/>
      <c r="F52" s="1814"/>
      <c r="G52" s="1063">
        <v>5.7000000000000002E-3</v>
      </c>
      <c r="H52" s="1066">
        <f t="shared" si="8"/>
        <v>5.7000000000000002E-3</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3490</v>
      </c>
      <c r="D53" s="1065">
        <f t="shared" si="7"/>
        <v>2.3999999999999998E-3</v>
      </c>
      <c r="E53" s="745"/>
      <c r="F53" s="1814"/>
      <c r="G53" s="1063">
        <v>2.3999999999999998E-3</v>
      </c>
      <c r="H53" s="1066">
        <f t="shared" si="8"/>
        <v>2.3999999999999998E-3</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3490</v>
      </c>
      <c r="D54" s="1065">
        <f t="shared" si="7"/>
        <v>3.8E-3</v>
      </c>
      <c r="E54" s="745"/>
      <c r="F54" s="1814"/>
      <c r="G54" s="1063">
        <v>3.8E-3</v>
      </c>
      <c r="H54" s="1066">
        <f t="shared" si="8"/>
        <v>3.8E-3</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3490</v>
      </c>
      <c r="D55" s="1065">
        <f t="shared" si="7"/>
        <v>2.3999999999999998E-3</v>
      </c>
      <c r="E55" s="745"/>
      <c r="F55" s="1814"/>
      <c r="G55" s="1063">
        <v>2.3999999999999998E-3</v>
      </c>
      <c r="H55" s="1066">
        <f t="shared" si="8"/>
        <v>2.3999999999999998E-3</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3490</v>
      </c>
      <c r="D56" s="1065">
        <f t="shared" si="7"/>
        <v>2.3999999999999998E-3</v>
      </c>
      <c r="E56" s="745"/>
      <c r="F56" s="1814"/>
      <c r="G56" s="1063">
        <v>2.3999999999999998E-3</v>
      </c>
      <c r="H56" s="1066">
        <f t="shared" si="8"/>
        <v>2.3999999999999998E-3</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3495</v>
      </c>
      <c r="D57" s="1065">
        <f t="shared" si="7"/>
        <v>7.6E-3</v>
      </c>
      <c r="E57" s="745"/>
      <c r="F57" s="1814"/>
      <c r="G57" s="1063">
        <v>3.8E-3</v>
      </c>
      <c r="H57" s="1066">
        <f t="shared" si="8"/>
        <v>3.8E-3</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3490</v>
      </c>
      <c r="D58" s="1065">
        <f t="shared" si="7"/>
        <v>2.3999999999999998E-3</v>
      </c>
      <c r="E58" s="746"/>
      <c r="F58" s="1814"/>
      <c r="G58" s="1063">
        <v>2.3999999999999998E-3</v>
      </c>
      <c r="H58" s="1066">
        <f t="shared" si="8"/>
        <v>2.3999999999999998E-3</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3276</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3282</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76" t="s">
        <v>3297</v>
      </c>
      <c r="B103" s="3676"/>
      <c r="C103" s="3676"/>
      <c r="D103" s="3676"/>
      <c r="E103" s="3676"/>
      <c r="F103" s="3676"/>
      <c r="G103" s="3676"/>
      <c r="H103" s="3676"/>
      <c r="I103" s="3676"/>
      <c r="J103" s="3676"/>
      <c r="K103" s="3387"/>
      <c r="L103" s="3387"/>
      <c r="M103" s="3387"/>
      <c r="N103" s="3387"/>
    </row>
    <row r="104" spans="1:14">
      <c r="A104" s="3677" t="s">
        <v>3298</v>
      </c>
      <c r="B104" s="3677" t="s">
        <v>3299</v>
      </c>
      <c r="C104" s="3388" t="s">
        <v>3300</v>
      </c>
      <c r="D104" s="3389"/>
      <c r="E104" s="3389"/>
      <c r="F104" s="3389"/>
      <c r="G104" s="3389"/>
      <c r="H104" s="3389"/>
      <c r="I104" s="3389"/>
      <c r="J104" s="3390"/>
      <c r="K104" s="3391"/>
      <c r="L104" s="3391"/>
      <c r="M104" s="3391"/>
      <c r="N104" s="3391"/>
    </row>
    <row r="105" spans="1:14">
      <c r="A105" s="3677"/>
      <c r="B105" s="3677"/>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663"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6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6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6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6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64"/>
      <c r="B111" s="3392" t="s">
        <v>3271</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65"/>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66" t="s">
        <v>3314</v>
      </c>
      <c r="B113" s="3666"/>
      <c r="C113" s="3666"/>
      <c r="D113" s="3666"/>
      <c r="E113" s="3666"/>
      <c r="F113" s="3666"/>
      <c r="G113" s="3666"/>
      <c r="H113" s="3666"/>
      <c r="I113" s="3666"/>
      <c r="J113" s="366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4.8600000000000003</v>
      </c>
      <c r="C116" s="3397" t="s">
        <v>3316</v>
      </c>
      <c r="D116" s="3398">
        <f>SUMPRODUCT((A118:A122=F116)*(B117:M117=H116)*B118:M122)</f>
        <v>0.88100000000000001</v>
      </c>
      <c r="E116" s="2000" t="s">
        <v>3317</v>
      </c>
      <c r="F116" s="3399" t="str">
        <f>E2</f>
        <v>商业</v>
      </c>
      <c r="G116" s="2000" t="s">
        <v>3318</v>
      </c>
      <c r="H116" s="3399" t="str">
        <f>G2</f>
        <v>三级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0.94330000000000003</v>
      </c>
      <c r="C118" s="3385">
        <f>B118</f>
        <v>0.94330000000000003</v>
      </c>
      <c r="D118" s="3385">
        <f>ROUND(0.949-0.014*B116,4)</f>
        <v>0.88100000000000001</v>
      </c>
      <c r="E118" s="3385">
        <f>D118</f>
        <v>0.88100000000000001</v>
      </c>
      <c r="F118" s="3385">
        <f>E118</f>
        <v>0.88100000000000001</v>
      </c>
      <c r="G118" s="3385">
        <f>F118</f>
        <v>0.88100000000000001</v>
      </c>
      <c r="H118" s="3385">
        <f>G118</f>
        <v>0.88100000000000001</v>
      </c>
      <c r="I118" s="3385">
        <f>ROUND(0.8486-0.018*B116,4)</f>
        <v>0.7611</v>
      </c>
      <c r="J118" s="3385">
        <f t="shared" ref="J118:M122" si="35">I118</f>
        <v>0.7611</v>
      </c>
      <c r="K118" s="3385">
        <f t="shared" si="35"/>
        <v>0.7611</v>
      </c>
      <c r="L118" s="3385">
        <f t="shared" si="35"/>
        <v>0.7611</v>
      </c>
      <c r="M118" s="3408">
        <f t="shared" si="35"/>
        <v>0.7611</v>
      </c>
      <c r="N118" s="3395"/>
    </row>
    <row r="119" spans="1:14">
      <c r="A119" s="3407" t="s">
        <v>3332</v>
      </c>
      <c r="B119" s="3385">
        <f>ROUND(0.993-0.0112*B116,4)</f>
        <v>0.93859999999999999</v>
      </c>
      <c r="C119" s="3385">
        <f>B119</f>
        <v>0.93859999999999999</v>
      </c>
      <c r="D119" s="3385">
        <f>ROUND(0.9415-0.0142*B116,4)</f>
        <v>0.87250000000000005</v>
      </c>
      <c r="E119" s="3385">
        <f t="shared" ref="E119:H120" si="36">D119</f>
        <v>0.87250000000000005</v>
      </c>
      <c r="F119" s="3385">
        <f t="shared" si="36"/>
        <v>0.87250000000000005</v>
      </c>
      <c r="G119" s="3385">
        <f t="shared" si="36"/>
        <v>0.87250000000000005</v>
      </c>
      <c r="H119" s="3385">
        <f t="shared" si="36"/>
        <v>0.87250000000000005</v>
      </c>
      <c r="I119" s="3385">
        <f>ROUND(0.838-0.0182*B116,4)</f>
        <v>0.74950000000000006</v>
      </c>
      <c r="J119" s="3385">
        <f t="shared" si="35"/>
        <v>0.74950000000000006</v>
      </c>
      <c r="K119" s="3385">
        <f t="shared" si="35"/>
        <v>0.74950000000000006</v>
      </c>
      <c r="L119" s="3385">
        <f t="shared" si="35"/>
        <v>0.74950000000000006</v>
      </c>
      <c r="M119" s="3408">
        <f t="shared" si="35"/>
        <v>0.74950000000000006</v>
      </c>
      <c r="N119" s="3395"/>
    </row>
    <row r="120" spans="1:14">
      <c r="A120" s="3407" t="s">
        <v>3333</v>
      </c>
      <c r="B120" s="3385">
        <f>ROUND(0.9448-0.0115*B116,4)</f>
        <v>0.88890000000000002</v>
      </c>
      <c r="C120" s="3385">
        <f>B120</f>
        <v>0.88890000000000002</v>
      </c>
      <c r="D120" s="3385">
        <f>ROUND(0.937-0.0145*B116,4)</f>
        <v>0.86650000000000005</v>
      </c>
      <c r="E120" s="3385">
        <f t="shared" si="36"/>
        <v>0.86650000000000005</v>
      </c>
      <c r="F120" s="3385">
        <f t="shared" si="36"/>
        <v>0.86650000000000005</v>
      </c>
      <c r="G120" s="3385">
        <f t="shared" si="36"/>
        <v>0.86650000000000005</v>
      </c>
      <c r="H120" s="3385">
        <f t="shared" si="36"/>
        <v>0.86650000000000005</v>
      </c>
      <c r="I120" s="3385">
        <f>ROUND(0.7965-0.0185*B116,4)</f>
        <v>0.70660000000000001</v>
      </c>
      <c r="J120" s="3385">
        <f t="shared" si="35"/>
        <v>0.70660000000000001</v>
      </c>
      <c r="K120" s="3385">
        <f t="shared" si="35"/>
        <v>0.70660000000000001</v>
      </c>
      <c r="L120" s="3385">
        <f t="shared" si="35"/>
        <v>0.70660000000000001</v>
      </c>
      <c r="M120" s="3408">
        <f t="shared" si="35"/>
        <v>0.70660000000000001</v>
      </c>
      <c r="N120" s="3395"/>
    </row>
    <row r="121" spans="1:14" ht="13.5" thickBot="1">
      <c r="A121" s="3409" t="s">
        <v>3334</v>
      </c>
      <c r="B121" s="3410">
        <f>ROUND(0.7836-0.012*B116,4)</f>
        <v>0.72529999999999994</v>
      </c>
      <c r="C121" s="3410">
        <f>B121</f>
        <v>0.72529999999999994</v>
      </c>
      <c r="D121" s="3410">
        <f>ROUND(0.753-0.015*B116,4)</f>
        <v>0.68010000000000004</v>
      </c>
      <c r="E121" s="3410">
        <f>D121</f>
        <v>0.68010000000000004</v>
      </c>
      <c r="F121" s="3410">
        <f>E121</f>
        <v>0.68010000000000004</v>
      </c>
      <c r="G121" s="3410">
        <f>ROUND(0.6612-0.018*B116,4)</f>
        <v>0.57369999999999999</v>
      </c>
      <c r="H121" s="3410">
        <f>G121</f>
        <v>0.57369999999999999</v>
      </c>
      <c r="I121" s="3410">
        <f>ROUND(0.5905-0.019*B116,4)</f>
        <v>0.49819999999999998</v>
      </c>
      <c r="J121" s="3410">
        <f t="shared" si="35"/>
        <v>0.49819999999999998</v>
      </c>
      <c r="K121" s="3410">
        <f t="shared" si="35"/>
        <v>0.49819999999999998</v>
      </c>
      <c r="L121" s="3410">
        <f t="shared" si="35"/>
        <v>0.49819999999999998</v>
      </c>
      <c r="M121" s="3411">
        <f t="shared" si="35"/>
        <v>0.49819999999999998</v>
      </c>
      <c r="N121" s="3395"/>
    </row>
    <row r="122" spans="1:14">
      <c r="A122" s="3412" t="s">
        <v>2611</v>
      </c>
      <c r="B122" s="3385">
        <f>ROUND(0.9404-0.0106*B116,4)</f>
        <v>0.88890000000000002</v>
      </c>
      <c r="C122" s="3385">
        <f>B122</f>
        <v>0.88890000000000002</v>
      </c>
      <c r="D122" s="3385">
        <f>ROUND(0.8955-0.0135*B116,4)</f>
        <v>0.82989999999999997</v>
      </c>
      <c r="E122" s="3385">
        <f t="shared" ref="E122:H122" si="37">D122</f>
        <v>0.82989999999999997</v>
      </c>
      <c r="F122" s="3385">
        <f t="shared" si="37"/>
        <v>0.82989999999999997</v>
      </c>
      <c r="G122" s="3385">
        <f t="shared" si="37"/>
        <v>0.82989999999999997</v>
      </c>
      <c r="H122" s="3385">
        <f t="shared" si="37"/>
        <v>0.82989999999999997</v>
      </c>
      <c r="I122" s="3385">
        <f>ROUND(0.7632-0.0166*B116,4)</f>
        <v>0.6825</v>
      </c>
      <c r="J122" s="3385">
        <f t="shared" si="35"/>
        <v>0.6825</v>
      </c>
      <c r="K122" s="3385">
        <f t="shared" si="35"/>
        <v>0.6825</v>
      </c>
      <c r="L122" s="3385">
        <f t="shared" si="35"/>
        <v>0.6825</v>
      </c>
      <c r="M122" s="3408">
        <f t="shared" si="35"/>
        <v>0.6825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8169.5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14236</v>
      </c>
      <c r="C2" s="1999" t="s">
        <v>1935</v>
      </c>
      <c r="D2" s="2000" t="s">
        <v>1936</v>
      </c>
      <c r="E2" s="3419"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29216</v>
      </c>
      <c r="U2" s="1213">
        <f>'数据-汇总表'!F20</f>
        <v>8169.5</v>
      </c>
      <c r="V2" s="3358">
        <f>ROUND(T2*U2/10000,0)</f>
        <v>23868</v>
      </c>
      <c r="W2" s="1216"/>
      <c r="X2" s="1216"/>
      <c r="Y2" s="1216"/>
      <c r="Z2" s="1216"/>
      <c r="AA2" s="1216"/>
      <c r="AB2" s="1216"/>
      <c r="AC2" s="1217"/>
      <c r="AD2" s="1218"/>
      <c r="AE2" s="1218"/>
      <c r="AF2" s="1218"/>
      <c r="AG2" s="1218"/>
      <c r="AH2" s="1218"/>
      <c r="AI2" s="1218"/>
      <c r="AJ2" s="1219"/>
    </row>
    <row r="3" spans="1:36" ht="15.75">
      <c r="A3" s="203" t="s">
        <v>1940</v>
      </c>
      <c r="B3" s="204">
        <f>ROUND(B2*10000/D1,0)</f>
        <v>17426</v>
      </c>
      <c r="C3" s="1999" t="s">
        <v>1941</v>
      </c>
      <c r="D3" s="2000" t="s">
        <v>1942</v>
      </c>
      <c r="E3" s="3417" t="s">
        <v>3498</v>
      </c>
      <c r="F3" s="2004" t="s">
        <v>3480</v>
      </c>
      <c r="G3" s="752">
        <f>IF(F3="宗地容积率",'数据-汇总表'!I4,IF(F3="估价对象容积率",'数据-汇总表'!I6,'数据-汇总表'!I7))</f>
        <v>4.8600000000000003</v>
      </c>
      <c r="H3" s="170" t="s">
        <v>1943</v>
      </c>
      <c r="I3" s="775">
        <v>2</v>
      </c>
      <c r="J3" s="2002" t="s">
        <v>1944</v>
      </c>
      <c r="K3" s="1119"/>
      <c r="L3" s="2003" t="s">
        <v>1945</v>
      </c>
      <c r="M3" s="864">
        <f>SUMPRODUCT((区片价!B30:B54=I2)*(区片价!C3:G3=E2)*(区片价!C30:G54))</f>
        <v>22350</v>
      </c>
      <c r="N3" s="866">
        <f>SUMPRODUCT((因素修正幅度!B30:B54=I2)*(因素修正幅度!C3:G3=E2)*(因素修正幅度!C30:G54))</f>
        <v>9.6000000000000002E-2</v>
      </c>
      <c r="O3" s="1119"/>
      <c r="P3" s="1119"/>
      <c r="Q3" s="1119"/>
      <c r="R3" s="1212">
        <v>2</v>
      </c>
      <c r="S3" s="3358">
        <f>ROUND(SUMPRODUCT((B106:B110=R3)*(C105:N105=G2)*(C106:N110)),4)</f>
        <v>1.1838</v>
      </c>
      <c r="T3" s="3358">
        <f t="shared" si="0"/>
        <v>23028</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70"/>
      <c r="B4" s="3671"/>
      <c r="C4" s="3671"/>
      <c r="D4" s="3672"/>
      <c r="E4" s="3672"/>
      <c r="F4" s="3672"/>
      <c r="G4" s="3672"/>
      <c r="H4" s="3672"/>
      <c r="I4" s="3672"/>
      <c r="J4" s="36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19462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22314</v>
      </c>
      <c r="D5" s="1339">
        <f>ROUND(C6*C17+C20,0)</f>
        <v>22314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17165</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16496</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3240</v>
      </c>
      <c r="B7" s="3452"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3465" t="s">
        <v>1955</v>
      </c>
      <c r="X7" s="1214" t="str">
        <f>G2</f>
        <v>三级</v>
      </c>
      <c r="Y7" s="1214" t="s">
        <v>1956</v>
      </c>
      <c r="Z7" s="1215">
        <f>G3</f>
        <v>4.8600000000000003</v>
      </c>
      <c r="AA7" s="1216"/>
      <c r="AB7" s="1216"/>
      <c r="AC7" s="1217"/>
      <c r="AD7" s="1218"/>
      <c r="AE7" s="1218"/>
      <c r="AF7" s="1218"/>
      <c r="AG7" s="1218"/>
      <c r="AH7" s="1218"/>
      <c r="AI7" s="1218"/>
      <c r="AJ7" s="1219"/>
    </row>
    <row r="8" spans="1:36" ht="25.5">
      <c r="A8" s="3296"/>
      <c r="B8" s="170" t="s">
        <v>1957</v>
      </c>
      <c r="C8" s="2026" t="s">
        <v>3481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67" t="s">
        <v>1960</v>
      </c>
      <c r="X8" s="36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69"/>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6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3456"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3457"/>
      <c r="C15" s="2043"/>
      <c r="D15" s="2044"/>
      <c r="E15" s="2045"/>
      <c r="F15" s="3310" t="s">
        <v>3247</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455"/>
      <c r="C18" s="3325"/>
      <c r="D18" s="3320" t="s">
        <v>3251</v>
      </c>
      <c r="E18" s="3326"/>
      <c r="F18" s="3321" t="s">
        <v>3254</v>
      </c>
      <c r="G18" s="3325">
        <f>ROUND(1-(1/(POWER(1+G24,E18))),4)</f>
        <v>0</v>
      </c>
      <c r="H18" s="3321" t="s">
        <v>3256</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74" t="s">
        <v>3257</v>
      </c>
      <c r="B20" s="167" t="s">
        <v>1994</v>
      </c>
      <c r="C20" s="3322">
        <f>ROUND(IF(F21="与级别开发程度一致",0,(G21-E21)/C21),0)</f>
        <v>-36</v>
      </c>
      <c r="D20" s="3338" t="s">
        <v>1998</v>
      </c>
      <c r="E20" s="3339"/>
      <c r="F20" s="3680" t="s">
        <v>1995</v>
      </c>
      <c r="G20" s="3681"/>
      <c r="H20" s="3323" t="s">
        <v>3482</v>
      </c>
      <c r="I20" s="3323" t="s">
        <v>3483</v>
      </c>
      <c r="J20" s="3324" t="s">
        <v>3484</v>
      </c>
      <c r="K20" s="2047" t="s">
        <v>3485</v>
      </c>
      <c r="L20" s="2047" t="s">
        <v>3486</v>
      </c>
      <c r="M20" s="2047" t="s">
        <v>3487</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7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45005</v>
      </c>
      <c r="H23" s="3340" t="s">
        <v>3259</v>
      </c>
      <c r="I23" s="3341" t="str">
        <f>IF(H23="季度增幅（自定义）",SUMIF(N25:N28,E2,O25:O28),"")</f>
        <v/>
      </c>
      <c r="J23" s="3443" t="s">
        <v>3258</v>
      </c>
      <c r="K23" s="1125"/>
      <c r="L23" s="2055" t="s">
        <v>2004</v>
      </c>
      <c r="M23" s="1328">
        <f>ROUND(SUMIF(地价!B2:G2,E2,地价!B16:G16),0)</f>
        <v>350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0.85929999999999995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30.08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3338</v>
      </c>
      <c r="C25" s="3461">
        <f>IF(B25="容积率修正",IF(G3&lt;10,D26,J26),C27)</f>
        <v>0.89580000000000004</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3460">
        <f>IF(E26=G26,F26,IF(G3&lt;10,ROUND(F26+(H26-F26)*(G3-E26)/(G26-E26),4),"——"))</f>
        <v>0.89580000000000004</v>
      </c>
      <c r="E26" s="752">
        <f>ROUNDDOWN(G3,1)</f>
        <v>4.8</v>
      </c>
      <c r="F26" s="34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0.8972</v>
      </c>
      <c r="G26" s="752">
        <f>ROUNDUP(G3,1)</f>
        <v>4.8999999999999995</v>
      </c>
      <c r="H26" s="34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0.89480000000000004</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14236</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17426</v>
      </c>
      <c r="D33" s="2098">
        <f>'数据-汇总表'!F20</f>
        <v>8169.5</v>
      </c>
      <c r="E33" s="773">
        <f>ROUND(C33*D33/10000,0)</f>
        <v>14236</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4357</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8"/>
      <c r="B37" s="2113" t="s">
        <v>2036</v>
      </c>
      <c r="C37" s="175">
        <f>ROUND(D5*C22*C23*C24*C28*F37,0)</f>
        <v>11671</v>
      </c>
      <c r="D37" s="2098"/>
      <c r="E37" s="171">
        <f>ROUND(C37*D37/10000,0)</f>
        <v>0</v>
      </c>
      <c r="F37" s="171">
        <f>SUMIF(修正!A57:A68,G2,修正!B57:B68)</f>
        <v>0.6</v>
      </c>
      <c r="G37" s="171">
        <f>ROUND(IF(E2="工业",C37*$M$42,C37*$M$41),0)</f>
        <v>2918</v>
      </c>
      <c r="H37" s="171">
        <f>D37</f>
        <v>0</v>
      </c>
      <c r="I37" s="171">
        <f>ROUND(G37*H37/10000,0)</f>
        <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9"/>
      <c r="B38" s="2041" t="s">
        <v>2037</v>
      </c>
      <c r="C38" s="175">
        <f>ROUND(D5*C22*C23*C24*C28*F38,0)</f>
        <v>5836</v>
      </c>
      <c r="D38" s="2098"/>
      <c r="E38" s="171">
        <f t="shared" ref="E38:E42" si="4">ROUND(C38*D38/10000,0)</f>
        <v>0</v>
      </c>
      <c r="F38" s="171">
        <f>SUMIF(修正!A57:A68,G2,修正!C57:C68)</f>
        <v>0.3</v>
      </c>
      <c r="G38" s="171">
        <f>ROUND(IF(E2="工业",C38*$M$42,C38*$M$41),0)</f>
        <v>1459</v>
      </c>
      <c r="H38" s="171">
        <f t="shared" ref="H38:H42" si="5">D38</f>
        <v>0</v>
      </c>
      <c r="I38" s="171">
        <f t="shared" ref="I38:I42" si="6">ROUND(G38*H38/10000,0)</f>
        <v>0</v>
      </c>
      <c r="J38" s="346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79"/>
      <c r="B39" s="2041" t="s">
        <v>3262</v>
      </c>
      <c r="C39" s="175">
        <f>ROUND(D5*C22*C23*C24*C28*F39,0)</f>
        <v>4863</v>
      </c>
      <c r="D39" s="2098"/>
      <c r="E39" s="171">
        <f t="shared" si="4"/>
        <v>0</v>
      </c>
      <c r="F39" s="171">
        <f>SUMIF(修正!A57:A68,G2,修正!D57:D68)</f>
        <v>0.25</v>
      </c>
      <c r="G39" s="171">
        <f>ROUND(IF(E2="工业",C39*$M$42,C39*$M$41),0)</f>
        <v>1216</v>
      </c>
      <c r="H39" s="171">
        <f t="shared" si="5"/>
        <v>0</v>
      </c>
      <c r="I39" s="171">
        <f t="shared" si="6"/>
        <v>0</v>
      </c>
      <c r="J39" s="346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4863</v>
      </c>
      <c r="D40" s="2098"/>
      <c r="E40" s="171">
        <f t="shared" si="4"/>
        <v>0</v>
      </c>
      <c r="F40" s="175">
        <f>SUMIF(修正!A57:A68,G2,修正!E57:E68)</f>
        <v>0.25</v>
      </c>
      <c r="G40" s="171">
        <f>ROUND(IF(E2="工业",C40*$M$42,C40*$M$41),0)</f>
        <v>1216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3490</v>
      </c>
      <c r="D50" s="1065">
        <f t="shared" ref="D50:D58" si="7">SUMIF($J$49:$N$49,C50,J50:N50)</f>
        <v>1.44E-2</v>
      </c>
      <c r="E50" s="744">
        <f>ROUND(SUM(D50:D58),4)</f>
        <v>5.16E-2</v>
      </c>
      <c r="F50" s="1814" t="str">
        <f>IF(E2="商业",SUMIF(L1:L12,G2,N1:N12),"——")</f>
        <v>——</v>
      </c>
      <c r="G50" s="1063">
        <v>1.44E-2</v>
      </c>
      <c r="H50" s="1066" t="str">
        <f t="shared" ref="H50:H58" si="8">IFERROR(ROUNDDOWN($F$50*I50/2,4),"——")</f>
        <v>——</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3490</v>
      </c>
      <c r="D51" s="1065">
        <f t="shared" si="7"/>
        <v>1.0500000000000001E-2</v>
      </c>
      <c r="E51" s="745"/>
      <c r="F51" s="1814"/>
      <c r="G51" s="1063">
        <v>1.0500000000000001E-2</v>
      </c>
      <c r="H51" s="1066" t="str">
        <f t="shared" si="8"/>
        <v>——</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3490</v>
      </c>
      <c r="D52" s="1065">
        <f t="shared" si="7"/>
        <v>5.7000000000000002E-3</v>
      </c>
      <c r="E52" s="745"/>
      <c r="F52" s="1814"/>
      <c r="G52" s="1063">
        <v>5.7000000000000002E-3</v>
      </c>
      <c r="H52" s="1066" t="str">
        <f t="shared" si="8"/>
        <v>——</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3490</v>
      </c>
      <c r="D53" s="1065">
        <f t="shared" si="7"/>
        <v>2.3999999999999998E-3</v>
      </c>
      <c r="E53" s="745"/>
      <c r="F53" s="1814"/>
      <c r="G53" s="1063">
        <v>2.3999999999999998E-3</v>
      </c>
      <c r="H53" s="1066" t="str">
        <f t="shared" si="8"/>
        <v>——</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3490</v>
      </c>
      <c r="D54" s="1065">
        <f t="shared" si="7"/>
        <v>3.8E-3</v>
      </c>
      <c r="E54" s="745"/>
      <c r="F54" s="1814"/>
      <c r="G54" s="1063">
        <v>3.8E-3</v>
      </c>
      <c r="H54" s="1066" t="str">
        <f t="shared" si="8"/>
        <v>——</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3490</v>
      </c>
      <c r="D55" s="1065">
        <f t="shared" si="7"/>
        <v>2.3999999999999998E-3</v>
      </c>
      <c r="E55" s="745"/>
      <c r="F55" s="1814"/>
      <c r="G55" s="1063">
        <v>2.3999999999999998E-3</v>
      </c>
      <c r="H55" s="1066" t="str">
        <f t="shared" si="8"/>
        <v>——</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3490</v>
      </c>
      <c r="D56" s="1065">
        <f t="shared" si="7"/>
        <v>2.3999999999999998E-3</v>
      </c>
      <c r="E56" s="745"/>
      <c r="F56" s="1814"/>
      <c r="G56" s="1063">
        <v>2.3999999999999998E-3</v>
      </c>
      <c r="H56" s="1066" t="str">
        <f t="shared" si="8"/>
        <v>——</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3495</v>
      </c>
      <c r="D57" s="1065">
        <f t="shared" si="7"/>
        <v>7.6E-3</v>
      </c>
      <c r="E57" s="745"/>
      <c r="F57" s="1814"/>
      <c r="G57" s="1063">
        <v>3.8E-3</v>
      </c>
      <c r="H57" s="1066" t="str">
        <f t="shared" si="8"/>
        <v>——</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3490</v>
      </c>
      <c r="D58" s="1065">
        <f t="shared" si="7"/>
        <v>2.3999999999999998E-3</v>
      </c>
      <c r="E58" s="746"/>
      <c r="F58" s="1814"/>
      <c r="G58" s="1063">
        <v>2.3999999999999998E-3</v>
      </c>
      <c r="H58" s="1066" t="str">
        <f t="shared" si="8"/>
        <v>——</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f>IF(E2="办公",SUMIF(L1:L12,G2,N1:N12),"——")</f>
        <v>9.6000000000000002E-2</v>
      </c>
      <c r="G61" s="1063"/>
      <c r="H61" s="1066">
        <f t="shared" ref="H61:H69" si="13">IFERROR(ROUNDDOWN($F$61*I61/2,4),"——")</f>
        <v>1.2E-2</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f t="shared" si="13"/>
        <v>1.24E-2</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f t="shared" si="13"/>
        <v>5.1999999999999998E-3</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f t="shared" si="13"/>
        <v>2.3999999999999998E-3</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f t="shared" si="13"/>
        <v>2.3999999999999998E-3</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f t="shared" si="13"/>
        <v>2.8E-3</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f t="shared" si="13"/>
        <v>2.8E-3</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f t="shared" si="13"/>
        <v>4.3E-3</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f t="shared" si="13"/>
        <v>3.3E-3</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3272</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v>
      </c>
      <c r="C91" s="3368"/>
      <c r="D91" s="3369"/>
      <c r="E91" s="1814"/>
      <c r="F91" s="1814"/>
      <c r="G91" s="3370"/>
      <c r="H91" s="3371"/>
      <c r="I91" s="3372"/>
      <c r="J91" s="3373"/>
      <c r="K91" s="3373"/>
      <c r="L91" s="3373"/>
      <c r="M91" s="3373"/>
      <c r="N91" s="3373"/>
    </row>
    <row r="92" spans="1:37" ht="24.75">
      <c r="A92" s="3376" t="s">
        <v>2044</v>
      </c>
      <c r="B92" s="3363"/>
      <c r="C92" s="3363" t="s">
        <v>2046</v>
      </c>
      <c r="D92" s="3363" t="s">
        <v>2047</v>
      </c>
      <c r="E92" s="3345" t="s">
        <v>2048</v>
      </c>
      <c r="F92" s="3378" t="s">
        <v>3286</v>
      </c>
      <c r="G92" s="3363" t="s">
        <v>1989</v>
      </c>
      <c r="H92" s="3385" t="s">
        <v>3290</v>
      </c>
      <c r="I92" s="3363" t="s">
        <v>2051</v>
      </c>
      <c r="J92" s="3386" t="s">
        <v>1721</v>
      </c>
      <c r="K92" s="3386" t="s">
        <v>1722</v>
      </c>
      <c r="L92" s="3386" t="s">
        <v>1723</v>
      </c>
      <c r="M92" s="3386" t="s">
        <v>1724</v>
      </c>
      <c r="N92" s="3386" t="s">
        <v>1725</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2053</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2054</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2056</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2057</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2059</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2060</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2061</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76" t="s">
        <v>3297</v>
      </c>
      <c r="B103" s="3676"/>
      <c r="C103" s="3676"/>
      <c r="D103" s="3676"/>
      <c r="E103" s="3676"/>
      <c r="F103" s="3676"/>
      <c r="G103" s="3676"/>
      <c r="H103" s="3676"/>
      <c r="I103" s="3676"/>
      <c r="J103" s="3676"/>
      <c r="K103" s="3466"/>
      <c r="L103" s="3466"/>
      <c r="M103" s="3466"/>
      <c r="N103" s="3466"/>
    </row>
    <row r="104" spans="1:14">
      <c r="A104" s="3677" t="s">
        <v>3298</v>
      </c>
      <c r="B104" s="3677" t="s">
        <v>3299</v>
      </c>
      <c r="C104" s="3388" t="s">
        <v>3300</v>
      </c>
      <c r="D104" s="3389"/>
      <c r="E104" s="3389"/>
      <c r="F104" s="3389"/>
      <c r="G104" s="3389"/>
      <c r="H104" s="3389"/>
      <c r="I104" s="3389"/>
      <c r="J104" s="3390"/>
      <c r="K104" s="3391"/>
      <c r="L104" s="3391"/>
      <c r="M104" s="3391"/>
      <c r="N104" s="3391"/>
    </row>
    <row r="105" spans="1:14">
      <c r="A105" s="3677"/>
      <c r="B105" s="3677"/>
      <c r="C105" s="3467" t="s">
        <v>1961</v>
      </c>
      <c r="D105" s="3467" t="s">
        <v>1962</v>
      </c>
      <c r="E105" s="3467" t="s">
        <v>1963</v>
      </c>
      <c r="F105" s="3467" t="s">
        <v>1964</v>
      </c>
      <c r="G105" s="3467" t="s">
        <v>1965</v>
      </c>
      <c r="H105" s="3467" t="s">
        <v>1966</v>
      </c>
      <c r="I105" s="3467" t="s">
        <v>1967</v>
      </c>
      <c r="J105" s="3467" t="s">
        <v>1968</v>
      </c>
      <c r="K105" s="3467" t="s">
        <v>1969</v>
      </c>
      <c r="L105" s="3467" t="s">
        <v>1970</v>
      </c>
      <c r="M105" s="3467" t="s">
        <v>1971</v>
      </c>
      <c r="N105" s="3467" t="s">
        <v>1972</v>
      </c>
    </row>
    <row r="106" spans="1:14">
      <c r="A106" s="3663" t="s">
        <v>3313</v>
      </c>
      <c r="B106" s="3467">
        <v>1</v>
      </c>
      <c r="C106" s="3467">
        <v>1.5206</v>
      </c>
      <c r="D106" s="3467">
        <v>1.5206</v>
      </c>
      <c r="E106" s="3467">
        <v>1.5019</v>
      </c>
      <c r="F106" s="3467">
        <v>1.5019</v>
      </c>
      <c r="G106" s="3467">
        <v>1.5019</v>
      </c>
      <c r="H106" s="3467">
        <v>1.5019</v>
      </c>
      <c r="I106" s="3467">
        <v>1.5019</v>
      </c>
      <c r="J106" s="3467">
        <v>1.5418000000000001</v>
      </c>
      <c r="K106" s="3467">
        <v>1.5418000000000001</v>
      </c>
      <c r="L106" s="3467">
        <v>1.5418000000000001</v>
      </c>
      <c r="M106" s="3467">
        <v>1.5418000000000001</v>
      </c>
      <c r="N106" s="3467">
        <v>1.5418000000000001</v>
      </c>
    </row>
    <row r="107" spans="1:14">
      <c r="A107" s="3664"/>
      <c r="B107" s="3467">
        <v>2</v>
      </c>
      <c r="C107" s="3467">
        <v>1.2072000000000001</v>
      </c>
      <c r="D107" s="3467">
        <v>1.2072000000000001</v>
      </c>
      <c r="E107" s="3467">
        <v>1.1838</v>
      </c>
      <c r="F107" s="3467">
        <v>1.1838</v>
      </c>
      <c r="G107" s="3467">
        <v>1.1838</v>
      </c>
      <c r="H107" s="3467">
        <v>1.1838</v>
      </c>
      <c r="I107" s="3467">
        <v>1.1838</v>
      </c>
      <c r="J107" s="3467">
        <v>1.1883999999999999</v>
      </c>
      <c r="K107" s="3467">
        <v>1.1883999999999999</v>
      </c>
      <c r="L107" s="3467">
        <v>1.1883999999999999</v>
      </c>
      <c r="M107" s="3467">
        <v>1.1883999999999999</v>
      </c>
      <c r="N107" s="3467">
        <v>1.1883999999999999</v>
      </c>
    </row>
    <row r="108" spans="1:14">
      <c r="A108" s="3664"/>
      <c r="B108" s="3467">
        <v>3</v>
      </c>
      <c r="C108" s="3467">
        <v>1.0430999999999999</v>
      </c>
      <c r="D108" s="3467">
        <v>1.0430999999999999</v>
      </c>
      <c r="E108" s="3467">
        <v>1.0004999999999999</v>
      </c>
      <c r="F108" s="3467">
        <v>1.0004999999999999</v>
      </c>
      <c r="G108" s="3467">
        <v>1.0004999999999999</v>
      </c>
      <c r="H108" s="3467">
        <v>1.0004999999999999</v>
      </c>
      <c r="I108" s="3467">
        <v>1.0004999999999999</v>
      </c>
      <c r="J108" s="3467">
        <v>0.96940000000000004</v>
      </c>
      <c r="K108" s="3467">
        <v>0.96940000000000004</v>
      </c>
      <c r="L108" s="3467">
        <v>0.96940000000000004</v>
      </c>
      <c r="M108" s="3467">
        <v>0.96940000000000004</v>
      </c>
      <c r="N108" s="3467">
        <v>0.96940000000000004</v>
      </c>
    </row>
    <row r="109" spans="1:14">
      <c r="A109" s="3664"/>
      <c r="B109" s="3467">
        <v>4</v>
      </c>
      <c r="C109" s="3467">
        <v>0.94389999999999996</v>
      </c>
      <c r="D109" s="3467">
        <v>0.94389999999999996</v>
      </c>
      <c r="E109" s="3467">
        <v>0.88239999999999996</v>
      </c>
      <c r="F109" s="3467">
        <v>0.88239999999999996</v>
      </c>
      <c r="G109" s="3467">
        <v>0.88239999999999996</v>
      </c>
      <c r="H109" s="3467">
        <v>0.88239999999999996</v>
      </c>
      <c r="I109" s="3467">
        <v>0.88239999999999996</v>
      </c>
      <c r="J109" s="3467">
        <v>0.82299999999999995</v>
      </c>
      <c r="K109" s="3467">
        <v>0.82299999999999995</v>
      </c>
      <c r="L109" s="3467">
        <v>0.82299999999999995</v>
      </c>
      <c r="M109" s="3467">
        <v>0.82299999999999995</v>
      </c>
      <c r="N109" s="3467">
        <v>0.82299999999999995</v>
      </c>
    </row>
    <row r="110" spans="1:14">
      <c r="A110" s="3664"/>
      <c r="B110" s="3467">
        <v>5</v>
      </c>
      <c r="C110" s="3467">
        <v>0.89959999999999996</v>
      </c>
      <c r="D110" s="3467">
        <v>0.89959999999999996</v>
      </c>
      <c r="E110" s="3467">
        <v>0.84799999999999998</v>
      </c>
      <c r="F110" s="3467">
        <v>0.84799999999999998</v>
      </c>
      <c r="G110" s="3467">
        <v>0.84799999999999998</v>
      </c>
      <c r="H110" s="3467">
        <v>0.84799999999999998</v>
      </c>
      <c r="I110" s="3467">
        <v>0.84799999999999998</v>
      </c>
      <c r="J110" s="3467">
        <v>0.74980000000000002</v>
      </c>
      <c r="K110" s="3467">
        <v>0.74980000000000002</v>
      </c>
      <c r="L110" s="3467">
        <v>0.74980000000000002</v>
      </c>
      <c r="M110" s="3467">
        <v>0.74980000000000002</v>
      </c>
      <c r="N110" s="3467">
        <v>0.74980000000000002</v>
      </c>
    </row>
    <row r="111" spans="1:14">
      <c r="A111" s="3664"/>
      <c r="B111" s="3467" t="s">
        <v>3271</v>
      </c>
      <c r="C111" s="3393">
        <f>$I$3</f>
        <v>2</v>
      </c>
      <c r="D111" s="3393">
        <f t="shared" ref="D111:M111" si="32">$I$3</f>
        <v>2</v>
      </c>
      <c r="E111" s="3393">
        <f t="shared" si="32"/>
        <v>2</v>
      </c>
      <c r="F111" s="3393">
        <f t="shared" si="32"/>
        <v>2</v>
      </c>
      <c r="G111" s="3393">
        <f t="shared" si="32"/>
        <v>2</v>
      </c>
      <c r="H111" s="3393">
        <f t="shared" si="32"/>
        <v>2</v>
      </c>
      <c r="I111" s="3393">
        <f t="shared" si="32"/>
        <v>2</v>
      </c>
      <c r="J111" s="3393">
        <f t="shared" si="32"/>
        <v>2</v>
      </c>
      <c r="K111" s="3393">
        <f t="shared" si="32"/>
        <v>2</v>
      </c>
      <c r="L111" s="3393">
        <f t="shared" si="32"/>
        <v>2</v>
      </c>
      <c r="M111" s="3393">
        <f t="shared" si="32"/>
        <v>2</v>
      </c>
      <c r="N111" s="3393">
        <f>$I$3</f>
        <v>2</v>
      </c>
    </row>
    <row r="112" spans="1:14">
      <c r="A112" s="3665"/>
      <c r="B112" s="3467">
        <v>6</v>
      </c>
      <c r="C112" s="3385">
        <f>(-0.5556*(C111^2)-0.2719*C111+8944)*(10^(-4))</f>
        <v>0.89412338000000002</v>
      </c>
      <c r="D112" s="3385">
        <f>(-0.5556*(D111^2)-0.2719*D111+8944)*(10^(-4))</f>
        <v>0.89412338000000002</v>
      </c>
      <c r="E112" s="3385">
        <f>(-0.7912*(E111^2)-11.3794*E111+8482)*(10^(-4))</f>
        <v>0.84560763999999999</v>
      </c>
      <c r="F112" s="3385">
        <f t="shared" ref="F112:I112" si="33">(-0.7912*(F111^2)-11.3794*F111+8482)*(10^(-4))</f>
        <v>0.84560763999999999</v>
      </c>
      <c r="G112" s="3385">
        <f t="shared" si="33"/>
        <v>0.84560763999999999</v>
      </c>
      <c r="H112" s="3385">
        <f t="shared" si="33"/>
        <v>0.84560763999999999</v>
      </c>
      <c r="I112" s="3385">
        <f t="shared" si="33"/>
        <v>0.84560763999999999</v>
      </c>
      <c r="J112" s="3385">
        <f>(-0.989*(J111^2)-63.78*J111+7771)*(10^(-4))</f>
        <v>0.76394840000000008</v>
      </c>
      <c r="K112" s="3385">
        <f t="shared" ref="K112:N112" si="34">(-0.989*(K111^2)-63.78*K111+7771)*(10^(-4))</f>
        <v>0.76394840000000008</v>
      </c>
      <c r="L112" s="3385">
        <f t="shared" si="34"/>
        <v>0.76394840000000008</v>
      </c>
      <c r="M112" s="3385">
        <f t="shared" si="34"/>
        <v>0.76394840000000008</v>
      </c>
      <c r="N112" s="3385">
        <f t="shared" si="34"/>
        <v>0.76394840000000008</v>
      </c>
    </row>
    <row r="113" spans="1:14">
      <c r="A113" s="3666" t="s">
        <v>3314</v>
      </c>
      <c r="B113" s="3666"/>
      <c r="C113" s="3666"/>
      <c r="D113" s="3666"/>
      <c r="E113" s="3666"/>
      <c r="F113" s="3666"/>
      <c r="G113" s="3666"/>
      <c r="H113" s="3666"/>
      <c r="I113" s="3666"/>
      <c r="J113" s="3666"/>
      <c r="K113" s="3464"/>
      <c r="L113" s="3464"/>
      <c r="M113" s="3464"/>
      <c r="N113" s="346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4.8600000000000003</v>
      </c>
      <c r="C116" s="3397" t="s">
        <v>3316</v>
      </c>
      <c r="D116" s="3398">
        <f>SUMPRODUCT((A118:A122=F116)*(B117:M117=H116)*B118:M122)</f>
        <v>0.87250000000000005</v>
      </c>
      <c r="E116" s="2000" t="s">
        <v>1936</v>
      </c>
      <c r="F116" s="3399" t="str">
        <f>E2</f>
        <v>办公</v>
      </c>
      <c r="G116" s="2000" t="s">
        <v>1937</v>
      </c>
      <c r="H116" s="3399" t="str">
        <f>G2</f>
        <v>三级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1990</v>
      </c>
      <c r="B118" s="3385">
        <f>ROUND(0.9968-0.011*B116,4)</f>
        <v>0.94330000000000003</v>
      </c>
      <c r="C118" s="3385">
        <f>B118</f>
        <v>0.94330000000000003</v>
      </c>
      <c r="D118" s="3385">
        <f>ROUND(0.949-0.014*B116,4)</f>
        <v>0.88100000000000001</v>
      </c>
      <c r="E118" s="3385">
        <f>D118</f>
        <v>0.88100000000000001</v>
      </c>
      <c r="F118" s="3385">
        <f>E118</f>
        <v>0.88100000000000001</v>
      </c>
      <c r="G118" s="3385">
        <f>F118</f>
        <v>0.88100000000000001</v>
      </c>
      <c r="H118" s="3385">
        <f>G118</f>
        <v>0.88100000000000001</v>
      </c>
      <c r="I118" s="3385">
        <f>ROUND(0.8486-0.018*B116,4)</f>
        <v>0.7611</v>
      </c>
      <c r="J118" s="3385">
        <f t="shared" ref="J118:M122" si="35">I118</f>
        <v>0.7611</v>
      </c>
      <c r="K118" s="3385">
        <f t="shared" si="35"/>
        <v>0.7611</v>
      </c>
      <c r="L118" s="3385">
        <f t="shared" si="35"/>
        <v>0.7611</v>
      </c>
      <c r="M118" s="3408">
        <f t="shared" si="35"/>
        <v>0.7611</v>
      </c>
      <c r="N118" s="3395"/>
    </row>
    <row r="119" spans="1:14">
      <c r="A119" s="3407" t="s">
        <v>1991</v>
      </c>
      <c r="B119" s="3385">
        <f>ROUND(0.993-0.0112*B116,4)</f>
        <v>0.93859999999999999</v>
      </c>
      <c r="C119" s="3385">
        <f>B119</f>
        <v>0.93859999999999999</v>
      </c>
      <c r="D119" s="3385">
        <f>ROUND(0.9415-0.0142*B116,4)</f>
        <v>0.87250000000000005</v>
      </c>
      <c r="E119" s="3385">
        <f t="shared" ref="E119:H120" si="36">D119</f>
        <v>0.87250000000000005</v>
      </c>
      <c r="F119" s="3385">
        <f t="shared" si="36"/>
        <v>0.87250000000000005</v>
      </c>
      <c r="G119" s="3385">
        <f t="shared" si="36"/>
        <v>0.87250000000000005</v>
      </c>
      <c r="H119" s="3385">
        <f t="shared" si="36"/>
        <v>0.87250000000000005</v>
      </c>
      <c r="I119" s="3385">
        <f>ROUND(0.838-0.0182*B116,4)</f>
        <v>0.74950000000000006</v>
      </c>
      <c r="J119" s="3385">
        <f t="shared" si="35"/>
        <v>0.74950000000000006</v>
      </c>
      <c r="K119" s="3385">
        <f t="shared" si="35"/>
        <v>0.74950000000000006</v>
      </c>
      <c r="L119" s="3385">
        <f t="shared" si="35"/>
        <v>0.74950000000000006</v>
      </c>
      <c r="M119" s="3408">
        <f t="shared" si="35"/>
        <v>0.74950000000000006</v>
      </c>
      <c r="N119" s="3395"/>
    </row>
    <row r="120" spans="1:14">
      <c r="A120" s="3407" t="s">
        <v>1992</v>
      </c>
      <c r="B120" s="3385">
        <f>ROUND(0.9448-0.0115*B116,4)</f>
        <v>0.88890000000000002</v>
      </c>
      <c r="C120" s="3385">
        <f>B120</f>
        <v>0.88890000000000002</v>
      </c>
      <c r="D120" s="3385">
        <f>ROUND(0.937-0.0145*B116,4)</f>
        <v>0.86650000000000005</v>
      </c>
      <c r="E120" s="3385">
        <f t="shared" si="36"/>
        <v>0.86650000000000005</v>
      </c>
      <c r="F120" s="3385">
        <f t="shared" si="36"/>
        <v>0.86650000000000005</v>
      </c>
      <c r="G120" s="3385">
        <f t="shared" si="36"/>
        <v>0.86650000000000005</v>
      </c>
      <c r="H120" s="3385">
        <f t="shared" si="36"/>
        <v>0.86650000000000005</v>
      </c>
      <c r="I120" s="3385">
        <f>ROUND(0.7965-0.0185*B116,4)</f>
        <v>0.70660000000000001</v>
      </c>
      <c r="J120" s="3385">
        <f t="shared" si="35"/>
        <v>0.70660000000000001</v>
      </c>
      <c r="K120" s="3385">
        <f t="shared" si="35"/>
        <v>0.70660000000000001</v>
      </c>
      <c r="L120" s="3385">
        <f t="shared" si="35"/>
        <v>0.70660000000000001</v>
      </c>
      <c r="M120" s="3408">
        <f t="shared" si="35"/>
        <v>0.70660000000000001</v>
      </c>
      <c r="N120" s="3395"/>
    </row>
    <row r="121" spans="1:14" ht="13.5" thickBot="1">
      <c r="A121" s="3409" t="s">
        <v>1993</v>
      </c>
      <c r="B121" s="3410">
        <f>ROUND(0.7836-0.012*B116,4)</f>
        <v>0.72529999999999994</v>
      </c>
      <c r="C121" s="3410">
        <f>B121</f>
        <v>0.72529999999999994</v>
      </c>
      <c r="D121" s="3410">
        <f>ROUND(0.753-0.015*B116,4)</f>
        <v>0.68010000000000004</v>
      </c>
      <c r="E121" s="3410">
        <f>D121</f>
        <v>0.68010000000000004</v>
      </c>
      <c r="F121" s="3410">
        <f>E121</f>
        <v>0.68010000000000004</v>
      </c>
      <c r="G121" s="3410">
        <f>ROUND(0.6612-0.018*B116,4)</f>
        <v>0.57369999999999999</v>
      </c>
      <c r="H121" s="3410">
        <f>G121</f>
        <v>0.57369999999999999</v>
      </c>
      <c r="I121" s="3410">
        <f>ROUND(0.5905-0.019*B116,4)</f>
        <v>0.49819999999999998</v>
      </c>
      <c r="J121" s="3410">
        <f t="shared" si="35"/>
        <v>0.49819999999999998</v>
      </c>
      <c r="K121" s="3410">
        <f t="shared" si="35"/>
        <v>0.49819999999999998</v>
      </c>
      <c r="L121" s="3410">
        <f t="shared" si="35"/>
        <v>0.49819999999999998</v>
      </c>
      <c r="M121" s="3411">
        <f t="shared" si="35"/>
        <v>0.49819999999999998</v>
      </c>
      <c r="N121" s="3395"/>
    </row>
    <row r="122" spans="1:14">
      <c r="A122" s="3412" t="s">
        <v>2611</v>
      </c>
      <c r="B122" s="3385">
        <f>ROUND(0.9404-0.0106*B116,4)</f>
        <v>0.88890000000000002</v>
      </c>
      <c r="C122" s="3385">
        <f>B122</f>
        <v>0.88890000000000002</v>
      </c>
      <c r="D122" s="3385">
        <f>ROUND(0.8955-0.0135*B116,4)</f>
        <v>0.82989999999999997</v>
      </c>
      <c r="E122" s="3385">
        <f t="shared" ref="E122:H122" si="37">D122</f>
        <v>0.82989999999999997</v>
      </c>
      <c r="F122" s="3385">
        <f t="shared" si="37"/>
        <v>0.82989999999999997</v>
      </c>
      <c r="G122" s="3385">
        <f t="shared" si="37"/>
        <v>0.82989999999999997</v>
      </c>
      <c r="H122" s="3385">
        <f t="shared" si="37"/>
        <v>0.82989999999999997</v>
      </c>
      <c r="I122" s="3385">
        <f>ROUND(0.7632-0.0166*B116,4)</f>
        <v>0.6825</v>
      </c>
      <c r="J122" s="3385">
        <f t="shared" si="35"/>
        <v>0.6825</v>
      </c>
      <c r="K122" s="3385">
        <f t="shared" si="35"/>
        <v>0.6825</v>
      </c>
      <c r="L122" s="3385">
        <f t="shared" si="35"/>
        <v>0.6825</v>
      </c>
      <c r="M122" s="3408">
        <f t="shared" si="35"/>
        <v>0.6825</v>
      </c>
      <c r="N122" s="33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N47" sqref="N4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52393</v>
      </c>
      <c r="C2" s="1872" t="s">
        <v>1651</v>
      </c>
      <c r="D2" s="1873" t="s">
        <v>1652</v>
      </c>
      <c r="E2" s="2605">
        <f>SUM(E6:E13)</f>
        <v>40083.94</v>
      </c>
      <c r="F2" s="2704"/>
      <c r="G2" s="1489"/>
      <c r="H2" s="1489"/>
      <c r="I2" s="1489"/>
      <c r="J2" s="1489"/>
      <c r="K2" s="1489"/>
      <c r="L2" s="1489"/>
      <c r="M2" s="1489"/>
      <c r="N2" s="1489"/>
      <c r="O2" s="1489"/>
      <c r="P2" s="1489"/>
      <c r="Q2" s="1489"/>
      <c r="R2" s="1489"/>
      <c r="S2" s="1489"/>
    </row>
    <row r="3" spans="1:22" ht="15.75">
      <c r="A3" s="1870" t="s">
        <v>686</v>
      </c>
      <c r="B3" s="2599">
        <f ca="1">ROUND(B2*10000/E2,0)</f>
        <v>13071</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682" t="s">
        <v>1654</v>
      </c>
      <c r="C5" s="3683"/>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收益法-商业</v>
      </c>
      <c r="B6" s="2600">
        <f ca="1">IF(F6="是",'数据-取费表'!AO6,0)</f>
        <v>40371</v>
      </c>
      <c r="C6" s="1872" t="s">
        <v>1651</v>
      </c>
      <c r="D6" s="2706"/>
      <c r="E6" s="2604">
        <f>IF(OR(A6=0,F6="否"),0,'数据-取费表'!K6+'数据-取费表'!S6)</f>
        <v>31914.440000000002</v>
      </c>
      <c r="F6" s="1876" t="s">
        <v>1657</v>
      </c>
      <c r="G6" s="1489"/>
      <c r="H6" s="1489"/>
      <c r="I6" s="1489"/>
      <c r="J6" s="1489"/>
      <c r="K6" s="1489"/>
      <c r="L6" s="1489"/>
      <c r="M6" s="1489"/>
      <c r="N6" s="1489"/>
      <c r="O6" s="1489"/>
      <c r="P6" s="1489"/>
      <c r="Q6" s="1489"/>
      <c r="R6" s="1489"/>
      <c r="S6" s="1489"/>
    </row>
    <row r="7" spans="1:22">
      <c r="A7" s="2602" t="str">
        <f>'数据-取费表'!AN7</f>
        <v>收益法-办公</v>
      </c>
      <c r="B7" s="2600">
        <f ca="1">IF(F7="是",'数据-取费表'!AO7,0)</f>
        <v>12022</v>
      </c>
      <c r="C7" s="1872" t="s">
        <v>1651</v>
      </c>
      <c r="D7" s="2706"/>
      <c r="E7" s="2604">
        <f>IF(OR(A7=0,F7="否"),0,'数据-取费表'!K7+'数据-取费表'!S7)</f>
        <v>8169.5</v>
      </c>
      <c r="F7" s="1876" t="s">
        <v>1657</v>
      </c>
      <c r="G7" s="1489"/>
      <c r="H7" s="1489"/>
      <c r="I7" s="1489"/>
      <c r="J7" s="1489"/>
      <c r="K7" s="1489"/>
      <c r="L7" s="1489"/>
      <c r="M7" s="1489"/>
      <c r="N7" s="1489"/>
      <c r="O7" s="1489"/>
      <c r="P7" s="1489"/>
      <c r="Q7" s="1489"/>
      <c r="R7" s="1489"/>
      <c r="S7" s="1489"/>
    </row>
    <row r="8" spans="1:22">
      <c r="A8" s="2602">
        <f>'数据-取费表'!AN8</f>
        <v>0</v>
      </c>
      <c r="B8" s="2600">
        <f>IF(F8="是",'数据-取费表'!AO8,0)</f>
        <v>0</v>
      </c>
      <c r="C8" s="1872" t="s">
        <v>1651</v>
      </c>
      <c r="D8" s="2706"/>
      <c r="E8" s="2604">
        <f>IF(OR(A8=0,F8="否"),0,'数据-取费表'!K8+'数据-取费表'!S8)</f>
        <v>0</v>
      </c>
      <c r="F8" s="1876"/>
      <c r="G8" s="1489"/>
      <c r="H8" s="1489"/>
      <c r="I8" s="1489"/>
      <c r="J8" s="1489"/>
      <c r="K8" s="1489"/>
      <c r="L8" s="1489"/>
      <c r="M8" s="1489"/>
      <c r="N8" s="1489"/>
      <c r="O8" s="1489"/>
      <c r="P8" s="1489"/>
      <c r="Q8" s="1489"/>
      <c r="R8" s="1489"/>
      <c r="S8" s="1489"/>
    </row>
    <row r="9" spans="1:22">
      <c r="A9" s="2602">
        <f>'数据-取费表'!AN9</f>
        <v>0</v>
      </c>
      <c r="B9" s="2600">
        <f>IF(F9="是",'数据-取费表'!AO9,0)</f>
        <v>0</v>
      </c>
      <c r="C9" s="1872" t="s">
        <v>1651</v>
      </c>
      <c r="D9" s="2706"/>
      <c r="E9" s="2604">
        <f>IF(OR(A9=0,F9="否"),0,'数据-取费表'!K9+'数据-取费表'!S9)</f>
        <v>0</v>
      </c>
      <c r="F9" s="1876"/>
      <c r="G9" s="1489"/>
      <c r="H9" s="1489"/>
      <c r="I9" s="1489"/>
      <c r="J9" s="1489"/>
      <c r="K9" s="1489"/>
      <c r="L9" s="1489"/>
      <c r="M9" s="1489"/>
      <c r="N9" s="1489"/>
      <c r="O9" s="1489"/>
      <c r="P9" s="1489"/>
      <c r="Q9" s="1489"/>
      <c r="R9" s="1489"/>
      <c r="S9" s="1489"/>
    </row>
    <row r="10" spans="1:22">
      <c r="A10" s="2602">
        <f>'数据-取费表'!AN10</f>
        <v>0</v>
      </c>
      <c r="B10" s="2600">
        <f>IF(F10="是",'数据-取费表'!AO10,0)</f>
        <v>0</v>
      </c>
      <c r="C10" s="1872" t="s">
        <v>1651</v>
      </c>
      <c r="D10" s="2706"/>
      <c r="E10" s="2604">
        <f>IF(OR(A10=0,F10="否"),0,'数据-取费表'!K10+'数据-取费表'!S10)</f>
        <v>0</v>
      </c>
      <c r="F10" s="1876"/>
      <c r="G10" s="1489"/>
      <c r="H10" s="1489"/>
      <c r="I10" s="1489"/>
      <c r="J10" s="1489"/>
      <c r="K10" s="1489"/>
      <c r="L10" s="1489"/>
      <c r="M10" s="1489"/>
      <c r="N10" s="1489"/>
      <c r="O10" s="1489"/>
      <c r="P10" s="1489"/>
      <c r="Q10" s="1489"/>
      <c r="R10" s="1489"/>
      <c r="S10" s="1489"/>
    </row>
    <row r="11" spans="1:22">
      <c r="A11" s="2602">
        <f>'数据-取费表'!AN11</f>
        <v>0</v>
      </c>
      <c r="B11" s="2600">
        <f>IF(F11="是",'数据-取费表'!AO11,0)</f>
        <v>0</v>
      </c>
      <c r="C11" s="1872" t="s">
        <v>1651</v>
      </c>
      <c r="D11" s="2706"/>
      <c r="E11" s="2604">
        <f>IF(OR(A11=0,F11="否"),0,'数据-取费表'!K11+'数据-取费表'!S11)</f>
        <v>0</v>
      </c>
      <c r="F11" s="1876"/>
      <c r="G11" s="1489"/>
      <c r="H11" s="1489"/>
      <c r="I11" s="1489"/>
      <c r="J11" s="1489"/>
      <c r="K11" s="1489"/>
      <c r="L11" s="1489"/>
      <c r="M11" s="1489"/>
      <c r="N11" s="1489"/>
      <c r="O11" s="1489"/>
      <c r="P11" s="1489"/>
      <c r="Q11" s="1489"/>
      <c r="R11" s="1489"/>
      <c r="S11" s="1489"/>
    </row>
    <row r="12" spans="1:22">
      <c r="A12" s="2602">
        <f>'数据-取费表'!AN12</f>
        <v>0</v>
      </c>
      <c r="B12" s="2600">
        <f>IF(F12="是",'数据-取费表'!AO12,0)</f>
        <v>0</v>
      </c>
      <c r="C12" s="1872" t="s">
        <v>1651</v>
      </c>
      <c r="D12" s="2706"/>
      <c r="E12" s="2604">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3">
        <f>'数据-取费表'!AN13</f>
        <v>0</v>
      </c>
      <c r="B13" s="2600">
        <f>IF(F13="是",'数据-取费表'!AO13,0)</f>
        <v>0</v>
      </c>
      <c r="C13" s="1877" t="s">
        <v>1651</v>
      </c>
      <c r="D13" s="2707"/>
      <c r="E13" s="2604">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20.07</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40371</v>
      </c>
      <c r="C2" s="1387" t="s">
        <v>805</v>
      </c>
      <c r="D2" s="1387"/>
      <c r="E2" s="1388"/>
      <c r="F2" s="1389"/>
      <c r="G2" s="2703"/>
      <c r="H2" s="2692"/>
      <c r="I2" s="2692"/>
      <c r="J2" s="2692"/>
      <c r="K2" s="2693"/>
      <c r="L2" s="2692"/>
      <c r="M2" s="2692"/>
    </row>
    <row r="3" spans="1:37" ht="18" customHeight="1" thickBot="1">
      <c r="A3" s="1390" t="s">
        <v>806</v>
      </c>
      <c r="B3" s="1391">
        <f ca="1">IF(ISERROR(B2*10000/F43),0,ROUND(B2*10000/F43,0))</f>
        <v>12650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3916</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3911</v>
      </c>
      <c r="D6" s="155" t="s">
        <v>2109</v>
      </c>
      <c r="E6" s="302" t="s">
        <v>696</v>
      </c>
      <c r="F6" s="303">
        <f ca="1">INDIRECT("'数据-取费表'!u"&amp;$G$1)</f>
        <v>7.8</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16162.09</v>
      </c>
      <c r="G7" s="1384"/>
      <c r="H7" s="304"/>
      <c r="I7" s="3687"/>
      <c r="J7" s="306"/>
      <c r="K7" s="307"/>
      <c r="L7" s="302" t="s">
        <v>697</v>
      </c>
      <c r="M7" s="303">
        <f ca="1">F7</f>
        <v>16162.09</v>
      </c>
    </row>
    <row r="8" spans="1:37" ht="18" customHeight="1">
      <c r="A8" s="304"/>
      <c r="B8" s="3687"/>
      <c r="C8" s="306"/>
      <c r="D8" s="307"/>
      <c r="E8" s="302" t="s">
        <v>698</v>
      </c>
      <c r="F8" s="303">
        <f ca="1">INDIRECT("'数据-取费表'!ai"&amp;$G$1)</f>
        <v>365</v>
      </c>
      <c r="G8" s="1384"/>
      <c r="H8" s="304"/>
      <c r="I8" s="3687"/>
      <c r="J8" s="306"/>
      <c r="K8" s="307"/>
      <c r="L8" s="302" t="s">
        <v>698</v>
      </c>
      <c r="M8" s="303">
        <f ca="1">INDIRECT("'数据-取费表'!ai"&amp;$G$1)</f>
        <v>365</v>
      </c>
    </row>
    <row r="9" spans="1:37" ht="18" customHeight="1">
      <c r="A9" s="304"/>
      <c r="B9" s="3688"/>
      <c r="C9" s="306"/>
      <c r="D9" s="307"/>
      <c r="E9" s="302" t="s">
        <v>699</v>
      </c>
      <c r="F9" s="312">
        <f ca="1">INDIRECT("'数据-取费表'!w"&amp;$G$1)</f>
        <v>0.15</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3473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15362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12766</v>
      </c>
      <c r="D14" s="1345" t="s">
        <v>708</v>
      </c>
      <c r="E14" s="1342"/>
      <c r="F14" s="319"/>
      <c r="G14" s="1384"/>
      <c r="H14" s="982" t="s">
        <v>398</v>
      </c>
      <c r="I14" s="302" t="s">
        <v>709</v>
      </c>
      <c r="J14" s="21">
        <f ca="1">C29</f>
        <v>19202</v>
      </c>
      <c r="K14" s="12"/>
      <c r="L14" s="807"/>
      <c r="M14" s="808"/>
    </row>
    <row r="15" spans="1:37" s="1397" customFormat="1" ht="18" customHeight="1" thickBot="1">
      <c r="A15" s="982" t="s">
        <v>399</v>
      </c>
      <c r="B15" s="302" t="s">
        <v>710</v>
      </c>
      <c r="C15" s="21">
        <f ca="1">ROUND(C14*F15,0)</f>
        <v>383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196</v>
      </c>
      <c r="K16" s="1087" t="s">
        <v>715</v>
      </c>
      <c r="L16" s="1088"/>
      <c r="M16" s="1072"/>
    </row>
    <row r="17" spans="1:37" s="1397" customFormat="1" ht="18" customHeight="1">
      <c r="A17" s="982" t="s">
        <v>681</v>
      </c>
      <c r="B17" s="302" t="s">
        <v>716</v>
      </c>
      <c r="C17" s="21">
        <f ca="1">ROUND(F17*(F43+INDIRECT("'数据-取费表'!S"&amp;$G$1))/10000,0)</f>
        <v>638</v>
      </c>
      <c r="D17" s="302" t="s">
        <v>717</v>
      </c>
      <c r="E17" s="302" t="s">
        <v>718</v>
      </c>
      <c r="F17" s="23">
        <f>'数据-取费表'!B35</f>
        <v>200</v>
      </c>
      <c r="G17" s="1396"/>
      <c r="H17" s="982" t="s">
        <v>398</v>
      </c>
      <c r="I17" s="302" t="s">
        <v>719</v>
      </c>
      <c r="J17" s="2316">
        <f ca="1">ROUND(IF(AND(项目基本情况!B11="自然人",项目基本情况!B10="北京市"),J6*M17/(1+'数据-取费表'!C42),J18+J19+J20),2)</f>
        <v>4.08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13978</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280</v>
      </c>
      <c r="D20" s="323" t="s">
        <v>729</v>
      </c>
      <c r="E20" s="302" t="s">
        <v>712</v>
      </c>
      <c r="F20" s="322">
        <f>'数据-取费表'!B37</f>
        <v>0.02</v>
      </c>
      <c r="G20" s="1396"/>
      <c r="H20" s="982" t="s">
        <v>680</v>
      </c>
      <c r="I20" s="155" t="s">
        <v>730</v>
      </c>
      <c r="J20" s="22">
        <f ca="1">ROUND(M20*M21/10000,2)</f>
        <v>4.08</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3401.93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192.02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-196</v>
      </c>
      <c r="K25" s="1095" t="s">
        <v>753</v>
      </c>
      <c r="L25" s="1096"/>
      <c r="M25" s="1097"/>
    </row>
    <row r="26" spans="1:37">
      <c r="A26" s="982" t="s">
        <v>397</v>
      </c>
      <c r="B26" s="302" t="s">
        <v>754</v>
      </c>
      <c r="C26" s="21">
        <f ca="1">ROUND((C19+C20)*F26,0)</f>
        <v>2852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19202</v>
      </c>
      <c r="D29" s="1092"/>
      <c r="E29" s="1090"/>
      <c r="F29" s="1093"/>
      <c r="G29" s="1396"/>
      <c r="H29" s="334" t="s">
        <v>396</v>
      </c>
      <c r="I29" s="335" t="s">
        <v>768</v>
      </c>
      <c r="J29" s="336">
        <f ca="1">ROUND(J26/(1+F40)^F41,0)</f>
        <v>0</v>
      </c>
      <c r="K29" s="337" t="s">
        <v>769</v>
      </c>
      <c r="L29" s="338"/>
      <c r="M29" s="339">
        <f ca="1">INDIRECT("'数据-取费表'!k"&amp;$G$1)</f>
        <v>31914.440000000002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914</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659.64</v>
      </c>
      <c r="D31" s="1345" t="s">
        <v>720</v>
      </c>
      <c r="E31" s="1344" t="s">
        <v>770</v>
      </c>
      <c r="F31" s="2315" t="str">
        <f>IF(项目基本情况!B11="企业","——",IF(M47="住宅",IF(F6*F7*F8/12/(1+'数据-取费表'!F30)&gt;100000,4%,2.5%),IF(F6*F7*F8/12/(1+'数据-取费表'!F30)&gt;100000,12%,7%)))</f>
        <v>——</v>
      </c>
      <c r="G31" s="1384"/>
      <c r="H31" s="2805" t="s">
        <v>2306</v>
      </c>
      <c r="I31" s="1398"/>
      <c r="J31" s="1399"/>
      <c r="K31" s="2473"/>
      <c r="L31" s="2695"/>
      <c r="M31" s="2696"/>
    </row>
    <row r="32" spans="1:37" ht="18" customHeight="1">
      <c r="A32" s="982" t="s">
        <v>397</v>
      </c>
      <c r="B32" s="302" t="s">
        <v>723</v>
      </c>
      <c r="C32" s="21">
        <f ca="1">IF(项目基本情况!B11="自然人","——",ROUND(C6*F32/(1+'数据-取费表'!C42),2))</f>
        <v>208.59</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446.97</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4.08</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3401.93</v>
      </c>
      <c r="G35" s="1384"/>
      <c r="H35" s="2694"/>
      <c r="I35" s="1398"/>
      <c r="J35" s="1399"/>
      <c r="K35" s="2698"/>
      <c r="L35" s="2697"/>
      <c r="M35" s="2697"/>
    </row>
    <row r="36" spans="1:18" ht="18" customHeight="1">
      <c r="A36" s="1102" t="s">
        <v>402</v>
      </c>
      <c r="B36" s="302" t="s">
        <v>738</v>
      </c>
      <c r="C36" s="21">
        <f ca="1">ROUND(C29*F36,2)</f>
        <v>192.02</v>
      </c>
      <c r="D36" s="1344"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ROUND(C13*F37,2)</f>
        <v>23.04</v>
      </c>
      <c r="D37" s="1344" t="s">
        <v>743</v>
      </c>
      <c r="E37" s="302" t="s">
        <v>744</v>
      </c>
      <c r="F37" s="330">
        <f ca="1">INDIRECT("'数据-取费表'!Al"&amp;$G$1)</f>
        <v>1.5E-3</v>
      </c>
      <c r="G37" s="1384"/>
      <c r="H37" s="2697"/>
      <c r="I37" s="1398"/>
      <c r="J37" s="1399"/>
      <c r="K37" s="2542"/>
      <c r="L37" s="2697"/>
      <c r="M37" s="2697"/>
    </row>
    <row r="38" spans="1:18" ht="18" customHeight="1" thickBot="1">
      <c r="A38" s="1089" t="s">
        <v>684</v>
      </c>
      <c r="B38" s="1090" t="s">
        <v>728</v>
      </c>
      <c r="C38" s="1091">
        <f ca="1">ROUND(C5*F38,2)</f>
        <v>39.159999999999997</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3002</v>
      </c>
      <c r="D39" s="1095" t="s">
        <v>773</v>
      </c>
      <c r="E39" s="1096"/>
      <c r="F39" s="1097"/>
      <c r="G39" s="1384"/>
      <c r="H39" s="2697"/>
      <c r="I39" s="1398"/>
      <c r="J39" s="1399"/>
      <c r="K39" s="2701"/>
      <c r="L39" s="2697"/>
      <c r="M39" s="2697"/>
    </row>
    <row r="40" spans="1:18" ht="18" customHeight="1">
      <c r="A40" s="299" t="s">
        <v>395</v>
      </c>
      <c r="B40" s="300" t="s">
        <v>774</v>
      </c>
      <c r="C40" s="301">
        <f ca="1">ROUND(C39*(1-((1+F42)/(1+F40))^F41)/(F40-F42),0)</f>
        <v>40371</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20.07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12650</v>
      </c>
      <c r="D43" s="337" t="s">
        <v>777</v>
      </c>
      <c r="E43" s="338" t="s">
        <v>778</v>
      </c>
      <c r="F43" s="339">
        <f ca="1">INDIRECT("'数据-取费表'!k"&amp;$G$1)</f>
        <v>31914.440000000002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-42888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3474</v>
      </c>
      <c r="K47" s="1416" t="s">
        <v>816</v>
      </c>
      <c r="L47" s="1417">
        <f ca="1">INDIRECT("'数据-取费表'!d"&amp;$G$1)</f>
        <v>40</v>
      </c>
      <c r="M47" s="1380" t="str">
        <f>IF(ISNUMBER(FIND("住宅",C1)),"住宅","非住宅")</f>
        <v>非住宅</v>
      </c>
      <c r="O47" s="1418" t="s">
        <v>403</v>
      </c>
      <c r="P47" s="1419" t="s">
        <v>817</v>
      </c>
      <c r="Q47" s="1420">
        <f ca="1">C40+J29</f>
        <v>40371</v>
      </c>
      <c r="R47" s="1420" t="s">
        <v>818</v>
      </c>
    </row>
    <row r="48" spans="1:18" s="1384" customFormat="1" ht="28.5" thickBot="1">
      <c r="A48" s="1110" t="s">
        <v>438</v>
      </c>
      <c r="B48" s="300" t="s">
        <v>692</v>
      </c>
      <c r="C48" s="1359">
        <f ca="1">C49+C53+C55</f>
        <v>0</v>
      </c>
      <c r="D48" s="1112"/>
      <c r="E48" s="1113"/>
      <c r="F48" s="962"/>
      <c r="G48" s="722"/>
      <c r="H48" s="723"/>
      <c r="I48" s="1421" t="s">
        <v>819</v>
      </c>
      <c r="J48" s="1422" t="s">
        <v>3475</v>
      </c>
      <c r="K48" s="1423" t="s">
        <v>820</v>
      </c>
      <c r="L48" s="1424">
        <f ca="1">INDIRECT("'数据-取费表'!f"&amp;$G$1)</f>
        <v>20.07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19202</v>
      </c>
      <c r="R49" s="1420" t="s">
        <v>818</v>
      </c>
    </row>
    <row r="50" spans="1:18" s="1384" customFormat="1" ht="13.5" thickBot="1">
      <c r="A50" s="976"/>
      <c r="B50" s="979"/>
      <c r="C50" s="1118"/>
      <c r="D50" s="953"/>
      <c r="E50" s="1056" t="s">
        <v>697</v>
      </c>
      <c r="F50" s="1057">
        <f ca="1">F7</f>
        <v>16162.09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30939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20.07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20.07</v>
      </c>
      <c r="K53" s="3684" t="s">
        <v>837</v>
      </c>
      <c r="L53" s="3685"/>
      <c r="O53" s="1418" t="s">
        <v>409</v>
      </c>
      <c r="P53" s="1419" t="s">
        <v>838</v>
      </c>
      <c r="Q53" s="1420">
        <f ca="1">Q47+Q48</f>
        <v>40371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15362</v>
      </c>
      <c r="D56" s="1447"/>
      <c r="E56" s="1448"/>
      <c r="F56" s="1440"/>
      <c r="I56" s="1449" t="s">
        <v>842</v>
      </c>
      <c r="J56" s="1450" t="s">
        <v>3461</v>
      </c>
      <c r="K56" s="1421" t="s">
        <v>843</v>
      </c>
      <c r="L56" s="1424" t="str">
        <f ca="1">IF(L48&lt;J51,"——",L48-J53)</f>
        <v>——</v>
      </c>
      <c r="O56" s="1418" t="s">
        <v>403</v>
      </c>
      <c r="P56" s="1419" t="s">
        <v>817</v>
      </c>
      <c r="Q56" s="1420">
        <f ca="1">C40+J29</f>
        <v>40371</v>
      </c>
      <c r="R56" s="1420" t="s">
        <v>818</v>
      </c>
    </row>
    <row r="57" spans="1:18" s="1384" customFormat="1" ht="24.75" thickBot="1">
      <c r="A57" s="1451"/>
      <c r="B57" s="950" t="s">
        <v>767</v>
      </c>
      <c r="C57" s="238">
        <f ca="1">C29</f>
        <v>19202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219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4.08</v>
      </c>
      <c r="D62" s="965" t="s">
        <v>786</v>
      </c>
      <c r="E62" s="950" t="s">
        <v>787</v>
      </c>
      <c r="F62" s="325">
        <f t="shared" si="0"/>
        <v>12</v>
      </c>
      <c r="I62" s="1462" t="s">
        <v>858</v>
      </c>
      <c r="J62" s="1463" t="s">
        <v>859</v>
      </c>
      <c r="K62" s="1463" t="s">
        <v>860</v>
      </c>
      <c r="L62" s="1463" t="s">
        <v>861</v>
      </c>
      <c r="M62" s="1464" t="s">
        <v>862</v>
      </c>
      <c r="O62" s="1418" t="s">
        <v>409</v>
      </c>
      <c r="P62" s="1419" t="s">
        <v>863</v>
      </c>
      <c r="Q62" s="1420">
        <f ca="1">Q56+Q57</f>
        <v>40371</v>
      </c>
      <c r="R62" s="1420" t="s">
        <v>410</v>
      </c>
    </row>
    <row r="63" spans="1:18" s="1384" customFormat="1" ht="13.5" thickBot="1">
      <c r="A63" s="326"/>
      <c r="B63" s="956"/>
      <c r="C63" s="26"/>
      <c r="D63" s="966"/>
      <c r="E63" s="950" t="s">
        <v>788</v>
      </c>
      <c r="F63" s="303">
        <f t="shared" ca="1" si="0"/>
        <v>3401.93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192.02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23.04</v>
      </c>
      <c r="D65" s="964" t="s">
        <v>743</v>
      </c>
      <c r="E65" s="950" t="s">
        <v>744</v>
      </c>
      <c r="F65" s="330">
        <f t="shared" ca="1" si="0"/>
        <v>1.5E-3</v>
      </c>
      <c r="I65" s="1462" t="s">
        <v>867</v>
      </c>
      <c r="J65" s="1463">
        <v>40</v>
      </c>
      <c r="K65" s="1463">
        <v>30</v>
      </c>
      <c r="L65" s="1463">
        <v>50</v>
      </c>
      <c r="M65" s="1465">
        <v>0.02</v>
      </c>
      <c r="O65" s="1418" t="s">
        <v>403</v>
      </c>
      <c r="P65" s="1419" t="s">
        <v>868</v>
      </c>
      <c r="Q65" s="1420">
        <f ca="1">C40+J29</f>
        <v>40371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-219</v>
      </c>
      <c r="D67" s="963" t="s">
        <v>753</v>
      </c>
      <c r="E67" s="968"/>
      <c r="F67" s="969"/>
      <c r="O67" s="1428" t="s">
        <v>405</v>
      </c>
      <c r="P67" s="1419" t="s">
        <v>850</v>
      </c>
      <c r="Q67" s="1466">
        <f ca="1">L51</f>
        <v>30939</v>
      </c>
      <c r="R67" s="1420" t="s">
        <v>870</v>
      </c>
    </row>
    <row r="68" spans="1:18" s="1384" customFormat="1" ht="16.5" thickBot="1">
      <c r="A68" s="947" t="s">
        <v>395</v>
      </c>
      <c r="B68" s="948" t="s">
        <v>774</v>
      </c>
      <c r="C68" s="301">
        <f ca="1">ROUND(C67*(1-((1+F70)/(1+F68))^F69)/(F68-F70),0)</f>
        <v>-2517</v>
      </c>
      <c r="D68" s="965" t="s">
        <v>758</v>
      </c>
      <c r="E68" s="950" t="s">
        <v>759</v>
      </c>
      <c r="F68" s="312">
        <f ca="1">F40</f>
        <v>0.06</v>
      </c>
      <c r="O68" s="1428" t="s">
        <v>406</v>
      </c>
      <c r="P68" s="1467" t="s">
        <v>871</v>
      </c>
      <c r="Q68" s="1420">
        <f ca="1">ROUND(Q69-Q70*Q71,0)</f>
        <v>1773</v>
      </c>
      <c r="R68" s="1420" t="s">
        <v>414</v>
      </c>
    </row>
    <row r="69" spans="1:18" s="1384" customFormat="1" ht="13.5" thickBot="1">
      <c r="A69" s="951"/>
      <c r="B69" s="952"/>
      <c r="C69" s="306"/>
      <c r="D69" s="970" t="s">
        <v>762</v>
      </c>
      <c r="E69" s="950" t="s">
        <v>763</v>
      </c>
      <c r="F69" s="333">
        <f ca="1">F41</f>
        <v>20.07</v>
      </c>
      <c r="O69" s="1428" t="s">
        <v>411</v>
      </c>
      <c r="P69" s="1467" t="s">
        <v>872</v>
      </c>
      <c r="Q69" s="1420">
        <f ca="1">C39</f>
        <v>3002</v>
      </c>
      <c r="R69" s="1420" t="s">
        <v>818</v>
      </c>
    </row>
    <row r="70" spans="1:18" s="1384" customFormat="1" ht="13.5" thickBot="1">
      <c r="A70" s="954"/>
      <c r="B70" s="955"/>
      <c r="C70" s="310"/>
      <c r="D70" s="966"/>
      <c r="E70" s="950" t="s">
        <v>766</v>
      </c>
      <c r="F70" s="1054"/>
      <c r="O70" s="1428" t="s">
        <v>412</v>
      </c>
      <c r="P70" s="1467" t="s">
        <v>873</v>
      </c>
      <c r="Q70" s="1420">
        <f ca="1">C13</f>
        <v>15362</v>
      </c>
      <c r="R70" s="1420" t="s">
        <v>818</v>
      </c>
    </row>
    <row r="71" spans="1:18" s="1384" customFormat="1" ht="13.5" thickBot="1">
      <c r="A71" s="971" t="s">
        <v>396</v>
      </c>
      <c r="B71" s="972" t="s">
        <v>776</v>
      </c>
      <c r="C71" s="336">
        <f ca="1">ROUND(C68*10000/F71,0)</f>
        <v>-789</v>
      </c>
      <c r="D71" s="973" t="s">
        <v>777</v>
      </c>
      <c r="E71" s="974" t="s">
        <v>778</v>
      </c>
      <c r="F71" s="339">
        <f ca="1">F43</f>
        <v>31914.440000000002</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1229</v>
      </c>
      <c r="D75" s="1384"/>
      <c r="E75" s="1384"/>
      <c r="F75" s="1384"/>
      <c r="K75" s="1402"/>
      <c r="L75" s="1384"/>
      <c r="O75" s="1418" t="s">
        <v>409</v>
      </c>
      <c r="P75" s="1419" t="s">
        <v>838</v>
      </c>
      <c r="Q75" s="1420">
        <f ca="1">Q65+Q66</f>
        <v>40371</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0.59099999999999997</v>
      </c>
    </row>
    <row r="80" spans="1:18">
      <c r="B80" s="340" t="s">
        <v>800</v>
      </c>
      <c r="C80" s="274">
        <f ca="1">ROUND(C75/C39,3)</f>
        <v>0.40899999999999997</v>
      </c>
    </row>
    <row r="81" spans="2:3">
      <c r="B81" s="270" t="s">
        <v>801</v>
      </c>
      <c r="C81" s="238"/>
    </row>
    <row r="82" spans="2:3">
      <c r="B82" s="273" t="s">
        <v>802</v>
      </c>
      <c r="C82" s="275">
        <f ca="1">1-C83</f>
        <v>0.61899999999999999</v>
      </c>
    </row>
    <row r="83" spans="2:3">
      <c r="B83" s="273" t="s">
        <v>803</v>
      </c>
      <c r="C83" s="274">
        <f ca="1">ROUND(C13/C40,3)</f>
        <v>0.38100000000000001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0</v>
      </c>
      <c r="D6" s="155" t="s">
        <v>2106</v>
      </c>
      <c r="E6" s="302" t="s">
        <v>696</v>
      </c>
      <c r="F6" s="303">
        <f ca="1">INDIRECT("'数据-取费表'!u"&amp;$G$1)</f>
        <v>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2306</v>
      </c>
      <c r="I31" s="1398"/>
      <c r="J31" s="1399"/>
      <c r="K31" s="2473"/>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3355</v>
      </c>
      <c r="B45" s="1400"/>
      <c r="C45" s="1472" t="e">
        <f ca="1">ROUND((C68-C40)/10000,4)</f>
        <v>#DIV/0!</v>
      </c>
      <c r="D45" s="3429"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3362</v>
      </c>
      <c r="E2" s="3441"/>
      <c r="F2" s="2843"/>
      <c r="G2" s="2844"/>
      <c r="H2" s="2845"/>
      <c r="I2" s="2846"/>
      <c r="J2" s="3695" t="s">
        <v>2316</v>
      </c>
      <c r="K2" s="3696"/>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97" t="s">
        <v>2326</v>
      </c>
      <c r="K3" s="3698"/>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97" t="s">
        <v>2328</v>
      </c>
      <c r="K4" s="3698"/>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03" t="s">
        <v>2332</v>
      </c>
      <c r="B6" s="3704"/>
      <c r="C6" s="3705"/>
      <c r="D6" s="2867"/>
      <c r="E6" s="2868"/>
      <c r="F6" s="2869"/>
      <c r="G6" s="2870"/>
      <c r="H6" s="2845"/>
      <c r="I6" s="2846"/>
      <c r="J6" s="3689">
        <v>1</v>
      </c>
      <c r="K6" s="3690"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89"/>
      <c r="K7" s="3691"/>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06" t="s">
        <v>2346</v>
      </c>
      <c r="C8" s="3707"/>
      <c r="D8" s="2886" t="s">
        <v>2347</v>
      </c>
      <c r="E8" s="2887" t="s">
        <v>2348</v>
      </c>
      <c r="F8" s="2888" t="s">
        <v>2349</v>
      </c>
      <c r="G8" s="2889"/>
      <c r="H8" s="2845"/>
      <c r="I8" s="2846"/>
      <c r="J8" s="3689"/>
      <c r="K8" s="3691"/>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06" t="s">
        <v>2352</v>
      </c>
      <c r="C9" s="3707"/>
      <c r="D9" s="2886">
        <f>ROUND(D6*E9,0)</f>
        <v>0</v>
      </c>
      <c r="E9" s="2890"/>
      <c r="F9" s="2891" t="s">
        <v>2353</v>
      </c>
      <c r="G9" s="2870"/>
      <c r="H9" s="2845"/>
      <c r="I9" s="2846"/>
      <c r="J9" s="3689"/>
      <c r="K9" s="3691"/>
      <c r="L9" s="2880" t="s">
        <v>2354</v>
      </c>
      <c r="M9" s="2881"/>
      <c r="N9" s="2857"/>
      <c r="O9" s="2882"/>
      <c r="P9" s="2882"/>
      <c r="Q9" s="2883">
        <v>365</v>
      </c>
      <c r="R9" s="2884">
        <f t="shared" si="0"/>
        <v>0</v>
      </c>
      <c r="S9" s="2838"/>
      <c r="T9" s="2838"/>
      <c r="U9" s="2838"/>
      <c r="V9" s="2846"/>
    </row>
    <row r="10" spans="1:22" s="2850" customFormat="1" ht="13.15" customHeight="1">
      <c r="A10" s="2885">
        <v>2</v>
      </c>
      <c r="B10" s="3706" t="s">
        <v>2355</v>
      </c>
      <c r="C10" s="3707"/>
      <c r="D10" s="2886">
        <f>ROUND(D6*E10,0)</f>
        <v>0</v>
      </c>
      <c r="E10" s="2890"/>
      <c r="F10" s="2891" t="s">
        <v>2356</v>
      </c>
      <c r="G10" s="2870"/>
      <c r="H10" s="2845"/>
      <c r="I10" s="2846"/>
      <c r="J10" s="3689"/>
      <c r="K10" s="3691"/>
      <c r="L10" s="2880" t="s">
        <v>2357</v>
      </c>
      <c r="M10" s="2881"/>
      <c r="N10" s="2857"/>
      <c r="O10" s="2882"/>
      <c r="P10" s="2882"/>
      <c r="Q10" s="2883">
        <v>365</v>
      </c>
      <c r="R10" s="2884">
        <f t="shared" si="0"/>
        <v>0</v>
      </c>
      <c r="S10" s="2838"/>
      <c r="T10" s="2838"/>
      <c r="U10" s="2838"/>
      <c r="V10" s="2846"/>
    </row>
    <row r="11" spans="1:22" s="2850" customFormat="1" ht="13.15" customHeight="1">
      <c r="A11" s="2885">
        <v>3</v>
      </c>
      <c r="B11" s="3706" t="s">
        <v>2358</v>
      </c>
      <c r="C11" s="3707"/>
      <c r="D11" s="2886">
        <f>D12+D14+D15+D16</f>
        <v>0</v>
      </c>
      <c r="E11" s="2892" t="e">
        <f>D11/D6</f>
        <v>#DIV/0!</v>
      </c>
      <c r="F11" s="2888"/>
      <c r="G11" s="2889"/>
      <c r="H11" s="2845"/>
      <c r="I11" s="2846"/>
      <c r="J11" s="3689"/>
      <c r="K11" s="3691"/>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99" t="s">
        <v>2361</v>
      </c>
      <c r="C12" s="3700"/>
      <c r="D12" s="2894">
        <f>ROUND(D13*1.2%*(1-30%),0)</f>
        <v>0</v>
      </c>
      <c r="E12" s="2895">
        <v>1.2E-2</v>
      </c>
      <c r="F12" s="2888" t="s">
        <v>2362</v>
      </c>
      <c r="G12" s="2889"/>
      <c r="H12" s="2845"/>
      <c r="I12" s="2846"/>
      <c r="J12" s="3689"/>
      <c r="K12" s="3691"/>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89"/>
      <c r="K13" s="3691"/>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99" t="s">
        <v>2367</v>
      </c>
      <c r="C14" s="3700"/>
      <c r="D14" s="2894">
        <f>ROUND(E14*B5/10000,0)</f>
        <v>0</v>
      </c>
      <c r="E14" s="2883"/>
      <c r="F14" s="2888" t="s">
        <v>2368</v>
      </c>
      <c r="G14" s="2889"/>
      <c r="H14" s="2845"/>
      <c r="I14" s="2846"/>
      <c r="J14" s="3689"/>
      <c r="K14" s="3692"/>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99" t="s">
        <v>2371</v>
      </c>
      <c r="C15" s="3700"/>
      <c r="D15" s="2894">
        <f>ROUND(D6*E15,0)</f>
        <v>0</v>
      </c>
      <c r="E15" s="2895">
        <v>5.5E-2</v>
      </c>
      <c r="F15" s="2888" t="s">
        <v>2372</v>
      </c>
      <c r="G15" s="2870"/>
      <c r="H15" s="2845"/>
      <c r="I15" s="2846"/>
      <c r="J15" s="3689">
        <v>2</v>
      </c>
      <c r="K15" s="3690"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99" t="s">
        <v>2380</v>
      </c>
      <c r="C16" s="3700"/>
      <c r="D16" s="2905">
        <f>D6*E16</f>
        <v>0</v>
      </c>
      <c r="E16" s="2906"/>
      <c r="F16" s="2891" t="s">
        <v>2381</v>
      </c>
      <c r="G16" s="2870"/>
      <c r="H16" s="2845"/>
      <c r="I16" s="2846"/>
      <c r="J16" s="3689"/>
      <c r="K16" s="3691"/>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01" t="s">
        <v>2383</v>
      </c>
      <c r="C17" s="3702"/>
      <c r="D17" s="2908">
        <f>ROUND(D6*E17,0)</f>
        <v>0</v>
      </c>
      <c r="E17" s="2909"/>
      <c r="F17" s="2910" t="s">
        <v>2384</v>
      </c>
      <c r="G17" s="2870"/>
      <c r="H17" s="2845"/>
      <c r="I17" s="2846"/>
      <c r="J17" s="3689"/>
      <c r="K17" s="3691"/>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89"/>
      <c r="K18" s="3691"/>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89"/>
      <c r="K19" s="3692"/>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89">
        <v>3</v>
      </c>
      <c r="K20" s="3690"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89"/>
      <c r="K21" s="3691"/>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89"/>
      <c r="K22" s="3691"/>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89"/>
      <c r="K23" s="3691"/>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89"/>
      <c r="K24" s="3692"/>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93">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9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95" t="s">
        <v>2316</v>
      </c>
      <c r="K32" s="3696"/>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97" t="s">
        <v>2326</v>
      </c>
      <c r="K33" s="3698"/>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97" t="s">
        <v>2328</v>
      </c>
      <c r="K34" s="369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89">
        <v>1</v>
      </c>
      <c r="K36" s="3690"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89"/>
      <c r="K37" s="3691"/>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89"/>
      <c r="K38" s="3691"/>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89"/>
      <c r="K39" s="3691"/>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89"/>
      <c r="K40" s="3692"/>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93">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9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40083.94000000001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26" t="s">
        <v>1667</v>
      </c>
      <c r="D4" s="3727"/>
      <c r="E4" s="3728" t="s">
        <v>1668</v>
      </c>
      <c r="F4" s="3729"/>
      <c r="G4" s="3726" t="s">
        <v>1669</v>
      </c>
      <c r="H4" s="3727"/>
      <c r="I4" s="3726" t="s">
        <v>1670</v>
      </c>
      <c r="J4" s="3727"/>
      <c r="K4" s="1889" t="s">
        <v>1671</v>
      </c>
      <c r="L4" s="2712"/>
      <c r="M4" s="2713"/>
      <c r="N4" s="2713"/>
      <c r="O4" s="2713"/>
      <c r="P4" s="3730" t="s">
        <v>1672</v>
      </c>
      <c r="Q4" s="3731"/>
      <c r="R4" s="3736" t="s">
        <v>1668</v>
      </c>
      <c r="S4" s="3737"/>
      <c r="T4" s="3736" t="s">
        <v>1669</v>
      </c>
      <c r="U4" s="3737"/>
      <c r="V4" s="3742" t="s">
        <v>1670</v>
      </c>
      <c r="W4" s="3742"/>
      <c r="X4" s="1355"/>
      <c r="Y4" s="3736" t="s">
        <v>1672</v>
      </c>
      <c r="Z4" s="3737"/>
      <c r="AA4" s="3723" t="s">
        <v>1668</v>
      </c>
      <c r="AB4" s="3723" t="s">
        <v>1669</v>
      </c>
      <c r="AC4" s="3723" t="s">
        <v>1670</v>
      </c>
    </row>
    <row r="5" spans="1:29" ht="15">
      <c r="A5" s="358"/>
      <c r="B5" s="359"/>
      <c r="C5" s="3745" t="s">
        <v>1673</v>
      </c>
      <c r="D5" s="3746"/>
      <c r="E5" s="3752" t="s">
        <v>1674</v>
      </c>
      <c r="F5" s="3753"/>
      <c r="G5" s="3745" t="s">
        <v>1675</v>
      </c>
      <c r="H5" s="3746"/>
      <c r="I5" s="3745" t="s">
        <v>1676</v>
      </c>
      <c r="J5" s="3746"/>
      <c r="K5" s="1890"/>
      <c r="L5" s="2712"/>
      <c r="M5" s="2713"/>
      <c r="N5" s="2713"/>
      <c r="O5" s="2713"/>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1890" t="s">
        <v>1678</v>
      </c>
      <c r="L6" s="2712"/>
      <c r="M6" s="2713"/>
      <c r="N6" s="2713"/>
      <c r="O6" s="2713"/>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47" t="s">
        <v>1680</v>
      </c>
      <c r="Q7" s="3749"/>
      <c r="R7" s="701" t="s">
        <v>20</v>
      </c>
      <c r="S7" s="702">
        <f t="shared" ref="S7:S15" si="0">F7</f>
        <v>0</v>
      </c>
      <c r="T7" s="701" t="s">
        <v>20</v>
      </c>
      <c r="U7" s="702">
        <f t="shared" ref="U7:U15" si="1">H7</f>
        <v>0</v>
      </c>
      <c r="V7" s="701" t="s">
        <v>20</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2"/>
      <c r="Q11" s="1343" t="str">
        <f t="shared" si="6"/>
        <v>容积率</v>
      </c>
      <c r="R11" s="701" t="s">
        <v>18</v>
      </c>
      <c r="S11" s="702" t="e">
        <f t="shared" si="0"/>
        <v>#N/A</v>
      </c>
      <c r="T11" s="701" t="s">
        <v>18</v>
      </c>
      <c r="U11" s="702" t="e">
        <f t="shared" si="1"/>
        <v>#N/A</v>
      </c>
      <c r="V11" s="701" t="s">
        <v>18</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22"/>
      <c r="Q12" s="1343">
        <f t="shared" si="6"/>
        <v>111</v>
      </c>
      <c r="R12" s="701" t="s">
        <v>18</v>
      </c>
      <c r="S12" s="702">
        <f t="shared" si="0"/>
        <v>100</v>
      </c>
      <c r="T12" s="701" t="s">
        <v>18</v>
      </c>
      <c r="U12" s="702">
        <f t="shared" si="1"/>
        <v>100</v>
      </c>
      <c r="V12" s="701" t="s">
        <v>18</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22"/>
      <c r="Q13" s="1343">
        <f t="shared" si="6"/>
        <v>111</v>
      </c>
      <c r="R13" s="701" t="s">
        <v>18</v>
      </c>
      <c r="S13" s="702">
        <f t="shared" si="0"/>
        <v>100</v>
      </c>
      <c r="T13" s="701" t="s">
        <v>18</v>
      </c>
      <c r="U13" s="702">
        <f t="shared" si="1"/>
        <v>100</v>
      </c>
      <c r="V13" s="701" t="s">
        <v>18</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22"/>
      <c r="Q14" s="1343">
        <f t="shared" si="6"/>
        <v>111</v>
      </c>
      <c r="R14" s="701" t="s">
        <v>18</v>
      </c>
      <c r="S14" s="702">
        <f t="shared" si="0"/>
        <v>100</v>
      </c>
      <c r="T14" s="701" t="s">
        <v>18</v>
      </c>
      <c r="U14" s="702">
        <f t="shared" si="1"/>
        <v>100</v>
      </c>
      <c r="V14" s="701" t="s">
        <v>18</v>
      </c>
      <c r="W14" s="702">
        <f t="shared" si="2"/>
        <v>100</v>
      </c>
      <c r="X14" s="703"/>
      <c r="Y14" s="356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21"/>
      <c r="Q16" s="1352"/>
      <c r="R16" s="705"/>
      <c r="S16" s="706"/>
      <c r="T16" s="705"/>
      <c r="U16" s="706"/>
      <c r="V16" s="705"/>
      <c r="W16" s="706"/>
      <c r="X16" s="1355"/>
      <c r="Y16" s="3714"/>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21"/>
      <c r="Q18" s="1352"/>
      <c r="R18" s="705"/>
      <c r="S18" s="706"/>
      <c r="T18" s="705"/>
      <c r="U18" s="706"/>
      <c r="V18" s="705"/>
      <c r="W18" s="706"/>
      <c r="X18" s="1355"/>
      <c r="Y18" s="3714"/>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21"/>
      <c r="Q20" s="1352"/>
      <c r="R20" s="705"/>
      <c r="S20" s="706"/>
      <c r="T20" s="705"/>
      <c r="U20" s="706"/>
      <c r="V20" s="705"/>
      <c r="W20" s="706"/>
      <c r="X20" s="1355"/>
      <c r="Y20" s="371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21"/>
      <c r="Q22" s="1352"/>
      <c r="R22" s="705"/>
      <c r="S22" s="706"/>
      <c r="T22" s="705"/>
      <c r="U22" s="706"/>
      <c r="V22" s="705"/>
      <c r="W22" s="706"/>
      <c r="X22" s="1355"/>
      <c r="Y22" s="3714"/>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40083.94000000001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36" t="s">
        <v>1771</v>
      </c>
      <c r="S4" s="3737"/>
      <c r="T4" s="3736" t="s">
        <v>1772</v>
      </c>
      <c r="U4" s="3737"/>
      <c r="V4" s="3742" t="s">
        <v>1773</v>
      </c>
      <c r="W4" s="3742"/>
      <c r="X4" s="1355"/>
      <c r="Y4" s="3736" t="s">
        <v>1775</v>
      </c>
      <c r="Z4" s="3737"/>
      <c r="AA4" s="3723" t="s">
        <v>1771</v>
      </c>
      <c r="AB4" s="3742" t="s">
        <v>1772</v>
      </c>
      <c r="AC4" s="3723" t="s">
        <v>1773</v>
      </c>
    </row>
    <row r="5" spans="1:29" ht="15">
      <c r="A5" s="358"/>
      <c r="B5" s="359"/>
      <c r="C5" s="3745" t="s">
        <v>1673</v>
      </c>
      <c r="D5" s="3746"/>
      <c r="E5" s="3752" t="s">
        <v>1674</v>
      </c>
      <c r="F5" s="3753"/>
      <c r="G5" s="3745" t="s">
        <v>1675</v>
      </c>
      <c r="H5" s="3746"/>
      <c r="I5" s="3745" t="s">
        <v>1676</v>
      </c>
      <c r="J5" s="3746"/>
      <c r="K5" s="559"/>
      <c r="L5" s="2712"/>
      <c r="M5" s="2713"/>
      <c r="N5" s="2713"/>
      <c r="O5" s="2713"/>
      <c r="P5" s="3732"/>
      <c r="Q5" s="3733"/>
      <c r="R5" s="3738"/>
      <c r="S5" s="3739"/>
      <c r="T5" s="3738"/>
      <c r="U5" s="3739"/>
      <c r="V5" s="3742"/>
      <c r="W5" s="3742"/>
      <c r="X5" s="1355"/>
      <c r="Y5" s="3738"/>
      <c r="Z5" s="3739"/>
      <c r="AA5" s="3724"/>
      <c r="AB5" s="3742"/>
      <c r="AC5" s="3724"/>
    </row>
    <row r="6" spans="1:29" ht="15.75" thickBot="1">
      <c r="A6" s="360"/>
      <c r="B6" s="361"/>
      <c r="C6" s="3743" t="s">
        <v>1677</v>
      </c>
      <c r="D6" s="3744"/>
      <c r="E6" s="3750" t="s">
        <v>1677</v>
      </c>
      <c r="F6" s="3751"/>
      <c r="G6" s="3743" t="s">
        <v>1677</v>
      </c>
      <c r="H6" s="3744"/>
      <c r="I6" s="3743" t="s">
        <v>1677</v>
      </c>
      <c r="J6" s="3744"/>
      <c r="K6" s="559" t="s">
        <v>1678</v>
      </c>
      <c r="L6" s="2712"/>
      <c r="M6" s="2713"/>
      <c r="N6" s="2713"/>
      <c r="O6" s="2713"/>
      <c r="P6" s="3734"/>
      <c r="Q6" s="3735"/>
      <c r="R6" s="3738"/>
      <c r="S6" s="3739"/>
      <c r="T6" s="3740"/>
      <c r="U6" s="3741"/>
      <c r="V6" s="3742"/>
      <c r="W6" s="3742"/>
      <c r="X6" s="1355"/>
      <c r="Y6" s="3740"/>
      <c r="Z6" s="3741"/>
      <c r="AA6" s="3725"/>
      <c r="AB6" s="3742"/>
      <c r="AC6" s="3725"/>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22"/>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2"/>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2"/>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2"/>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21"/>
      <c r="Q16" s="1352"/>
      <c r="R16" s="705"/>
      <c r="S16" s="706"/>
      <c r="T16" s="705"/>
      <c r="U16" s="706"/>
      <c r="V16" s="705"/>
      <c r="W16" s="706"/>
      <c r="X16" s="1355"/>
      <c r="Y16" s="3714"/>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21"/>
      <c r="Q18" s="1352"/>
      <c r="R18" s="705"/>
      <c r="S18" s="706"/>
      <c r="T18" s="705"/>
      <c r="U18" s="706"/>
      <c r="V18" s="705"/>
      <c r="W18" s="706"/>
      <c r="X18" s="1355"/>
      <c r="Y18" s="3714"/>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21"/>
      <c r="Q20" s="1352"/>
      <c r="R20" s="705"/>
      <c r="S20" s="706"/>
      <c r="T20" s="705"/>
      <c r="U20" s="706"/>
      <c r="V20" s="705"/>
      <c r="W20" s="706"/>
      <c r="X20" s="1355"/>
      <c r="Y20" s="3714"/>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21"/>
      <c r="Q22" s="1352"/>
      <c r="R22" s="705"/>
      <c r="S22" s="706"/>
      <c r="T22" s="705"/>
      <c r="U22" s="706"/>
      <c r="V22" s="705"/>
      <c r="W22" s="706"/>
      <c r="X22" s="1355"/>
      <c r="Y22" s="3714"/>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21"/>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711" t="str">
        <f>A47</f>
        <v>成交单价（元/平方米）</v>
      </c>
      <c r="Q47" s="3711"/>
      <c r="R47" s="3742">
        <f>E47</f>
        <v>0</v>
      </c>
      <c r="S47" s="3742"/>
      <c r="T47" s="3742">
        <f>G47</f>
        <v>0</v>
      </c>
      <c r="U47" s="3742"/>
      <c r="V47" s="3742">
        <f>I47</f>
        <v>0</v>
      </c>
      <c r="W47" s="374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受贵公司委托，我公司对北京市北京市朝阳区安立路68号1层A-1区房地产抵押价值进行了预评估。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估价对象为北京市北京市朝阳区安立路68号1层A-1区房地产，为所有。根据《国有土地使用证》[]，估价对象（分摊）出让国有建设用地使用权面积为4272.76平方米，建筑面积为40083.94平方米。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安立路68号1层A-1区房地产,属开发建设的，该项目尚在开发建设中。根据《国有土地使用证》[]，估价对象（分摊）出让国有建设用地使用权面积为4272.76平方米，规划建筑面积为40083.94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北京市朝阳区安立路68号1层A-1区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40083.94000000001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2"/>
      <c r="M4" s="2713"/>
      <c r="N4" s="2713"/>
      <c r="O4" s="2713"/>
      <c r="P4" s="3760" t="s">
        <v>1775</v>
      </c>
      <c r="Q4" s="3761"/>
      <c r="R4" s="3764" t="s">
        <v>1771</v>
      </c>
      <c r="S4" s="3765"/>
      <c r="T4" s="3764" t="s">
        <v>1772</v>
      </c>
      <c r="U4" s="3765"/>
      <c r="V4" s="3766" t="s">
        <v>1773</v>
      </c>
      <c r="W4" s="3766"/>
      <c r="X4" s="1958"/>
      <c r="Y4" s="3764" t="s">
        <v>1775</v>
      </c>
      <c r="Z4" s="3765"/>
      <c r="AA4" s="3768" t="s">
        <v>1771</v>
      </c>
      <c r="AB4" s="3768" t="s">
        <v>1772</v>
      </c>
      <c r="AC4" s="3757" t="s">
        <v>1773</v>
      </c>
    </row>
    <row r="5" spans="1:29" ht="15">
      <c r="A5" s="358"/>
      <c r="B5" s="359"/>
      <c r="C5" s="3745" t="s">
        <v>1673</v>
      </c>
      <c r="D5" s="3746"/>
      <c r="E5" s="3752" t="s">
        <v>1674</v>
      </c>
      <c r="F5" s="3753"/>
      <c r="G5" s="3745" t="s">
        <v>1675</v>
      </c>
      <c r="H5" s="3746"/>
      <c r="I5" s="3745" t="s">
        <v>1676</v>
      </c>
      <c r="J5" s="3746"/>
      <c r="K5" s="559"/>
      <c r="L5" s="2712"/>
      <c r="M5" s="2713"/>
      <c r="N5" s="2713"/>
      <c r="O5" s="2713"/>
      <c r="P5" s="3762"/>
      <c r="Q5" s="3733"/>
      <c r="R5" s="3738"/>
      <c r="S5" s="3739"/>
      <c r="T5" s="3738"/>
      <c r="U5" s="3739"/>
      <c r="V5" s="3742"/>
      <c r="W5" s="3742"/>
      <c r="X5" s="1355"/>
      <c r="Y5" s="3738"/>
      <c r="Z5" s="3739"/>
      <c r="AA5" s="3724"/>
      <c r="AB5" s="3724"/>
      <c r="AC5" s="3758"/>
    </row>
    <row r="6" spans="1:29" ht="15.75" thickBot="1">
      <c r="A6" s="360"/>
      <c r="B6" s="361"/>
      <c r="C6" s="3743" t="s">
        <v>1677</v>
      </c>
      <c r="D6" s="3744"/>
      <c r="E6" s="3750" t="s">
        <v>1677</v>
      </c>
      <c r="F6" s="3751"/>
      <c r="G6" s="3743" t="s">
        <v>1677</v>
      </c>
      <c r="H6" s="3744"/>
      <c r="I6" s="3743" t="s">
        <v>1677</v>
      </c>
      <c r="J6" s="3744"/>
      <c r="K6" s="559" t="s">
        <v>1678</v>
      </c>
      <c r="L6" s="2712"/>
      <c r="M6" s="2713"/>
      <c r="N6" s="2713"/>
      <c r="O6" s="2713"/>
      <c r="P6" s="3763"/>
      <c r="Q6" s="3735"/>
      <c r="R6" s="3738"/>
      <c r="S6" s="3739"/>
      <c r="T6" s="3740"/>
      <c r="U6" s="3741"/>
      <c r="V6" s="3742"/>
      <c r="W6" s="3742"/>
      <c r="X6" s="1355"/>
      <c r="Y6" s="3740"/>
      <c r="Z6" s="3741"/>
      <c r="AA6" s="3725"/>
      <c r="AB6" s="3725"/>
      <c r="AC6" s="3759"/>
    </row>
    <row r="7" spans="1:29" s="108" customFormat="1" ht="15.75" thickBot="1">
      <c r="A7" s="362" t="s">
        <v>1679</v>
      </c>
      <c r="B7" s="363"/>
      <c r="C7" s="364">
        <f>'数据-取费表'!B2</f>
        <v>45005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7"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2"/>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22"/>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22"/>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22"/>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21"/>
      <c r="Q16" s="1352"/>
      <c r="R16" s="705"/>
      <c r="S16" s="706"/>
      <c r="T16" s="705"/>
      <c r="U16" s="706"/>
      <c r="V16" s="705"/>
      <c r="W16" s="706"/>
      <c r="X16" s="1355"/>
      <c r="Y16" s="3714"/>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21"/>
      <c r="Q18" s="1352"/>
      <c r="R18" s="705"/>
      <c r="S18" s="706"/>
      <c r="T18" s="705"/>
      <c r="U18" s="706"/>
      <c r="V18" s="705"/>
      <c r="W18" s="706"/>
      <c r="X18" s="1355"/>
      <c r="Y18" s="3714"/>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21"/>
      <c r="Q20" s="1352"/>
      <c r="R20" s="705"/>
      <c r="S20" s="706"/>
      <c r="T20" s="705"/>
      <c r="U20" s="706"/>
      <c r="V20" s="705"/>
      <c r="W20" s="706"/>
      <c r="X20" s="1355"/>
      <c r="Y20" s="3714"/>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21"/>
      <c r="Q22" s="1352"/>
      <c r="R22" s="705"/>
      <c r="S22" s="706"/>
      <c r="T22" s="705"/>
      <c r="U22" s="706"/>
      <c r="V22" s="705"/>
      <c r="W22" s="706"/>
      <c r="X22" s="1355"/>
      <c r="Y22" s="3714"/>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22"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2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40083.94000000001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913"/>
      <c r="M5" s="914"/>
      <c r="N5" s="914"/>
      <c r="O5" s="914"/>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913"/>
      <c r="M6" s="914"/>
      <c r="N6" s="914"/>
      <c r="O6" s="914"/>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45005</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2"/>
      <c r="M5" s="2713"/>
      <c r="N5" s="2713"/>
      <c r="O5" s="2713"/>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2"/>
      <c r="M6" s="2713"/>
      <c r="N6" s="2713"/>
      <c r="O6" s="2713"/>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45005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1"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1"/>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14"/>
      <c r="Q15" s="1352"/>
      <c r="R15" s="705"/>
      <c r="S15" s="706"/>
      <c r="T15" s="705"/>
      <c r="U15" s="706"/>
      <c r="V15" s="705"/>
      <c r="W15" s="706"/>
      <c r="X15" s="1355"/>
      <c r="Y15" s="371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14"/>
      <c r="Q17" s="1352"/>
      <c r="R17" s="705"/>
      <c r="S17" s="706"/>
      <c r="T17" s="705"/>
      <c r="U17" s="706"/>
      <c r="V17" s="705"/>
      <c r="W17" s="706"/>
      <c r="X17" s="1355"/>
      <c r="Y17" s="371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14"/>
      <c r="Q19" s="1352"/>
      <c r="R19" s="705"/>
      <c r="S19" s="706"/>
      <c r="T19" s="705"/>
      <c r="U19" s="706"/>
      <c r="V19" s="705"/>
      <c r="W19" s="706"/>
      <c r="X19" s="1355"/>
      <c r="Y19" s="3714"/>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1"/>
      <c r="M37" s="2722"/>
      <c r="N37" s="2713"/>
      <c r="O37" s="2722"/>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08" t="str">
        <f>A39</f>
        <v>估价对象XX用房的比较价值（楼面单价，元/平方米）</v>
      </c>
      <c r="Q39" s="3709"/>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2"/>
      <c r="M5" s="2713"/>
      <c r="N5" s="2713"/>
      <c r="O5" s="2713"/>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2"/>
      <c r="M6" s="2713"/>
      <c r="N6" s="2713"/>
      <c r="O6" s="2713"/>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45005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1"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1"/>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14"/>
      <c r="Q15" s="1352"/>
      <c r="R15" s="705"/>
      <c r="S15" s="706"/>
      <c r="T15" s="705"/>
      <c r="U15" s="706"/>
      <c r="V15" s="705"/>
      <c r="W15" s="706"/>
      <c r="X15" s="1355"/>
      <c r="Y15" s="371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14"/>
      <c r="Q17" s="1352"/>
      <c r="R17" s="705"/>
      <c r="S17" s="706"/>
      <c r="T17" s="705"/>
      <c r="U17" s="706"/>
      <c r="V17" s="705"/>
      <c r="W17" s="706"/>
      <c r="X17" s="1355"/>
      <c r="Y17" s="371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14"/>
      <c r="Q19" s="1352"/>
      <c r="R19" s="705"/>
      <c r="S19" s="706"/>
      <c r="T19" s="705"/>
      <c r="U19" s="706"/>
      <c r="V19" s="705"/>
      <c r="W19" s="706"/>
      <c r="X19" s="1355"/>
      <c r="Y19" s="3714"/>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6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08" t="str">
        <f>A37</f>
        <v>估价对象XX用房的比较价值（楼面单价，元/平方米）</v>
      </c>
      <c r="Q37" s="3709"/>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30" ht="15">
      <c r="A5" s="358"/>
      <c r="B5" s="359"/>
      <c r="C5" s="3745" t="s">
        <v>1673</v>
      </c>
      <c r="D5" s="3746"/>
      <c r="E5" s="3752" t="s">
        <v>1674</v>
      </c>
      <c r="F5" s="3753"/>
      <c r="G5" s="3745" t="s">
        <v>1675</v>
      </c>
      <c r="H5" s="3746"/>
      <c r="I5" s="3745" t="s">
        <v>1676</v>
      </c>
      <c r="J5" s="3746"/>
      <c r="K5" s="559"/>
      <c r="L5" s="2712"/>
      <c r="M5" s="2713"/>
      <c r="N5" s="2713"/>
      <c r="O5" s="2713"/>
      <c r="P5" s="3732"/>
      <c r="Q5" s="3733"/>
      <c r="R5" s="3738"/>
      <c r="S5" s="3739"/>
      <c r="T5" s="3738"/>
      <c r="U5" s="3739"/>
      <c r="V5" s="3742"/>
      <c r="W5" s="3742"/>
      <c r="X5" s="1355"/>
      <c r="Y5" s="3738"/>
      <c r="Z5" s="3739"/>
      <c r="AA5" s="3724"/>
      <c r="AB5" s="3724"/>
      <c r="AC5" s="3724"/>
    </row>
    <row r="6" spans="1:30" ht="15.75" thickBot="1">
      <c r="A6" s="360"/>
      <c r="B6" s="361"/>
      <c r="C6" s="3743" t="s">
        <v>1677</v>
      </c>
      <c r="D6" s="3744"/>
      <c r="E6" s="3750" t="s">
        <v>1677</v>
      </c>
      <c r="F6" s="3751"/>
      <c r="G6" s="3743" t="s">
        <v>1677</v>
      </c>
      <c r="H6" s="3744"/>
      <c r="I6" s="3743" t="s">
        <v>1677</v>
      </c>
      <c r="J6" s="3744"/>
      <c r="K6" s="559" t="s">
        <v>1678</v>
      </c>
      <c r="L6" s="2712"/>
      <c r="M6" s="2713"/>
      <c r="N6" s="2713"/>
      <c r="O6" s="2713"/>
      <c r="P6" s="3734"/>
      <c r="Q6" s="3735"/>
      <c r="R6" s="3738"/>
      <c r="S6" s="3739"/>
      <c r="T6" s="3740"/>
      <c r="U6" s="3741"/>
      <c r="V6" s="3742"/>
      <c r="W6" s="3742"/>
      <c r="X6" s="1355"/>
      <c r="Y6" s="3740"/>
      <c r="Z6" s="3741"/>
      <c r="AA6" s="3725"/>
      <c r="AB6" s="3725"/>
      <c r="AC6" s="3725"/>
    </row>
    <row r="7" spans="1:30" s="108" customFormat="1" ht="15.75" thickBot="1">
      <c r="A7" s="362" t="s">
        <v>1679</v>
      </c>
      <c r="B7" s="363"/>
      <c r="C7" s="364">
        <f>'数据-取费表'!B2</f>
        <v>45005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47" t="s">
        <v>1683</v>
      </c>
      <c r="Q8" s="3748"/>
      <c r="R8" s="701" t="s">
        <v>14</v>
      </c>
      <c r="S8" s="702">
        <f t="shared" si="0"/>
        <v>0</v>
      </c>
      <c r="T8" s="701" t="s">
        <v>14</v>
      </c>
      <c r="U8" s="702">
        <f t="shared" si="1"/>
        <v>0</v>
      </c>
      <c r="V8" s="701" t="s">
        <v>14</v>
      </c>
      <c r="W8" s="702">
        <f t="shared" si="2"/>
        <v>0</v>
      </c>
      <c r="X8" s="703"/>
      <c r="Y8" s="3747" t="s">
        <v>1683</v>
      </c>
      <c r="Z8" s="374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6"/>
      <c r="M10" s="2717"/>
      <c r="N10" s="2717"/>
      <c r="O10" s="2770"/>
      <c r="P10" s="3711"/>
      <c r="Q10" s="1343" t="str">
        <f t="shared" si="6"/>
        <v>土地使用年限（年）</v>
      </c>
      <c r="R10" s="701" t="s">
        <v>14</v>
      </c>
      <c r="S10" s="702">
        <f t="shared" si="0"/>
        <v>131</v>
      </c>
      <c r="T10" s="701" t="s">
        <v>14</v>
      </c>
      <c r="U10" s="702">
        <f t="shared" si="1"/>
        <v>131</v>
      </c>
      <c r="V10" s="701" t="s">
        <v>14</v>
      </c>
      <c r="W10" s="702">
        <f t="shared" si="2"/>
        <v>131</v>
      </c>
      <c r="X10" s="703"/>
      <c r="Y10" s="3567"/>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1"/>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1"/>
      <c r="Q12" s="1343" t="str">
        <f t="shared" si="6"/>
        <v>配建</v>
      </c>
      <c r="R12" s="701" t="s">
        <v>14</v>
      </c>
      <c r="S12" s="702">
        <f t="shared" si="0"/>
        <v>100</v>
      </c>
      <c r="T12" s="701" t="s">
        <v>14</v>
      </c>
      <c r="U12" s="702">
        <f t="shared" si="1"/>
        <v>100</v>
      </c>
      <c r="V12" s="701" t="s">
        <v>14</v>
      </c>
      <c r="W12" s="702">
        <f t="shared" si="2"/>
        <v>100</v>
      </c>
      <c r="X12" s="703"/>
      <c r="Y12" s="356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14"/>
      <c r="Q16" s="1352"/>
      <c r="R16" s="705"/>
      <c r="S16" s="706"/>
      <c r="T16" s="705"/>
      <c r="U16" s="706"/>
      <c r="V16" s="705"/>
      <c r="W16" s="706"/>
      <c r="X16" s="1355"/>
      <c r="Y16" s="3714"/>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14"/>
      <c r="Q18" s="1352"/>
      <c r="R18" s="705"/>
      <c r="S18" s="706"/>
      <c r="T18" s="705"/>
      <c r="U18" s="706"/>
      <c r="V18" s="705"/>
      <c r="W18" s="706"/>
      <c r="X18" s="1355"/>
      <c r="Y18" s="3714"/>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14"/>
      <c r="Q20" s="1352"/>
      <c r="R20" s="705"/>
      <c r="S20" s="706"/>
      <c r="T20" s="705"/>
      <c r="U20" s="706"/>
      <c r="V20" s="705"/>
      <c r="W20" s="706"/>
      <c r="X20" s="1355"/>
      <c r="Y20" s="371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14"/>
      <c r="Q24" s="1352"/>
      <c r="R24" s="705"/>
      <c r="S24" s="706"/>
      <c r="T24" s="705"/>
      <c r="U24" s="706"/>
      <c r="V24" s="705"/>
      <c r="W24" s="706"/>
      <c r="X24" s="1355"/>
      <c r="Y24" s="3714"/>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14"/>
      <c r="Q26" s="1352"/>
      <c r="R26" s="705"/>
      <c r="S26" s="706"/>
      <c r="T26" s="705"/>
      <c r="U26" s="706"/>
      <c r="V26" s="705"/>
      <c r="W26" s="706"/>
      <c r="X26" s="1355"/>
      <c r="Y26" s="371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14"/>
      <c r="Q28" s="1343"/>
      <c r="R28" s="701"/>
      <c r="S28" s="702"/>
      <c r="T28" s="701"/>
      <c r="U28" s="702"/>
      <c r="V28" s="701"/>
      <c r="W28" s="702"/>
      <c r="X28" s="703"/>
      <c r="Y28" s="371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9"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11" t="str">
        <f>A46</f>
        <v>成交单价</v>
      </c>
      <c r="Q46" s="3711"/>
      <c r="R46" s="3742">
        <f>E46</f>
        <v>0</v>
      </c>
      <c r="S46" s="3742"/>
      <c r="T46" s="3742">
        <f>G46</f>
        <v>0</v>
      </c>
      <c r="U46" s="3742"/>
      <c r="V46" s="3742">
        <f>I46</f>
        <v>0</v>
      </c>
      <c r="W46" s="374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11" t="str">
        <f>A47</f>
        <v>比较价值（元/平方米）</v>
      </c>
      <c r="Q47" s="3711"/>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08" t="str">
        <f>A48</f>
        <v>估价对象XX用房的比较价值（楼面单价，元/平方米）</v>
      </c>
      <c r="Q48" s="3709"/>
      <c r="R48" s="3772" t="e">
        <f>ROUND(IF(D47="简单平均",AVERAGE(R47:W47),R47*F47+T47*H47+V47*J47),0)</f>
        <v>#DIV/0!</v>
      </c>
      <c r="S48" s="3772"/>
      <c r="T48" s="3772"/>
      <c r="U48" s="3772"/>
      <c r="V48" s="3772"/>
      <c r="W48" s="377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26" t="s">
        <v>1887</v>
      </c>
      <c r="H55" s="3773"/>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20786.170000000002</v>
      </c>
      <c r="F56" s="886" t="e">
        <f t="shared" ref="F56:F64" si="15">ROUND(B56*E56/10000,0)</f>
        <v>#DIV/0!</v>
      </c>
      <c r="G56" s="3722"/>
      <c r="H56" s="371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0.6</v>
      </c>
      <c r="D57" s="945">
        <v>0.25</v>
      </c>
      <c r="E57" s="642"/>
      <c r="F57" s="886" t="e">
        <f t="shared" si="15"/>
        <v>#DIV/0!</v>
      </c>
      <c r="G57" s="3003" t="s">
        <v>1892</v>
      </c>
      <c r="H57" s="887" t="str">
        <f>项目基本情况!B37</f>
        <v>三级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0.3</v>
      </c>
      <c r="D58" s="945">
        <v>0.25</v>
      </c>
      <c r="E58" s="642"/>
      <c r="F58" s="886" t="e">
        <f t="shared" si="15"/>
        <v>#DIV/0!</v>
      </c>
      <c r="G58" s="3004"/>
      <c r="H58" s="887" t="str">
        <f>项目基本情况!B37</f>
        <v>三级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0.25</v>
      </c>
      <c r="D59" s="945">
        <v>0.25</v>
      </c>
      <c r="E59" s="642"/>
      <c r="F59" s="886" t="e">
        <f t="shared" si="15"/>
        <v>#DIV/0!</v>
      </c>
      <c r="G59" s="3004"/>
      <c r="H59" s="887" t="str">
        <f>项目基本情况!B37</f>
        <v>三级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三级</v>
      </c>
      <c r="I60" s="891">
        <f>SUMIF(修正!A57:A68,H60,修正!E57:E68)</f>
        <v>0.25</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20786.170000000002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2"/>
      <c r="M5" s="2713"/>
      <c r="N5" s="2713"/>
      <c r="O5" s="2713"/>
      <c r="P5" s="3732"/>
      <c r="Q5" s="3733"/>
      <c r="R5" s="3738"/>
      <c r="S5" s="3739"/>
      <c r="T5" s="3738"/>
      <c r="U5" s="3739"/>
      <c r="V5" s="3742"/>
      <c r="W5" s="3742"/>
      <c r="X5" s="1355"/>
      <c r="Y5" s="3738"/>
      <c r="Z5" s="3739"/>
      <c r="AA5" s="3724"/>
      <c r="AB5" s="3724"/>
      <c r="AC5" s="3724"/>
    </row>
    <row r="6" spans="1:29" ht="15.75" thickBot="1">
      <c r="A6" s="360"/>
      <c r="B6" s="361"/>
      <c r="C6" s="3774" t="s">
        <v>1919</v>
      </c>
      <c r="D6" s="3775"/>
      <c r="E6" s="3776" t="s">
        <v>1919</v>
      </c>
      <c r="F6" s="3777"/>
      <c r="G6" s="3774" t="s">
        <v>1919</v>
      </c>
      <c r="H6" s="3775"/>
      <c r="I6" s="3774" t="s">
        <v>1919</v>
      </c>
      <c r="J6" s="3775"/>
      <c r="K6" s="559" t="s">
        <v>1678</v>
      </c>
      <c r="L6" s="2712"/>
      <c r="M6" s="2713"/>
      <c r="N6" s="2713"/>
      <c r="O6" s="2713"/>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45005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47" t="s">
        <v>1683</v>
      </c>
      <c r="Q8" s="3748"/>
      <c r="R8" s="701" t="s">
        <v>14</v>
      </c>
      <c r="S8" s="702">
        <f t="shared" si="0"/>
        <v>0</v>
      </c>
      <c r="T8" s="701" t="s">
        <v>14</v>
      </c>
      <c r="U8" s="702">
        <f t="shared" si="1"/>
        <v>0</v>
      </c>
      <c r="V8" s="701" t="s">
        <v>14</v>
      </c>
      <c r="W8" s="702">
        <f t="shared" si="2"/>
        <v>0</v>
      </c>
      <c r="X8" s="703"/>
      <c r="Y8" s="3747" t="s">
        <v>1683</v>
      </c>
      <c r="Z8" s="374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6"/>
      <c r="M10" s="2717"/>
      <c r="N10" s="2717"/>
      <c r="O10" s="2770"/>
      <c r="P10" s="3711"/>
      <c r="Q10" s="1343" t="str">
        <f t="shared" si="6"/>
        <v>土地使用年限（年）</v>
      </c>
      <c r="R10" s="701" t="s">
        <v>14</v>
      </c>
      <c r="S10" s="702">
        <f t="shared" si="0"/>
        <v>131</v>
      </c>
      <c r="T10" s="701" t="s">
        <v>14</v>
      </c>
      <c r="U10" s="702">
        <f t="shared" si="1"/>
        <v>131</v>
      </c>
      <c r="V10" s="701" t="s">
        <v>14</v>
      </c>
      <c r="W10" s="702">
        <f t="shared" si="2"/>
        <v>131</v>
      </c>
      <c r="X10" s="703"/>
      <c r="Y10" s="3567"/>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1"/>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9"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11" t="str">
        <f>A41</f>
        <v>成交单价</v>
      </c>
      <c r="Q41" s="3711"/>
      <c r="R41" s="3742">
        <f>E41</f>
        <v>0</v>
      </c>
      <c r="S41" s="3742"/>
      <c r="T41" s="3742">
        <f>G41</f>
        <v>0</v>
      </c>
      <c r="U41" s="3742"/>
      <c r="V41" s="3742">
        <f>I41</f>
        <v>0</v>
      </c>
      <c r="W41" s="374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11" t="str">
        <f>A42</f>
        <v>比较价值（元/平方米）</v>
      </c>
      <c r="Q42" s="3711"/>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08" t="str">
        <f>A43</f>
        <v>估价对象XX用房的比较价值（楼面单价，元/平方米）</v>
      </c>
      <c r="Q43" s="3709"/>
      <c r="R43" s="3772" t="e">
        <f>ROUND(IF(D42="简单平均",AVERAGE(R42:W42),R42*F42+T42*H42+V42*J42),0)</f>
        <v>#DIV/0!</v>
      </c>
      <c r="S43" s="3772"/>
      <c r="T43" s="3772"/>
      <c r="U43" s="3772"/>
      <c r="V43" s="3772"/>
      <c r="W43" s="377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26" t="s">
        <v>1887</v>
      </c>
      <c r="H50" s="3773"/>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20786.170000000002</v>
      </c>
      <c r="F51" s="639" t="e">
        <f t="shared" ref="F51:F60" si="15">ROUND(B51*E51/10000,0)</f>
        <v>#DIV/0!</v>
      </c>
      <c r="G51" s="3722"/>
      <c r="H51" s="371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0.6</v>
      </c>
      <c r="D52" s="945">
        <v>0.25</v>
      </c>
      <c r="E52" s="642"/>
      <c r="F52" s="639" t="e">
        <f t="shared" si="15"/>
        <v>#DIV/0!</v>
      </c>
      <c r="G52" s="3003" t="s">
        <v>1892</v>
      </c>
      <c r="H52" s="887" t="str">
        <f>项目基本情况!B37</f>
        <v>三级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0.3</v>
      </c>
      <c r="D53" s="945">
        <v>0.25</v>
      </c>
      <c r="E53" s="642"/>
      <c r="F53" s="639" t="e">
        <f t="shared" si="15"/>
        <v>#DIV/0!</v>
      </c>
      <c r="G53" s="3004"/>
      <c r="H53" s="887" t="str">
        <f>项目基本情况!B37</f>
        <v>三级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0.25</v>
      </c>
      <c r="D54" s="945">
        <v>0.25</v>
      </c>
      <c r="E54" s="642"/>
      <c r="F54" s="639" t="e">
        <f t="shared" si="15"/>
        <v>#DIV/0!</v>
      </c>
      <c r="G54" s="3004"/>
      <c r="H54" s="887" t="str">
        <f>项目基本情况!B37</f>
        <v>三级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三级</v>
      </c>
      <c r="I56" s="773">
        <f>SUMIF(修正!A57:A68,H56,修正!E57:E68)</f>
        <v>0.25</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4272.76</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1" t="s">
        <v>2084</v>
      </c>
      <c r="D1" s="3782"/>
      <c r="E1" s="3782"/>
      <c r="F1" s="3782"/>
      <c r="G1" s="3782"/>
      <c r="H1" s="3782"/>
      <c r="I1" s="3782"/>
      <c r="J1" s="3782"/>
      <c r="K1" s="3782"/>
      <c r="L1" s="3782"/>
      <c r="M1" s="3782"/>
      <c r="N1" s="3782"/>
      <c r="O1" s="3782"/>
      <c r="P1" s="3782"/>
      <c r="Q1" s="3782"/>
      <c r="R1" s="3782"/>
      <c r="S1" s="378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0</v>
      </c>
      <c r="C2" s="2145" t="s">
        <v>2074</v>
      </c>
      <c r="D2" s="2145" t="s">
        <v>2075</v>
      </c>
      <c r="E2" s="2610">
        <f ca="1">SUMIF(E6:E13,"&lt;&gt;#ref!",E6:E13)</f>
        <v>0</v>
      </c>
      <c r="F2" s="2790"/>
      <c r="G2" s="2790"/>
      <c r="H2" s="2790"/>
      <c r="I2" s="2790"/>
      <c r="J2" s="2790"/>
      <c r="K2" s="2790"/>
      <c r="L2" s="2790"/>
      <c r="M2" s="2790"/>
      <c r="N2" s="2790"/>
      <c r="O2" s="2790"/>
      <c r="P2" s="2790"/>
    </row>
    <row r="3" spans="1:16" ht="15.75">
      <c r="A3" s="2145" t="s">
        <v>2076</v>
      </c>
      <c r="B3" s="2600"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#REF!</v>
      </c>
      <c r="C6" s="2145" t="s">
        <v>2074</v>
      </c>
      <c r="D6" s="2790"/>
      <c r="E6" s="2610" t="e">
        <f ca="1">SUMIF(INDIRECT("'"&amp;A6&amp;"'"&amp;"!C:C"),"建筑面积",INDIRECT("'"&amp;A6&amp;"'"&amp;"!D:D"))</f>
        <v>#REF!</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93" t="s">
        <v>2606</v>
      </c>
      <c r="B20" s="3788" t="s">
        <v>2627</v>
      </c>
      <c r="C20" s="3100" t="s">
        <v>2438</v>
      </c>
      <c r="D20" s="3101"/>
      <c r="E20" s="3102">
        <v>1</v>
      </c>
      <c r="F20" s="3103" t="s">
        <v>2439</v>
      </c>
      <c r="G20" s="3103"/>
    </row>
    <row r="21" spans="1:13" ht="19.5" customHeight="1">
      <c r="A21" s="3794"/>
      <c r="B21" s="3787"/>
      <c r="C21" s="3104" t="s">
        <v>2440</v>
      </c>
      <c r="D21" s="3105"/>
      <c r="E21" s="3106">
        <v>1</v>
      </c>
      <c r="F21" s="3103" t="s">
        <v>2441</v>
      </c>
      <c r="G21" s="3103"/>
    </row>
    <row r="22" spans="1:13" ht="19.5" customHeight="1">
      <c r="A22" s="3794"/>
      <c r="B22" s="3787"/>
      <c r="C22" s="3104" t="s">
        <v>2442</v>
      </c>
      <c r="D22" s="3105"/>
      <c r="E22" s="3106">
        <v>0.9</v>
      </c>
      <c r="F22" s="3103" t="s">
        <v>2443</v>
      </c>
      <c r="G22" s="3103"/>
    </row>
    <row r="23" spans="1:13" ht="19.5" customHeight="1">
      <c r="A23" s="3794"/>
      <c r="B23" s="3787"/>
      <c r="C23" s="3104" t="s">
        <v>2444</v>
      </c>
      <c r="D23" s="3105"/>
      <c r="E23" s="3106">
        <v>0.9</v>
      </c>
      <c r="F23" s="3103" t="s">
        <v>2445</v>
      </c>
      <c r="G23" s="3103"/>
    </row>
    <row r="24" spans="1:13" ht="19.5" customHeight="1">
      <c r="A24" s="3794"/>
      <c r="B24" s="3787"/>
      <c r="C24" s="3104" t="s">
        <v>2446</v>
      </c>
      <c r="D24" s="3105"/>
      <c r="E24" s="3106">
        <v>0.8</v>
      </c>
      <c r="F24" s="3103" t="s">
        <v>2447</v>
      </c>
      <c r="G24" s="3103"/>
    </row>
    <row r="25" spans="1:13" ht="19.5" customHeight="1" thickBot="1">
      <c r="A25" s="3795"/>
      <c r="B25" s="3789"/>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0" t="s">
        <v>2630</v>
      </c>
      <c r="B27" s="3788" t="s">
        <v>2611</v>
      </c>
      <c r="C27" s="3100" t="s">
        <v>2451</v>
      </c>
      <c r="D27" s="3101"/>
      <c r="E27" s="3102">
        <v>1</v>
      </c>
      <c r="F27" s="3103" t="s">
        <v>2452</v>
      </c>
      <c r="G27" s="3103"/>
    </row>
    <row r="28" spans="1:13" ht="19.5" customHeight="1">
      <c r="A28" s="3791"/>
      <c r="B28" s="3787"/>
      <c r="C28" s="3104" t="s">
        <v>2453</v>
      </c>
      <c r="D28" s="3105"/>
      <c r="E28" s="3106">
        <v>1</v>
      </c>
      <c r="F28" s="3103" t="s">
        <v>2454</v>
      </c>
      <c r="G28" s="3103"/>
    </row>
    <row r="29" spans="1:13" ht="19.5" customHeight="1">
      <c r="A29" s="3791"/>
      <c r="B29" s="3787"/>
      <c r="C29" s="3104" t="s">
        <v>2455</v>
      </c>
      <c r="D29" s="3105"/>
      <c r="E29" s="3106">
        <v>0.8</v>
      </c>
      <c r="F29" s="3103" t="s">
        <v>2456</v>
      </c>
      <c r="G29" s="3103"/>
    </row>
    <row r="30" spans="1:13" ht="19.5" customHeight="1">
      <c r="A30" s="3791"/>
      <c r="B30" s="3787"/>
      <c r="C30" s="3104" t="s">
        <v>2457</v>
      </c>
      <c r="D30" s="3105"/>
      <c r="E30" s="3106">
        <v>0.8</v>
      </c>
      <c r="F30" s="3103" t="s">
        <v>2458</v>
      </c>
      <c r="G30" s="3103"/>
    </row>
    <row r="31" spans="1:13" ht="19.5" customHeight="1">
      <c r="A31" s="3791"/>
      <c r="B31" s="3787"/>
      <c r="C31" s="3104" t="s">
        <v>2459</v>
      </c>
      <c r="D31" s="3105"/>
      <c r="E31" s="3106">
        <v>0.8</v>
      </c>
      <c r="F31" s="3103" t="s">
        <v>2460</v>
      </c>
      <c r="G31" s="3103"/>
    </row>
    <row r="32" spans="1:13" ht="19.5" customHeight="1">
      <c r="A32" s="3791"/>
      <c r="B32" s="3787"/>
      <c r="C32" s="3104" t="s">
        <v>2461</v>
      </c>
      <c r="D32" s="3105"/>
      <c r="E32" s="3106">
        <v>0.7</v>
      </c>
      <c r="F32" s="3103" t="s">
        <v>2462</v>
      </c>
      <c r="G32" s="3103"/>
    </row>
    <row r="33" spans="1:7" ht="19.5" customHeight="1">
      <c r="A33" s="3791"/>
      <c r="B33" s="3787"/>
      <c r="C33" s="3104" t="s">
        <v>2463</v>
      </c>
      <c r="D33" s="3105"/>
      <c r="E33" s="3106">
        <v>0.8</v>
      </c>
      <c r="F33" s="3103" t="s">
        <v>2464</v>
      </c>
      <c r="G33" s="3103"/>
    </row>
    <row r="34" spans="1:7" ht="19.5" customHeight="1">
      <c r="A34" s="3791"/>
      <c r="B34" s="3787"/>
      <c r="C34" s="3104" t="s">
        <v>2465</v>
      </c>
      <c r="D34" s="3105"/>
      <c r="E34" s="3106">
        <v>0.6</v>
      </c>
      <c r="F34" s="3103" t="s">
        <v>2466</v>
      </c>
      <c r="G34" s="3103"/>
    </row>
    <row r="35" spans="1:7" ht="19.5" customHeight="1">
      <c r="A35" s="3791"/>
      <c r="B35" s="3787"/>
      <c r="C35" s="3104" t="s">
        <v>2467</v>
      </c>
      <c r="D35" s="3105"/>
      <c r="E35" s="3106">
        <v>0.2</v>
      </c>
      <c r="F35" s="3103" t="s">
        <v>2468</v>
      </c>
      <c r="G35" s="3103"/>
    </row>
    <row r="36" spans="1:7" ht="19.5" customHeight="1">
      <c r="A36" s="3791"/>
      <c r="B36" s="3787"/>
      <c r="C36" s="3104" t="s">
        <v>2469</v>
      </c>
      <c r="D36" s="3105"/>
      <c r="E36" s="3106">
        <v>0.2</v>
      </c>
      <c r="F36" s="3103" t="s">
        <v>2470</v>
      </c>
      <c r="G36" s="3103"/>
    </row>
    <row r="37" spans="1:7" ht="19.5" customHeight="1">
      <c r="A37" s="3791"/>
      <c r="B37" s="3785" t="s">
        <v>2631</v>
      </c>
      <c r="C37" s="3104" t="s">
        <v>2471</v>
      </c>
      <c r="D37" s="3105"/>
      <c r="E37" s="3106">
        <v>0.6</v>
      </c>
      <c r="F37" s="3103" t="s">
        <v>2472</v>
      </c>
      <c r="G37" s="3103"/>
    </row>
    <row r="38" spans="1:7" ht="19.5" customHeight="1">
      <c r="A38" s="3791"/>
      <c r="B38" s="3787"/>
      <c r="C38" s="3104" t="s">
        <v>2473</v>
      </c>
      <c r="D38" s="3105"/>
      <c r="E38" s="3106">
        <v>0.6</v>
      </c>
      <c r="F38" s="3103" t="s">
        <v>2474</v>
      </c>
      <c r="G38" s="3103"/>
    </row>
    <row r="39" spans="1:7" ht="19.5" customHeight="1" thickBot="1">
      <c r="A39" s="3792"/>
      <c r="B39" s="3789"/>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93" t="s">
        <v>2609</v>
      </c>
      <c r="B41" s="3788" t="s">
        <v>2633</v>
      </c>
      <c r="C41" s="3100" t="s">
        <v>2478</v>
      </c>
      <c r="D41" s="3101"/>
      <c r="E41" s="3102">
        <v>1</v>
      </c>
      <c r="F41" s="3103" t="s">
        <v>2479</v>
      </c>
      <c r="G41" s="3103"/>
    </row>
    <row r="42" spans="1:7" ht="19.5" customHeight="1">
      <c r="A42" s="3794"/>
      <c r="B42" s="3787"/>
      <c r="C42" s="3104" t="s">
        <v>2480</v>
      </c>
      <c r="D42" s="3105"/>
      <c r="E42" s="3106">
        <v>1</v>
      </c>
      <c r="F42" s="3103" t="s">
        <v>2481</v>
      </c>
      <c r="G42" s="3103"/>
    </row>
    <row r="43" spans="1:7" ht="19.5" customHeight="1">
      <c r="A43" s="3794"/>
      <c r="B43" s="3786"/>
      <c r="C43" s="3104" t="s">
        <v>2482</v>
      </c>
      <c r="D43" s="3105"/>
      <c r="E43" s="3106">
        <v>1.5</v>
      </c>
      <c r="F43" s="3103" t="s">
        <v>2483</v>
      </c>
      <c r="G43" s="3103"/>
    </row>
    <row r="44" spans="1:7" ht="19.5" customHeight="1">
      <c r="A44" s="3794"/>
      <c r="B44" s="3115" t="s">
        <v>2634</v>
      </c>
      <c r="C44" s="3104" t="s">
        <v>2635</v>
      </c>
      <c r="D44" s="3105"/>
      <c r="E44" s="3106">
        <v>2</v>
      </c>
      <c r="F44" s="3103" t="s">
        <v>2484</v>
      </c>
      <c r="G44" s="3103"/>
    </row>
    <row r="45" spans="1:7" ht="19.5" customHeight="1">
      <c r="A45" s="3794"/>
      <c r="B45" s="3785" t="s">
        <v>2636</v>
      </c>
      <c r="C45" s="3104" t="s">
        <v>2485</v>
      </c>
      <c r="D45" s="3105"/>
      <c r="E45" s="3106">
        <v>1</v>
      </c>
      <c r="F45" s="3103" t="s">
        <v>2486</v>
      </c>
      <c r="G45" s="3103"/>
    </row>
    <row r="46" spans="1:7" ht="19.5" customHeight="1">
      <c r="A46" s="3794"/>
      <c r="B46" s="3787"/>
      <c r="C46" s="3104" t="s">
        <v>2487</v>
      </c>
      <c r="D46" s="3105"/>
      <c r="E46" s="3106">
        <v>1</v>
      </c>
      <c r="F46" s="3103" t="s">
        <v>2488</v>
      </c>
      <c r="G46" s="3103"/>
    </row>
    <row r="47" spans="1:7" ht="19.5" customHeight="1">
      <c r="A47" s="3794"/>
      <c r="B47" s="3787"/>
      <c r="C47" s="3104" t="s">
        <v>2489</v>
      </c>
      <c r="D47" s="3105"/>
      <c r="E47" s="3106">
        <v>1</v>
      </c>
      <c r="F47" s="3103" t="s">
        <v>2490</v>
      </c>
      <c r="G47" s="3103"/>
    </row>
    <row r="48" spans="1:7" ht="19.5" customHeight="1">
      <c r="A48" s="3794"/>
      <c r="B48" s="3787"/>
      <c r="C48" s="3104" t="s">
        <v>2491</v>
      </c>
      <c r="D48" s="3105"/>
      <c r="E48" s="3106">
        <v>1</v>
      </c>
      <c r="F48" s="3103" t="s">
        <v>2492</v>
      </c>
      <c r="G48" s="3103"/>
    </row>
    <row r="49" spans="1:7" ht="19.5" customHeight="1">
      <c r="A49" s="3794"/>
      <c r="B49" s="3787"/>
      <c r="C49" s="3104" t="s">
        <v>2493</v>
      </c>
      <c r="D49" s="3105"/>
      <c r="E49" s="3106">
        <v>1</v>
      </c>
      <c r="F49" s="3103" t="s">
        <v>2494</v>
      </c>
      <c r="G49" s="3103"/>
    </row>
    <row r="50" spans="1:7" ht="19.5" customHeight="1">
      <c r="A50" s="3794"/>
      <c r="B50" s="3787"/>
      <c r="C50" s="3104" t="s">
        <v>2495</v>
      </c>
      <c r="D50" s="3105"/>
      <c r="E50" s="3106">
        <v>1</v>
      </c>
      <c r="F50" s="3103" t="s">
        <v>2496</v>
      </c>
      <c r="G50" s="3103"/>
    </row>
    <row r="51" spans="1:7" ht="19.5" customHeight="1" thickBot="1">
      <c r="A51" s="3795"/>
      <c r="B51" s="3789"/>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85" t="s">
        <v>2650</v>
      </c>
      <c r="C73" s="3089" t="s">
        <v>2651</v>
      </c>
      <c r="D73" s="3089" t="s">
        <v>2652</v>
      </c>
      <c r="E73" s="3115">
        <v>0.2</v>
      </c>
      <c r="F73" s="3115">
        <v>25</v>
      </c>
    </row>
    <row r="74" spans="1:7" ht="24">
      <c r="A74" s="3115">
        <v>2</v>
      </c>
      <c r="B74" s="3787"/>
      <c r="C74" s="3089" t="s">
        <v>2653</v>
      </c>
      <c r="D74" s="3089" t="s">
        <v>2654</v>
      </c>
      <c r="E74" s="3115">
        <v>0.2</v>
      </c>
      <c r="F74" s="3115">
        <v>25</v>
      </c>
    </row>
    <row r="75" spans="1:7" ht="24">
      <c r="A75" s="3115">
        <v>3</v>
      </c>
      <c r="B75" s="3787"/>
      <c r="C75" s="3089" t="s">
        <v>2655</v>
      </c>
      <c r="D75" s="3089" t="s">
        <v>2656</v>
      </c>
      <c r="E75" s="3115">
        <v>0.2</v>
      </c>
      <c r="F75" s="3115">
        <v>25</v>
      </c>
    </row>
    <row r="76" spans="1:7" ht="13.5">
      <c r="A76" s="3115">
        <v>4</v>
      </c>
      <c r="B76" s="3787"/>
      <c r="C76" s="3089" t="s">
        <v>2657</v>
      </c>
      <c r="D76" s="3089" t="s">
        <v>2658</v>
      </c>
      <c r="E76" s="3115">
        <v>0.15</v>
      </c>
      <c r="F76" s="3115">
        <v>20</v>
      </c>
    </row>
    <row r="77" spans="1:7" ht="24">
      <c r="A77" s="3115">
        <v>5</v>
      </c>
      <c r="B77" s="3787"/>
      <c r="C77" s="3089" t="s">
        <v>2659</v>
      </c>
      <c r="D77" s="3089" t="s">
        <v>2660</v>
      </c>
      <c r="E77" s="3115">
        <v>0.15</v>
      </c>
      <c r="F77" s="3115">
        <v>20</v>
      </c>
    </row>
    <row r="78" spans="1:7" ht="24">
      <c r="A78" s="3115">
        <v>6</v>
      </c>
      <c r="B78" s="3787"/>
      <c r="C78" s="3089" t="s">
        <v>2661</v>
      </c>
      <c r="D78" s="3089" t="s">
        <v>2662</v>
      </c>
      <c r="E78" s="3115">
        <v>0.15</v>
      </c>
      <c r="F78" s="3115">
        <v>20</v>
      </c>
    </row>
    <row r="79" spans="1:7" ht="24">
      <c r="A79" s="3115">
        <v>7</v>
      </c>
      <c r="B79" s="3787"/>
      <c r="C79" s="3089" t="s">
        <v>2663</v>
      </c>
      <c r="D79" s="3089" t="s">
        <v>2664</v>
      </c>
      <c r="E79" s="3115">
        <v>0.15</v>
      </c>
      <c r="F79" s="3115">
        <v>20</v>
      </c>
    </row>
    <row r="80" spans="1:7" ht="24">
      <c r="A80" s="3115">
        <v>8</v>
      </c>
      <c r="B80" s="3787"/>
      <c r="C80" s="3089" t="s">
        <v>2665</v>
      </c>
      <c r="D80" s="3089" t="s">
        <v>2666</v>
      </c>
      <c r="E80" s="3115">
        <v>0.1</v>
      </c>
      <c r="F80" s="3115">
        <v>15</v>
      </c>
    </row>
    <row r="81" spans="1:6" ht="24">
      <c r="A81" s="3115">
        <v>9</v>
      </c>
      <c r="B81" s="3787"/>
      <c r="C81" s="3089" t="s">
        <v>2667</v>
      </c>
      <c r="D81" s="3089" t="s">
        <v>2668</v>
      </c>
      <c r="E81" s="3115">
        <v>0.1</v>
      </c>
      <c r="F81" s="3115">
        <v>15</v>
      </c>
    </row>
    <row r="82" spans="1:6" ht="24">
      <c r="A82" s="3115">
        <v>10</v>
      </c>
      <c r="B82" s="3787"/>
      <c r="C82" s="3089" t="s">
        <v>2669</v>
      </c>
      <c r="D82" s="3089" t="s">
        <v>2670</v>
      </c>
      <c r="E82" s="3115">
        <v>0.1</v>
      </c>
      <c r="F82" s="3115">
        <v>15</v>
      </c>
    </row>
    <row r="83" spans="1:6" ht="24">
      <c r="A83" s="3115">
        <v>11</v>
      </c>
      <c r="B83" s="3787"/>
      <c r="C83" s="3089" t="s">
        <v>2671</v>
      </c>
      <c r="D83" s="3089" t="s">
        <v>2672</v>
      </c>
      <c r="E83" s="3115">
        <v>0.1</v>
      </c>
      <c r="F83" s="3115">
        <v>15</v>
      </c>
    </row>
    <row r="84" spans="1:6" ht="24">
      <c r="A84" s="3115">
        <v>12</v>
      </c>
      <c r="B84" s="3787"/>
      <c r="C84" s="3089" t="s">
        <v>2673</v>
      </c>
      <c r="D84" s="3089" t="s">
        <v>2674</v>
      </c>
      <c r="E84" s="3115">
        <v>0.1</v>
      </c>
      <c r="F84" s="3115">
        <v>15</v>
      </c>
    </row>
    <row r="85" spans="1:6" ht="13.5">
      <c r="A85" s="3115">
        <v>13</v>
      </c>
      <c r="B85" s="3787"/>
      <c r="C85" s="3089" t="s">
        <v>2675</v>
      </c>
      <c r="D85" s="3089" t="s">
        <v>2676</v>
      </c>
      <c r="E85" s="3115">
        <v>0.1</v>
      </c>
      <c r="F85" s="3115">
        <v>15</v>
      </c>
    </row>
    <row r="86" spans="1:6" ht="13.5">
      <c r="A86" s="3115">
        <v>14</v>
      </c>
      <c r="B86" s="3787"/>
      <c r="C86" s="3089" t="s">
        <v>2677</v>
      </c>
      <c r="D86" s="3089" t="s">
        <v>2678</v>
      </c>
      <c r="E86" s="3115">
        <v>0.1</v>
      </c>
      <c r="F86" s="3115">
        <v>15</v>
      </c>
    </row>
    <row r="87" spans="1:6" ht="13.5">
      <c r="A87" s="3115">
        <v>15</v>
      </c>
      <c r="B87" s="3787"/>
      <c r="C87" s="3089" t="s">
        <v>2679</v>
      </c>
      <c r="D87" s="3089" t="s">
        <v>2680</v>
      </c>
      <c r="E87" s="3115">
        <v>0.1</v>
      </c>
      <c r="F87" s="3115">
        <v>15</v>
      </c>
    </row>
    <row r="88" spans="1:6" ht="24">
      <c r="A88" s="3115">
        <v>16</v>
      </c>
      <c r="B88" s="3787"/>
      <c r="C88" s="3089" t="s">
        <v>2681</v>
      </c>
      <c r="D88" s="3089" t="s">
        <v>2682</v>
      </c>
      <c r="E88" s="3115">
        <v>0.1</v>
      </c>
      <c r="F88" s="3115">
        <v>15</v>
      </c>
    </row>
    <row r="89" spans="1:6" ht="24">
      <c r="A89" s="3115">
        <v>17</v>
      </c>
      <c r="B89" s="3786"/>
      <c r="C89" s="3089" t="s">
        <v>2683</v>
      </c>
      <c r="D89" s="3089" t="s">
        <v>2684</v>
      </c>
      <c r="E89" s="3115">
        <v>0.1</v>
      </c>
      <c r="F89" s="3115">
        <v>15</v>
      </c>
    </row>
    <row r="90" spans="1:6" ht="13.5">
      <c r="A90" s="3115">
        <v>18</v>
      </c>
      <c r="B90" s="3785" t="s">
        <v>2685</v>
      </c>
      <c r="C90" s="3089" t="s">
        <v>2686</v>
      </c>
      <c r="D90" s="3089" t="s">
        <v>2687</v>
      </c>
      <c r="E90" s="3115">
        <v>0.2</v>
      </c>
      <c r="F90" s="3115">
        <v>25</v>
      </c>
    </row>
    <row r="91" spans="1:6" ht="24">
      <c r="A91" s="3115">
        <v>19</v>
      </c>
      <c r="B91" s="3787"/>
      <c r="C91" s="3089" t="s">
        <v>2688</v>
      </c>
      <c r="D91" s="3089" t="s">
        <v>2689</v>
      </c>
      <c r="E91" s="3115">
        <v>0.2</v>
      </c>
      <c r="F91" s="3115">
        <v>25</v>
      </c>
    </row>
    <row r="92" spans="1:6" ht="13.5">
      <c r="A92" s="3115">
        <v>20</v>
      </c>
      <c r="B92" s="3787"/>
      <c r="C92" s="3089" t="s">
        <v>2690</v>
      </c>
      <c r="D92" s="3089" t="s">
        <v>2691</v>
      </c>
      <c r="E92" s="3115">
        <v>0.15</v>
      </c>
      <c r="F92" s="3115">
        <v>20</v>
      </c>
    </row>
    <row r="93" spans="1:6" ht="13.5">
      <c r="A93" s="3115">
        <v>21</v>
      </c>
      <c r="B93" s="3787"/>
      <c r="C93" s="3089" t="s">
        <v>2692</v>
      </c>
      <c r="D93" s="3089" t="s">
        <v>2693</v>
      </c>
      <c r="E93" s="3115">
        <v>0.15</v>
      </c>
      <c r="F93" s="3115">
        <v>20</v>
      </c>
    </row>
    <row r="94" spans="1:6" ht="13.5">
      <c r="A94" s="3115">
        <v>22</v>
      </c>
      <c r="B94" s="3787"/>
      <c r="C94" s="3089" t="s">
        <v>2694</v>
      </c>
      <c r="D94" s="3089" t="s">
        <v>2695</v>
      </c>
      <c r="E94" s="3115">
        <v>0.15</v>
      </c>
      <c r="F94" s="3115">
        <v>20</v>
      </c>
    </row>
    <row r="95" spans="1:6" ht="36">
      <c r="A95" s="3115">
        <v>23</v>
      </c>
      <c r="B95" s="3787"/>
      <c r="C95" s="3089" t="s">
        <v>2696</v>
      </c>
      <c r="D95" s="3089" t="s">
        <v>2697</v>
      </c>
      <c r="E95" s="3115">
        <v>0.15</v>
      </c>
      <c r="F95" s="3115">
        <v>20</v>
      </c>
    </row>
    <row r="96" spans="1:6" ht="13.5">
      <c r="A96" s="3115">
        <v>24</v>
      </c>
      <c r="B96" s="3787"/>
      <c r="C96" s="3089" t="s">
        <v>2698</v>
      </c>
      <c r="D96" s="3089" t="s">
        <v>2699</v>
      </c>
      <c r="E96" s="3115">
        <v>0.1</v>
      </c>
      <c r="F96" s="3115">
        <v>15</v>
      </c>
    </row>
    <row r="97" spans="1:6" ht="13.5">
      <c r="A97" s="3115">
        <v>25</v>
      </c>
      <c r="B97" s="3787"/>
      <c r="C97" s="3089" t="s">
        <v>2700</v>
      </c>
      <c r="D97" s="3089" t="s">
        <v>2701</v>
      </c>
      <c r="E97" s="3115">
        <v>0.1</v>
      </c>
      <c r="F97" s="3115">
        <v>15</v>
      </c>
    </row>
    <row r="98" spans="1:6" ht="24">
      <c r="A98" s="3115">
        <v>26</v>
      </c>
      <c r="B98" s="3787"/>
      <c r="C98" s="3089" t="s">
        <v>2702</v>
      </c>
      <c r="D98" s="3089" t="s">
        <v>2703</v>
      </c>
      <c r="E98" s="3115">
        <v>0.1</v>
      </c>
      <c r="F98" s="3115">
        <v>15</v>
      </c>
    </row>
    <row r="99" spans="1:6" ht="24">
      <c r="A99" s="3115">
        <v>27</v>
      </c>
      <c r="B99" s="3787"/>
      <c r="C99" s="3089" t="s">
        <v>2704</v>
      </c>
      <c r="D99" s="3089" t="s">
        <v>2705</v>
      </c>
      <c r="E99" s="3115">
        <v>0.1</v>
      </c>
      <c r="F99" s="3115">
        <v>15</v>
      </c>
    </row>
    <row r="100" spans="1:6" ht="13.5">
      <c r="A100" s="3115">
        <v>28</v>
      </c>
      <c r="B100" s="3787"/>
      <c r="C100" s="3089" t="s">
        <v>2706</v>
      </c>
      <c r="D100" s="3089" t="s">
        <v>2707</v>
      </c>
      <c r="E100" s="3115">
        <v>0.1</v>
      </c>
      <c r="F100" s="3115">
        <v>15</v>
      </c>
    </row>
    <row r="101" spans="1:6" ht="13.5">
      <c r="A101" s="3115">
        <v>29</v>
      </c>
      <c r="B101" s="3787"/>
      <c r="C101" s="3089" t="s">
        <v>2708</v>
      </c>
      <c r="D101" s="3089" t="s">
        <v>2709</v>
      </c>
      <c r="E101" s="3115">
        <v>0.1</v>
      </c>
      <c r="F101" s="3115">
        <v>15</v>
      </c>
    </row>
    <row r="102" spans="1:6" ht="13.5">
      <c r="A102" s="3115">
        <v>30</v>
      </c>
      <c r="B102" s="3787"/>
      <c r="C102" s="3089" t="s">
        <v>2710</v>
      </c>
      <c r="D102" s="3089" t="s">
        <v>2711</v>
      </c>
      <c r="E102" s="3115">
        <v>0.1</v>
      </c>
      <c r="F102" s="3115">
        <v>15</v>
      </c>
    </row>
    <row r="103" spans="1:6" ht="24">
      <c r="A103" s="3115">
        <v>31</v>
      </c>
      <c r="B103" s="3787"/>
      <c r="C103" s="3089" t="s">
        <v>2712</v>
      </c>
      <c r="D103" s="3089" t="s">
        <v>2713</v>
      </c>
      <c r="E103" s="3115">
        <v>0.1</v>
      </c>
      <c r="F103" s="3115">
        <v>15</v>
      </c>
    </row>
    <row r="104" spans="1:6" ht="24">
      <c r="A104" s="3115">
        <v>32</v>
      </c>
      <c r="B104" s="3787"/>
      <c r="C104" s="3089" t="s">
        <v>2714</v>
      </c>
      <c r="D104" s="3089" t="s">
        <v>2715</v>
      </c>
      <c r="E104" s="3115">
        <v>0.1</v>
      </c>
      <c r="F104" s="3115">
        <v>15</v>
      </c>
    </row>
    <row r="105" spans="1:6" ht="24">
      <c r="A105" s="3115">
        <v>33</v>
      </c>
      <c r="B105" s="3787"/>
      <c r="C105" s="3089" t="s">
        <v>2716</v>
      </c>
      <c r="D105" s="3089" t="s">
        <v>2717</v>
      </c>
      <c r="E105" s="3115">
        <v>0.1</v>
      </c>
      <c r="F105" s="3115">
        <v>15</v>
      </c>
    </row>
    <row r="106" spans="1:6" ht="24">
      <c r="A106" s="3115">
        <v>34</v>
      </c>
      <c r="B106" s="3786"/>
      <c r="C106" s="3089" t="s">
        <v>2718</v>
      </c>
      <c r="D106" s="3089" t="s">
        <v>2719</v>
      </c>
      <c r="E106" s="3115">
        <v>0.1</v>
      </c>
      <c r="F106" s="3115">
        <v>15</v>
      </c>
    </row>
    <row r="107" spans="1:6" ht="24">
      <c r="A107" s="3115">
        <v>35</v>
      </c>
      <c r="B107" s="3785" t="s">
        <v>2720</v>
      </c>
      <c r="C107" s="3115" t="s">
        <v>2721</v>
      </c>
      <c r="D107" s="3089" t="s">
        <v>2722</v>
      </c>
      <c r="E107" s="3115">
        <v>0.15</v>
      </c>
      <c r="F107" s="3115">
        <v>20</v>
      </c>
    </row>
    <row r="108" spans="1:6" ht="13.5">
      <c r="A108" s="3115">
        <v>36</v>
      </c>
      <c r="B108" s="3787"/>
      <c r="C108" s="3115" t="s">
        <v>2723</v>
      </c>
      <c r="D108" s="3089" t="s">
        <v>2724</v>
      </c>
      <c r="E108" s="3115">
        <v>0.15</v>
      </c>
      <c r="F108" s="3115">
        <v>20</v>
      </c>
    </row>
    <row r="109" spans="1:6" ht="13.5">
      <c r="A109" s="3115">
        <v>37</v>
      </c>
      <c r="B109" s="3787"/>
      <c r="C109" s="3115" t="s">
        <v>2725</v>
      </c>
      <c r="D109" s="3089" t="s">
        <v>2726</v>
      </c>
      <c r="E109" s="3115">
        <v>0.15</v>
      </c>
      <c r="F109" s="3115">
        <v>20</v>
      </c>
    </row>
    <row r="110" spans="1:6" ht="13.5">
      <c r="A110" s="3115">
        <v>38</v>
      </c>
      <c r="B110" s="3787"/>
      <c r="C110" s="3115" t="s">
        <v>2727</v>
      </c>
      <c r="D110" s="3089" t="s">
        <v>2728</v>
      </c>
      <c r="E110" s="3115">
        <v>0.1</v>
      </c>
      <c r="F110" s="3115">
        <v>15</v>
      </c>
    </row>
    <row r="111" spans="1:6" ht="24">
      <c r="A111" s="3115">
        <v>39</v>
      </c>
      <c r="B111" s="3787"/>
      <c r="C111" s="3115" t="s">
        <v>2729</v>
      </c>
      <c r="D111" s="3089" t="s">
        <v>2730</v>
      </c>
      <c r="E111" s="3115">
        <v>0.1</v>
      </c>
      <c r="F111" s="3115">
        <v>15</v>
      </c>
    </row>
    <row r="112" spans="1:6" ht="24">
      <c r="A112" s="3115">
        <v>40</v>
      </c>
      <c r="B112" s="3786"/>
      <c r="C112" s="3115" t="s">
        <v>2731</v>
      </c>
      <c r="D112" s="3089" t="s">
        <v>2732</v>
      </c>
      <c r="E112" s="3115">
        <v>0.1</v>
      </c>
      <c r="F112" s="3115">
        <v>15</v>
      </c>
    </row>
    <row r="113" spans="1:6" ht="13.5">
      <c r="A113" s="3115">
        <v>41</v>
      </c>
      <c r="B113" s="3784" t="s">
        <v>2733</v>
      </c>
      <c r="C113" s="3115" t="s">
        <v>2734</v>
      </c>
      <c r="D113" s="3089" t="s">
        <v>2735</v>
      </c>
      <c r="E113" s="3115">
        <v>0.1</v>
      </c>
      <c r="F113" s="3115">
        <v>15</v>
      </c>
    </row>
    <row r="114" spans="1:6" ht="13.5">
      <c r="A114" s="3115">
        <v>42</v>
      </c>
      <c r="B114" s="3784"/>
      <c r="C114" s="3115" t="s">
        <v>2736</v>
      </c>
      <c r="D114" s="3089" t="s">
        <v>2737</v>
      </c>
      <c r="E114" s="3115">
        <v>0.1</v>
      </c>
      <c r="F114" s="3115">
        <v>15</v>
      </c>
    </row>
    <row r="115" spans="1:6" ht="24">
      <c r="A115" s="3115">
        <v>43</v>
      </c>
      <c r="B115" s="3784"/>
      <c r="C115" s="3115" t="s">
        <v>2738</v>
      </c>
      <c r="D115" s="3089" t="s">
        <v>2739</v>
      </c>
      <c r="E115" s="3115">
        <v>0.1</v>
      </c>
      <c r="F115" s="3115">
        <v>15</v>
      </c>
    </row>
    <row r="116" spans="1:6" ht="13.5">
      <c r="A116" s="3115">
        <v>44</v>
      </c>
      <c r="B116" s="3785" t="s">
        <v>2740</v>
      </c>
      <c r="C116" s="3115" t="s">
        <v>2741</v>
      </c>
      <c r="D116" s="3089" t="s">
        <v>2742</v>
      </c>
      <c r="E116" s="3115">
        <v>0.1</v>
      </c>
      <c r="F116" s="3115">
        <v>15</v>
      </c>
    </row>
    <row r="117" spans="1:6" ht="24">
      <c r="A117" s="3115">
        <v>45</v>
      </c>
      <c r="B117" s="3786"/>
      <c r="C117" s="3089" t="s">
        <v>2743</v>
      </c>
      <c r="D117" s="3089" t="s">
        <v>2744</v>
      </c>
      <c r="E117" s="3115">
        <v>0.1</v>
      </c>
      <c r="F117" s="3115">
        <v>15</v>
      </c>
    </row>
    <row r="118" spans="1:6" ht="24">
      <c r="A118" s="3115">
        <v>46</v>
      </c>
      <c r="B118" s="3785" t="s">
        <v>2745</v>
      </c>
      <c r="C118" s="3115" t="s">
        <v>2746</v>
      </c>
      <c r="D118" s="3089" t="s">
        <v>2747</v>
      </c>
      <c r="E118" s="3115">
        <v>0.1</v>
      </c>
      <c r="F118" s="3115">
        <v>15</v>
      </c>
    </row>
    <row r="119" spans="1:6" ht="24">
      <c r="A119" s="3115">
        <v>47</v>
      </c>
      <c r="B119" s="3786"/>
      <c r="C119" s="3115" t="s">
        <v>2748</v>
      </c>
      <c r="D119" s="3089" t="s">
        <v>2749</v>
      </c>
      <c r="E119" s="3115">
        <v>0.1</v>
      </c>
      <c r="F119" s="3115">
        <v>15</v>
      </c>
    </row>
    <row r="120" spans="1:6" ht="13.5">
      <c r="A120" s="3115">
        <v>48</v>
      </c>
      <c r="B120" s="3785" t="s">
        <v>2750</v>
      </c>
      <c r="C120" s="3115" t="s">
        <v>2751</v>
      </c>
      <c r="D120" s="3089" t="s">
        <v>2752</v>
      </c>
      <c r="E120" s="3115">
        <v>0.1</v>
      </c>
      <c r="F120" s="3115">
        <v>15</v>
      </c>
    </row>
    <row r="121" spans="1:6" ht="13.5">
      <c r="A121" s="3115">
        <v>49</v>
      </c>
      <c r="B121" s="3786"/>
      <c r="C121" s="3115" t="s">
        <v>2753</v>
      </c>
      <c r="D121" s="3089" t="s">
        <v>2754</v>
      </c>
      <c r="E121" s="3115">
        <v>0.1</v>
      </c>
      <c r="F121" s="3115">
        <v>15</v>
      </c>
    </row>
    <row r="122" spans="1:6" ht="24">
      <c r="A122" s="3115">
        <v>50</v>
      </c>
      <c r="B122" s="3784" t="s">
        <v>2755</v>
      </c>
      <c r="C122" s="3115" t="s">
        <v>2756</v>
      </c>
      <c r="D122" s="3089" t="s">
        <v>2757</v>
      </c>
      <c r="E122" s="3115">
        <v>0.1</v>
      </c>
      <c r="F122" s="3115">
        <v>15</v>
      </c>
    </row>
    <row r="123" spans="1:6" ht="24">
      <c r="A123" s="3115">
        <v>51</v>
      </c>
      <c r="B123" s="3784"/>
      <c r="C123" s="3115" t="s">
        <v>2758</v>
      </c>
      <c r="D123" s="3089" t="s">
        <v>2759</v>
      </c>
      <c r="E123" s="3115">
        <v>0.1</v>
      </c>
      <c r="F123" s="3115">
        <v>15</v>
      </c>
    </row>
    <row r="124" spans="1:6" ht="24">
      <c r="A124" s="3115">
        <v>52</v>
      </c>
      <c r="B124" s="3784" t="s">
        <v>2760</v>
      </c>
      <c r="C124" s="3115" t="s">
        <v>2761</v>
      </c>
      <c r="D124" s="3089" t="s">
        <v>2762</v>
      </c>
      <c r="E124" s="3115">
        <v>0.1</v>
      </c>
      <c r="F124" s="3115">
        <v>15</v>
      </c>
    </row>
    <row r="125" spans="1:6" ht="24">
      <c r="A125" s="3115">
        <v>53</v>
      </c>
      <c r="B125" s="3784"/>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84" t="s">
        <v>2768</v>
      </c>
      <c r="C127" s="3115" t="s">
        <v>2769</v>
      </c>
      <c r="D127" s="3089" t="s">
        <v>2770</v>
      </c>
      <c r="E127" s="3115">
        <v>0.1</v>
      </c>
      <c r="F127" s="3115">
        <v>15</v>
      </c>
    </row>
    <row r="128" spans="1:6" ht="13.5">
      <c r="A128" s="3115">
        <v>56</v>
      </c>
      <c r="B128" s="3784"/>
      <c r="C128" s="3115" t="s">
        <v>2771</v>
      </c>
      <c r="D128" s="3089" t="s">
        <v>2772</v>
      </c>
      <c r="E128" s="3115">
        <v>0.1</v>
      </c>
      <c r="F128" s="3115">
        <v>15</v>
      </c>
    </row>
    <row r="129" spans="1:6" ht="24">
      <c r="A129" s="3115">
        <v>57</v>
      </c>
      <c r="B129" s="3784"/>
      <c r="C129" s="3115" t="s">
        <v>2773</v>
      </c>
      <c r="D129" s="3089" t="s">
        <v>2774</v>
      </c>
      <c r="E129" s="3115">
        <v>0.1</v>
      </c>
      <c r="F129" s="3115">
        <v>15</v>
      </c>
    </row>
    <row r="130" spans="1:6" ht="24">
      <c r="A130" s="3115">
        <v>58</v>
      </c>
      <c r="B130" s="3784" t="s">
        <v>2775</v>
      </c>
      <c r="C130" s="3115" t="s">
        <v>2776</v>
      </c>
      <c r="D130" s="3089" t="s">
        <v>2777</v>
      </c>
      <c r="E130" s="3115">
        <v>0.1</v>
      </c>
      <c r="F130" s="3115">
        <v>15</v>
      </c>
    </row>
    <row r="131" spans="1:6" ht="13.5">
      <c r="A131" s="3115">
        <v>59</v>
      </c>
      <c r="B131" s="3784"/>
      <c r="C131" s="3115" t="s">
        <v>2778</v>
      </c>
      <c r="D131" s="3089" t="s">
        <v>2779</v>
      </c>
      <c r="E131" s="3115">
        <v>0.1</v>
      </c>
      <c r="F131" s="3115">
        <v>15</v>
      </c>
    </row>
    <row r="132" spans="1:6" ht="13.5">
      <c r="A132" s="3115">
        <v>60</v>
      </c>
      <c r="B132" s="3785" t="s">
        <v>2780</v>
      </c>
      <c r="C132" s="3115" t="s">
        <v>2781</v>
      </c>
      <c r="D132" s="3089" t="s">
        <v>2782</v>
      </c>
      <c r="E132" s="3115">
        <v>0.1</v>
      </c>
      <c r="F132" s="3115">
        <v>15</v>
      </c>
    </row>
    <row r="133" spans="1:6" ht="13.5">
      <c r="A133" s="3115">
        <v>61</v>
      </c>
      <c r="B133" s="3786"/>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84" t="s">
        <v>2788</v>
      </c>
      <c r="C135" s="3115" t="s">
        <v>2789</v>
      </c>
      <c r="D135" s="3089" t="s">
        <v>2790</v>
      </c>
      <c r="E135" s="3115">
        <v>0.1</v>
      </c>
      <c r="F135" s="3115">
        <v>15</v>
      </c>
    </row>
    <row r="136" spans="1:6" ht="13.5">
      <c r="A136" s="3115">
        <v>64</v>
      </c>
      <c r="B136" s="3784"/>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SUMPRODUCT((A95:A184=ROUNDDOWN('基准地价修正-商业'!G3,1))*(B94:M94='基准地价修正-商业'!G2)*(B95:M184))</f>
        <v>0.8972</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SUMPRODUCT((A371:A460=ROUNDDOWN('基准地价修正-商业'!G3,1))*(B370:M370='基准地价修正-商业'!G2)*(B371:M460))</f>
        <v>0.85340000000000005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3"/>
      <c r="B4" s="3481" t="s">
        <v>917</v>
      </c>
      <c r="C4" s="3481"/>
      <c r="D4" s="3481"/>
      <c r="E4" s="1493"/>
    </row>
    <row r="5" spans="1:5" ht="16.5" thickTop="1">
      <c r="A5" s="1491"/>
      <c r="B5" s="3479" t="s">
        <v>909</v>
      </c>
      <c r="C5" s="1494" t="s">
        <v>910</v>
      </c>
      <c r="D5" s="850">
        <f ca="1">结果表!H101</f>
        <v>101033</v>
      </c>
      <c r="E5" s="1491"/>
    </row>
    <row r="6" spans="1:5" ht="15.75">
      <c r="A6" s="1491"/>
      <c r="B6" s="3479"/>
      <c r="C6" s="1494" t="s">
        <v>911</v>
      </c>
      <c r="D6" s="850" t="str">
        <f ca="1">NUMBERSTRING(INT(D5*10000),2)&amp;"元整"</f>
        <v>壹拾亿壹仟零叁拾叁万元整</v>
      </c>
      <c r="E6" s="1491"/>
    </row>
    <row r="7" spans="1:5" ht="15.75">
      <c r="A7" s="1491"/>
      <c r="B7" s="3484"/>
      <c r="C7" s="1495" t="s">
        <v>912</v>
      </c>
      <c r="D7" s="851">
        <f ca="1">结果表!H102</f>
        <v>25205</v>
      </c>
      <c r="E7" s="1491"/>
    </row>
    <row r="8" spans="1:5" ht="15.75">
      <c r="A8" s="1491"/>
      <c r="B8" s="3485" t="str">
        <f>结果表!E103</f>
        <v>2.估价师知悉的法定优先受偿款</v>
      </c>
      <c r="C8" s="1496" t="s">
        <v>913</v>
      </c>
      <c r="D8" s="851">
        <f>结果表!H103</f>
        <v>0</v>
      </c>
      <c r="E8" s="1491"/>
    </row>
    <row r="9" spans="1:5" ht="15.75">
      <c r="A9" s="1491"/>
      <c r="B9" s="348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8" t="str">
        <f>结果表!E107</f>
        <v>3.房地产抵押价值</v>
      </c>
      <c r="C13" s="1499" t="s">
        <v>910</v>
      </c>
      <c r="D13" s="853">
        <f ca="1">结果表!H107</f>
        <v>101033</v>
      </c>
      <c r="E13" s="1491"/>
    </row>
    <row r="14" spans="1:5" ht="15.75">
      <c r="A14" s="1491"/>
      <c r="B14" s="3479"/>
      <c r="C14" s="1494" t="s">
        <v>911</v>
      </c>
      <c r="D14" s="850" t="str">
        <f ca="1">NUMBERSTRING(INT(D13*10000),2)&amp;"元整"</f>
        <v>壹拾亿壹仟零叁拾叁万元整</v>
      </c>
      <c r="E14" s="1491"/>
    </row>
    <row r="15" spans="1:5" ht="15">
      <c r="A15" s="1491"/>
      <c r="B15" s="3484"/>
      <c r="C15" s="1495" t="s">
        <v>921</v>
      </c>
      <c r="D15" s="859">
        <f ca="1">结果表!H108</f>
        <v>25205</v>
      </c>
      <c r="E15" s="1491"/>
    </row>
    <row r="16" spans="1:5" ht="15">
      <c r="A16" s="1491"/>
      <c r="B16" s="3485" t="str">
        <f>结果表!E109</f>
        <v>——</v>
      </c>
      <c r="C16" s="1499" t="s">
        <v>922</v>
      </c>
      <c r="D16" s="1500" t="str">
        <f>结果表!H109</f>
        <v>——</v>
      </c>
      <c r="E16" s="1491"/>
    </row>
    <row r="17" spans="1:5" ht="15.75">
      <c r="A17" s="1491"/>
      <c r="B17" s="3486"/>
      <c r="C17" s="1494" t="s">
        <v>923</v>
      </c>
      <c r="D17" s="850" t="e">
        <f>NUMBERSTRING(INT(D16*10000),2)&amp;"元整"</f>
        <v>#VALUE!</v>
      </c>
      <c r="E17" s="1491"/>
    </row>
    <row r="18" spans="1:5" ht="15">
      <c r="A18" s="1491"/>
      <c r="B18" s="3487"/>
      <c r="C18" s="1495" t="s">
        <v>912</v>
      </c>
      <c r="D18" s="859" t="str">
        <f>结果表!H110</f>
        <v>——</v>
      </c>
      <c r="E18" s="1491"/>
    </row>
    <row r="19" spans="1:5" ht="15.75">
      <c r="A19" s="1491"/>
      <c r="B19" s="3478" t="str">
        <f>结果表!E111</f>
        <v>——</v>
      </c>
      <c r="C19" s="1499" t="s">
        <v>910</v>
      </c>
      <c r="D19" s="851" t="str">
        <f>结果表!H111</f>
        <v>——</v>
      </c>
      <c r="E19" s="1491"/>
    </row>
    <row r="20" spans="1:5" ht="15.75">
      <c r="A20" s="1491"/>
      <c r="B20" s="3479"/>
      <c r="C20" s="1494" t="s">
        <v>923</v>
      </c>
      <c r="D20" s="850" t="e">
        <f>NUMBERSTRING(INT(D19*10000),2)&amp;"元整"</f>
        <v>#VALUE!</v>
      </c>
      <c r="E20" s="1491"/>
    </row>
    <row r="21" spans="1:5" ht="15.75" thickBot="1">
      <c r="A21" s="1491"/>
      <c r="B21" s="348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49713</v>
      </c>
      <c r="C2" s="2" t="s">
        <v>106</v>
      </c>
      <c r="D2" s="199"/>
      <c r="E2" s="199"/>
      <c r="F2" s="199"/>
      <c r="G2" s="199"/>
    </row>
    <row r="3" spans="1:7" s="200" customFormat="1" ht="18" customHeight="1" thickBot="1">
      <c r="A3" s="203" t="s">
        <v>58</v>
      </c>
      <c r="B3" s="204">
        <f ca="1">ROUND(B2*10000/'数据-汇总表'!E3,0)</f>
        <v>12402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802</v>
      </c>
      <c r="D10" s="845">
        <f>'数据-汇总表'!E6</f>
        <v>40083.94000000001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802</v>
      </c>
      <c r="D19" s="849">
        <f>'数据-汇总表'!E3</f>
        <v>40083.94000000001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68</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4368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4368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16034</v>
      </c>
      <c r="D34" s="217"/>
      <c r="E34" s="220"/>
      <c r="F34" s="257">
        <f>IF('数据-取费表'!B24=0,1,'数据-取费表'!N16)</f>
        <v>1</v>
      </c>
      <c r="G34" s="219" t="s">
        <v>89</v>
      </c>
    </row>
    <row r="35" spans="1:7" ht="13.5" customHeight="1">
      <c r="A35" s="780" t="s">
        <v>351</v>
      </c>
      <c r="B35" s="215" t="s">
        <v>33</v>
      </c>
      <c r="C35" s="220">
        <f>ROUND(C34*F35,0)</f>
        <v>481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802</v>
      </c>
      <c r="D37" s="217">
        <f>'数据-汇总表'!E3</f>
        <v>40083.94000000001</v>
      </c>
      <c r="E37" s="249">
        <f>'数据-取费表'!B35</f>
        <v>200</v>
      </c>
      <c r="F37" s="259"/>
      <c r="G37" s="261" t="s">
        <v>92</v>
      </c>
    </row>
    <row r="38" spans="1:7" ht="13.5" customHeight="1">
      <c r="A38" s="780" t="s">
        <v>354</v>
      </c>
      <c r="B38" s="215" t="s">
        <v>36</v>
      </c>
      <c r="C38" s="220">
        <f>ROUND(C34*F38,0)</f>
        <v>241</v>
      </c>
      <c r="D38" s="220"/>
      <c r="E38" s="220"/>
      <c r="F38" s="259">
        <f>'数据-取费表'!B36</f>
        <v>1.4999999999999999E-2</v>
      </c>
      <c r="G38" s="219" t="s">
        <v>90</v>
      </c>
    </row>
    <row r="39" spans="1:7" s="214" customFormat="1" ht="13.5" customHeight="1">
      <c r="A39" s="777" t="s">
        <v>338</v>
      </c>
      <c r="B39" s="210" t="s">
        <v>77</v>
      </c>
      <c r="C39" s="232">
        <f>ROUND(C33*F20,0)</f>
        <v>351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744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729</v>
      </c>
      <c r="D42" s="238"/>
      <c r="E42" s="238"/>
      <c r="F42" s="239"/>
      <c r="G42" s="3660" t="s">
        <v>94</v>
      </c>
    </row>
    <row r="43" spans="1:7" ht="13.5" customHeight="1">
      <c r="A43" s="780" t="s">
        <v>347</v>
      </c>
      <c r="B43" s="215" t="s">
        <v>426</v>
      </c>
      <c r="C43" s="238">
        <f ca="1">ROUND(IF('数据-取费表'!B22&lt;=1,C39*F22*'数据-取费表'!B21/2,C39*(POWER((1+F22),'数据-取费表'!B21/2)-1)),0)</f>
        <v>15</v>
      </c>
      <c r="D43" s="238"/>
      <c r="E43" s="238"/>
      <c r="F43" s="239"/>
      <c r="G43" s="3661"/>
    </row>
    <row r="44" spans="1:7" ht="13.5" customHeight="1">
      <c r="A44" s="780" t="s">
        <v>348</v>
      </c>
      <c r="B44" s="215" t="s">
        <v>428</v>
      </c>
      <c r="C44" s="238">
        <f ca="1">ROUND(IF('数据-取费表'!B22&lt;=1,C40*F22*'数据-取费表'!B21/2,C40*(POWER((1+F22),'数据-取费表'!B21/2)-1)),4)</f>
        <v>8.0000000000000004E-4</v>
      </c>
      <c r="D44" s="238"/>
      <c r="E44" s="238"/>
      <c r="F44" s="239"/>
      <c r="G44" s="3662"/>
    </row>
    <row r="45" spans="1:7" s="214" customFormat="1" ht="13.5" customHeight="1">
      <c r="A45" s="777" t="s">
        <v>341</v>
      </c>
      <c r="B45" s="244" t="s">
        <v>85</v>
      </c>
      <c r="C45" s="245">
        <f>C46</f>
        <v>3582</v>
      </c>
      <c r="D45" s="235">
        <f>C47</f>
        <v>4.0000000000000001E-3</v>
      </c>
      <c r="E45" s="236" t="s">
        <v>102</v>
      </c>
      <c r="F45" s="246"/>
      <c r="G45" s="247" t="s">
        <v>434</v>
      </c>
    </row>
    <row r="46" spans="1:7" s="214" customFormat="1" ht="13.5" customHeight="1">
      <c r="A46" s="780" t="s">
        <v>349</v>
      </c>
      <c r="B46" s="248" t="s">
        <v>427</v>
      </c>
      <c r="C46" s="249">
        <f>ROUND((C33+C39)*F27,0)</f>
        <v>3582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24120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19296</v>
      </c>
      <c r="D51" s="232"/>
      <c r="E51" s="232"/>
      <c r="F51" s="264"/>
      <c r="G51" s="234" t="s">
        <v>37</v>
      </c>
    </row>
    <row r="52" spans="1:7" s="208" customFormat="1" ht="16.5" thickBot="1">
      <c r="A52" s="265" t="s">
        <v>38</v>
      </c>
      <c r="B52" s="266"/>
      <c r="C52" s="267">
        <f ca="1">C31+C51</f>
        <v>49713</v>
      </c>
      <c r="D52" s="266"/>
      <c r="E52" s="266"/>
      <c r="F52" s="266"/>
      <c r="G52" s="268"/>
    </row>
    <row r="55" spans="1:7" ht="15">
      <c r="B55" s="270" t="s">
        <v>39</v>
      </c>
      <c r="C55" s="271"/>
    </row>
    <row r="56" spans="1:7">
      <c r="B56" s="273" t="s">
        <v>40</v>
      </c>
      <c r="C56" s="274">
        <f ca="1">ROUND(C51/C52,3)</f>
        <v>0.38800000000000001</v>
      </c>
    </row>
    <row r="57" spans="1:7">
      <c r="B57" s="273" t="s">
        <v>41</v>
      </c>
      <c r="C57" s="275">
        <f ca="1">1-C56</f>
        <v>0.61199999999999999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2842</v>
      </c>
      <c r="B1" s="3798"/>
      <c r="C1" s="3798"/>
      <c r="D1" s="3798"/>
      <c r="E1" s="3798"/>
      <c r="F1" s="3798"/>
      <c r="G1" s="379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96"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9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3184</v>
      </c>
      <c r="B1" s="3800"/>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1" t="s">
        <v>3235</v>
      </c>
      <c r="B1" s="3801"/>
      <c r="C1" s="3801"/>
      <c r="D1" s="3801"/>
      <c r="E1" s="3801"/>
      <c r="F1" s="380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'基准地价修正-商业'!G23</f>
        <v>45005</v>
      </c>
      <c r="B1" s="3207" t="s">
        <v>2841</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3367</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3358</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803" t="s">
        <v>2829</v>
      </c>
      <c r="S21" s="3804"/>
      <c r="T21" s="3804"/>
      <c r="U21" s="3804"/>
      <c r="V21" s="3804"/>
      <c r="W21" s="3804"/>
      <c r="X21" s="3162"/>
      <c r="Y21" s="3803" t="s">
        <v>2830</v>
      </c>
      <c r="Z21" s="3804"/>
      <c r="AA21" s="3804"/>
      <c r="AB21" s="3804"/>
      <c r="AC21" s="3804"/>
      <c r="AD21" s="3804"/>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3368</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3358</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8" sqref="L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30.08</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12022</v>
      </c>
      <c r="C2" s="1387" t="s">
        <v>805</v>
      </c>
      <c r="D2" s="1387"/>
      <c r="E2" s="1388"/>
      <c r="F2" s="1389"/>
      <c r="G2" s="2703"/>
      <c r="H2" s="2692"/>
      <c r="I2" s="2692"/>
      <c r="J2" s="2692"/>
      <c r="K2" s="2693"/>
      <c r="L2" s="2692"/>
      <c r="M2" s="2692"/>
    </row>
    <row r="3" spans="1:37" ht="18" customHeight="1" thickBot="1">
      <c r="A3" s="1390" t="s">
        <v>806</v>
      </c>
      <c r="B3" s="1391">
        <f ca="1">IF(ISERROR(B2*10000/F43),0,ROUND(B2*10000/F43,0))</f>
        <v>14716</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870</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869</v>
      </c>
      <c r="D6" s="155" t="s">
        <v>2109</v>
      </c>
      <c r="E6" s="302" t="s">
        <v>696</v>
      </c>
      <c r="F6" s="303">
        <f ca="1">INDIRECT("'数据-取费表'!u"&amp;$G$1)</f>
        <v>7.1999999999999993</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3459" t="s">
        <v>697</v>
      </c>
      <c r="F7" s="303">
        <f ca="1">IF(INDIRECT("'数据-取费表'!ah"&amp;$G$1)="",INDIRECT("'数据-取费表'!k"&amp;$G$1),INDIRECT("'数据-取费表'!ah"&amp;$G$1))</f>
        <v>3889.79</v>
      </c>
      <c r="G7" s="1384"/>
      <c r="H7" s="304"/>
      <c r="I7" s="3687"/>
      <c r="J7" s="306"/>
      <c r="K7" s="307"/>
      <c r="L7" s="302" t="s">
        <v>697</v>
      </c>
      <c r="M7" s="303">
        <f ca="1">F7</f>
        <v>3889.79</v>
      </c>
    </row>
    <row r="8" spans="1:37" ht="18" customHeight="1">
      <c r="A8" s="304"/>
      <c r="B8" s="3687"/>
      <c r="C8" s="306"/>
      <c r="D8" s="307"/>
      <c r="E8" s="302" t="s">
        <v>698</v>
      </c>
      <c r="F8" s="303">
        <f ca="1">INDIRECT("'数据-取费表'!ai"&amp;$G$1)</f>
        <v>365</v>
      </c>
      <c r="G8" s="1384"/>
      <c r="H8" s="304"/>
      <c r="I8" s="3687"/>
      <c r="J8" s="306"/>
      <c r="K8" s="307"/>
      <c r="L8" s="302" t="s">
        <v>698</v>
      </c>
      <c r="M8" s="303">
        <f ca="1">INDIRECT("'数据-取费表'!ai"&amp;$G$1)</f>
        <v>365</v>
      </c>
    </row>
    <row r="9" spans="1:37" ht="18" customHeight="1">
      <c r="A9" s="304"/>
      <c r="B9" s="3688"/>
      <c r="C9" s="306"/>
      <c r="D9" s="307"/>
      <c r="E9" s="302" t="s">
        <v>699</v>
      </c>
      <c r="F9" s="312">
        <f ca="1">INDIRECT("'数据-取费表'!w"&amp;$G$1)</f>
        <v>0.15</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3473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3932</v>
      </c>
      <c r="D13" s="3447" t="s">
        <v>705</v>
      </c>
      <c r="E13" s="3447"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3268</v>
      </c>
      <c r="D14" s="3451" t="s">
        <v>708</v>
      </c>
      <c r="E14" s="3449"/>
      <c r="F14" s="319"/>
      <c r="G14" s="1384"/>
      <c r="H14" s="982" t="s">
        <v>398</v>
      </c>
      <c r="I14" s="302" t="s">
        <v>709</v>
      </c>
      <c r="J14" s="21">
        <f ca="1">C29</f>
        <v>4915</v>
      </c>
      <c r="K14" s="3458"/>
      <c r="L14" s="807"/>
      <c r="M14" s="808"/>
    </row>
    <row r="15" spans="1:37" s="1397" customFormat="1" ht="18" customHeight="1" thickBot="1">
      <c r="A15" s="982" t="s">
        <v>399</v>
      </c>
      <c r="B15" s="302" t="s">
        <v>710</v>
      </c>
      <c r="C15" s="21">
        <f ca="1">ROUND(C14*F15,0)</f>
        <v>98</v>
      </c>
      <c r="D15" s="3448" t="s">
        <v>711</v>
      </c>
      <c r="E15" s="3448"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3453"/>
      <c r="M16" s="1072"/>
    </row>
    <row r="17" spans="1:37" s="1397" customFormat="1" ht="18" customHeight="1">
      <c r="A17" s="982" t="s">
        <v>681</v>
      </c>
      <c r="B17" s="302" t="s">
        <v>716</v>
      </c>
      <c r="C17" s="21">
        <f ca="1">ROUND(F17*(F43+INDIRECT("'数据-取费表'!S"&amp;$G$1))/10000,0)</f>
        <v>163</v>
      </c>
      <c r="D17" s="302" t="s">
        <v>717</v>
      </c>
      <c r="E17" s="302" t="s">
        <v>718</v>
      </c>
      <c r="F17" s="23">
        <f>'数据-取费表'!B35</f>
        <v>200</v>
      </c>
      <c r="G17" s="1396"/>
      <c r="H17" s="982" t="s">
        <v>398</v>
      </c>
      <c r="I17" s="302" t="s">
        <v>719</v>
      </c>
      <c r="J17" s="2316">
        <f ca="1">ROUND(IF(AND(项目基本情况!B11="自然人",项目基本情况!B10="北京市"),J6*M17/(1+'数据-取费表'!C42),J18+J19+J20),2)</f>
        <v>1.04</v>
      </c>
      <c r="K17" s="3451" t="s">
        <v>720</v>
      </c>
      <c r="L17" s="3450"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v>
      </c>
      <c r="D18" s="302" t="s">
        <v>711</v>
      </c>
      <c r="E18" s="302" t="s">
        <v>712</v>
      </c>
      <c r="F18" s="322">
        <f>'数据-取费表'!B36</f>
        <v>1.4999999999999999E-2</v>
      </c>
      <c r="G18" s="1396"/>
      <c r="H18" s="982" t="s">
        <v>397</v>
      </c>
      <c r="I18" s="302" t="s">
        <v>723</v>
      </c>
      <c r="J18" s="21">
        <f ca="1">ROUND(J6*M18/(1+'数据-取费表'!C42),2)</f>
        <v>0</v>
      </c>
      <c r="K18" s="345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3578</v>
      </c>
      <c r="D19" s="131" t="s">
        <v>726</v>
      </c>
      <c r="E19" s="3463"/>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72</v>
      </c>
      <c r="D20" s="2428" t="s">
        <v>729</v>
      </c>
      <c r="E20" s="302" t="s">
        <v>712</v>
      </c>
      <c r="F20" s="322">
        <f>'数据-取费表'!B37</f>
        <v>0.02</v>
      </c>
      <c r="G20" s="1396"/>
      <c r="H20" s="982" t="s">
        <v>680</v>
      </c>
      <c r="I20" s="155" t="s">
        <v>730</v>
      </c>
      <c r="J20" s="22">
        <f ca="1">ROUND(M20*M21/10000,2)</f>
        <v>1.04</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870.83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3"/>
      <c r="F22" s="23"/>
      <c r="G22" s="1384"/>
      <c r="H22" s="982" t="s">
        <v>402</v>
      </c>
      <c r="I22" s="302" t="s">
        <v>738</v>
      </c>
      <c r="J22" s="21">
        <f ca="1">ROUND(J14*M22,2)</f>
        <v>49.15</v>
      </c>
      <c r="K22" s="3450"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0"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3"/>
      <c r="F25" s="23"/>
      <c r="G25" s="1384"/>
      <c r="H25" s="1079" t="s">
        <v>394</v>
      </c>
      <c r="I25" s="1094" t="s">
        <v>752</v>
      </c>
      <c r="J25" s="310">
        <f ca="1">J5-J16</f>
        <v>-50</v>
      </c>
      <c r="K25" s="1095" t="s">
        <v>753</v>
      </c>
      <c r="L25" s="1096"/>
      <c r="M25" s="1097"/>
    </row>
    <row r="26" spans="1:37">
      <c r="A26" s="982" t="s">
        <v>397</v>
      </c>
      <c r="B26" s="302" t="s">
        <v>754</v>
      </c>
      <c r="C26" s="21">
        <f ca="1">ROUND((C19+C20)*F26,0)</f>
        <v>730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8" t="s">
        <v>761</v>
      </c>
      <c r="E27" s="3448"/>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4915</v>
      </c>
      <c r="D29" s="1092"/>
      <c r="E29" s="1090"/>
      <c r="F29" s="1093"/>
      <c r="G29" s="1396"/>
      <c r="H29" s="334" t="s">
        <v>396</v>
      </c>
      <c r="I29" s="335" t="s">
        <v>768</v>
      </c>
      <c r="J29" s="336">
        <f ca="1">ROUND(J26/(1+F40)^F41,0)</f>
        <v>0</v>
      </c>
      <c r="K29" s="337" t="s">
        <v>769</v>
      </c>
      <c r="L29" s="338"/>
      <c r="M29" s="339">
        <f ca="1">INDIRECT("'数据-取费表'!k"&amp;$G$1)</f>
        <v>8169.5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210</v>
      </c>
      <c r="D30" s="1087" t="s">
        <v>715</v>
      </c>
      <c r="E30" s="3453"/>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146.69999999999999</v>
      </c>
      <c r="D31" s="3451" t="s">
        <v>720</v>
      </c>
      <c r="E31" s="3450" t="s">
        <v>770</v>
      </c>
      <c r="F31" s="2315" t="str">
        <f>IF(项目基本情况!B11="企业","——",IF(M47="住宅",IF(F6*F7*F8/12/(1+'数据-取费表'!F30)&gt;100000,4%,2.5%),IF(F6*F7*F8/12/(1+'数据-取费表'!F30)&gt;100000,12%,7%)))</f>
        <v>——</v>
      </c>
      <c r="G31" s="1384"/>
      <c r="H31" s="2805" t="s">
        <v>2306</v>
      </c>
      <c r="I31" s="1398"/>
      <c r="J31" s="1399"/>
      <c r="K31" s="2473"/>
      <c r="L31" s="2695"/>
      <c r="M31" s="2696"/>
    </row>
    <row r="32" spans="1:37" ht="18" customHeight="1">
      <c r="A32" s="982" t="s">
        <v>397</v>
      </c>
      <c r="B32" s="302" t="s">
        <v>723</v>
      </c>
      <c r="C32" s="21">
        <f ca="1">IF(项目基本情况!B11="自然人","——",ROUND(C6*F32/(1+'数据-取费表'!C42),2))</f>
        <v>46.35</v>
      </c>
      <c r="D32" s="3450"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99.31</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1.04</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870.83</v>
      </c>
      <c r="G35" s="1384"/>
      <c r="H35" s="2694"/>
      <c r="I35" s="1398"/>
      <c r="J35" s="1399"/>
      <c r="K35" s="2698"/>
      <c r="L35" s="2697"/>
      <c r="M35" s="2697"/>
    </row>
    <row r="36" spans="1:18" ht="18" customHeight="1">
      <c r="A36" s="1102" t="s">
        <v>402</v>
      </c>
      <c r="B36" s="302" t="s">
        <v>738</v>
      </c>
      <c r="C36" s="21">
        <f ca="1">ROUND(C29*F36,2)</f>
        <v>49.15</v>
      </c>
      <c r="D36" s="3450"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ROUND(C13*F37,2)</f>
        <v>5.9</v>
      </c>
      <c r="D37" s="3450" t="s">
        <v>743</v>
      </c>
      <c r="E37" s="302" t="s">
        <v>712</v>
      </c>
      <c r="F37" s="330">
        <f ca="1">INDIRECT("'数据-取费表'!Al"&amp;$G$1)</f>
        <v>1.5E-3</v>
      </c>
      <c r="G37" s="1384"/>
      <c r="H37" s="2697"/>
      <c r="I37" s="1398"/>
      <c r="J37" s="1399"/>
      <c r="K37" s="2542"/>
      <c r="L37" s="2697"/>
      <c r="M37" s="2697"/>
    </row>
    <row r="38" spans="1:18" ht="18" customHeight="1" thickBot="1">
      <c r="A38" s="1089" t="s">
        <v>683</v>
      </c>
      <c r="B38" s="1090" t="s">
        <v>728</v>
      </c>
      <c r="C38" s="1091">
        <f ca="1">ROUND(C5*F38,2)</f>
        <v>8.6999999999999993</v>
      </c>
      <c r="D38" s="1092" t="s">
        <v>748</v>
      </c>
      <c r="E38" s="1090" t="s">
        <v>712</v>
      </c>
      <c r="F38" s="1086">
        <f ca="1">INDIRECT("'数据-取费表'!Am"&amp;$G$1)</f>
        <v>0.01</v>
      </c>
      <c r="G38" s="1384"/>
      <c r="H38" s="2697"/>
      <c r="I38" s="1398"/>
      <c r="J38" s="1399"/>
      <c r="K38" s="2701"/>
      <c r="L38" s="2697"/>
      <c r="M38" s="2697">
        <f ca="1">C6+'收益法-商业'!C6</f>
        <v>4780</v>
      </c>
    </row>
    <row r="39" spans="1:18" ht="24.6" customHeight="1" thickTop="1">
      <c r="A39" s="1079" t="s">
        <v>394</v>
      </c>
      <c r="B39" s="1094" t="s">
        <v>752</v>
      </c>
      <c r="C39" s="310">
        <f ca="1">C5-C30</f>
        <v>660</v>
      </c>
      <c r="D39" s="1095" t="s">
        <v>753</v>
      </c>
      <c r="E39" s="1096"/>
      <c r="F39" s="1097"/>
      <c r="G39" s="1384"/>
      <c r="H39" s="2697"/>
      <c r="I39" s="1398"/>
      <c r="J39" s="1399"/>
      <c r="K39" s="2701"/>
      <c r="L39" s="2697"/>
      <c r="M39" s="2697"/>
    </row>
    <row r="40" spans="1:18" ht="18" customHeight="1">
      <c r="A40" s="299" t="s">
        <v>395</v>
      </c>
      <c r="B40" s="300" t="s">
        <v>774</v>
      </c>
      <c r="C40" s="301">
        <f ca="1">ROUND(C39*(1-((1+F42)/(1+F40))^F41)/(F40-F42),0)</f>
        <v>12022</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30.08</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14716</v>
      </c>
      <c r="D43" s="337" t="s">
        <v>777</v>
      </c>
      <c r="E43" s="338" t="s">
        <v>778</v>
      </c>
      <c r="F43" s="339">
        <f ca="1">INDIRECT("'数据-取费表'!k"&amp;$G$1)</f>
        <v>8169.5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-12837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3474</v>
      </c>
      <c r="K47" s="1416" t="s">
        <v>816</v>
      </c>
      <c r="L47" s="1417">
        <f ca="1">INDIRECT("'数据-取费表'!d"&amp;$G$1)</f>
        <v>50</v>
      </c>
      <c r="M47" s="1380" t="str">
        <f>IF(ISNUMBER(FIND("住宅",C1)),"住宅","非住宅")</f>
        <v>非住宅</v>
      </c>
      <c r="O47" s="1418" t="s">
        <v>403</v>
      </c>
      <c r="P47" s="1419" t="s">
        <v>817</v>
      </c>
      <c r="Q47" s="1420">
        <f ca="1">C40+J29</f>
        <v>12022</v>
      </c>
      <c r="R47" s="1420" t="s">
        <v>818</v>
      </c>
    </row>
    <row r="48" spans="1:18" s="1384" customFormat="1" ht="28.5" thickBot="1">
      <c r="A48" s="1110" t="s">
        <v>438</v>
      </c>
      <c r="B48" s="300" t="s">
        <v>692</v>
      </c>
      <c r="C48" s="3462">
        <f ca="1">C49+C53+C55</f>
        <v>0</v>
      </c>
      <c r="D48" s="1112"/>
      <c r="E48" s="1113"/>
      <c r="F48" s="962"/>
      <c r="G48" s="722"/>
      <c r="H48" s="723"/>
      <c r="I48" s="1421" t="s">
        <v>819</v>
      </c>
      <c r="J48" s="1422" t="s">
        <v>3475</v>
      </c>
      <c r="K48" s="1423" t="s">
        <v>820</v>
      </c>
      <c r="L48" s="1424">
        <f ca="1">INDIRECT("'数据-取费表'!f"&amp;$G$1)</f>
        <v>30.08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4915</v>
      </c>
      <c r="R49" s="1420" t="s">
        <v>818</v>
      </c>
    </row>
    <row r="50" spans="1:18" s="1384" customFormat="1" ht="13.5" thickBot="1">
      <c r="A50" s="976"/>
      <c r="B50" s="979"/>
      <c r="C50" s="1118"/>
      <c r="D50" s="953"/>
      <c r="E50" s="1056" t="s">
        <v>697</v>
      </c>
      <c r="F50" s="1057">
        <f ca="1">F7</f>
        <v>3889.79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6539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30.08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30.08</v>
      </c>
      <c r="K53" s="3684" t="s">
        <v>837</v>
      </c>
      <c r="L53" s="3685"/>
      <c r="O53" s="1418" t="s">
        <v>409</v>
      </c>
      <c r="P53" s="1419" t="s">
        <v>838</v>
      </c>
      <c r="Q53" s="1420">
        <f ca="1">Q47+Q48</f>
        <v>12022</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3932</v>
      </c>
      <c r="D56" s="1447"/>
      <c r="E56" s="1448"/>
      <c r="F56" s="1440"/>
      <c r="I56" s="1449" t="s">
        <v>842</v>
      </c>
      <c r="J56" s="1450" t="s">
        <v>3461</v>
      </c>
      <c r="K56" s="1421" t="s">
        <v>843</v>
      </c>
      <c r="L56" s="1424" t="str">
        <f ca="1">IF(L48&lt;J51,"——",L48-J53)</f>
        <v>——</v>
      </c>
      <c r="O56" s="1418" t="s">
        <v>403</v>
      </c>
      <c r="P56" s="1419" t="s">
        <v>817</v>
      </c>
      <c r="Q56" s="1420">
        <f ca="1">C40+J29</f>
        <v>12022</v>
      </c>
      <c r="R56" s="1420" t="s">
        <v>818</v>
      </c>
    </row>
    <row r="57" spans="1:18" s="1384" customFormat="1" ht="24.75" thickBot="1">
      <c r="A57" s="1451"/>
      <c r="B57" s="950" t="s">
        <v>767</v>
      </c>
      <c r="C57" s="238">
        <f ca="1">C29</f>
        <v>4915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3339</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1.04</v>
      </c>
      <c r="D62" s="965" t="s">
        <v>731</v>
      </c>
      <c r="E62" s="950" t="s">
        <v>732</v>
      </c>
      <c r="F62" s="325">
        <f t="shared" si="0"/>
        <v>12</v>
      </c>
      <c r="I62" s="1462" t="s">
        <v>858</v>
      </c>
      <c r="J62" s="1463" t="s">
        <v>859</v>
      </c>
      <c r="K62" s="1463" t="s">
        <v>860</v>
      </c>
      <c r="L62" s="1463" t="s">
        <v>861</v>
      </c>
      <c r="M62" s="1464" t="s">
        <v>862</v>
      </c>
      <c r="O62" s="1418" t="s">
        <v>409</v>
      </c>
      <c r="P62" s="1419" t="s">
        <v>838</v>
      </c>
      <c r="Q62" s="1420">
        <f ca="1">Q56+Q57</f>
        <v>12022</v>
      </c>
      <c r="R62" s="1420" t="s">
        <v>410</v>
      </c>
    </row>
    <row r="63" spans="1:18" s="1384" customFormat="1" ht="13.5" thickBot="1">
      <c r="A63" s="326"/>
      <c r="B63" s="956"/>
      <c r="C63" s="26"/>
      <c r="D63" s="966"/>
      <c r="E63" s="950" t="s">
        <v>736</v>
      </c>
      <c r="F63" s="303">
        <f t="shared" ca="1" si="0"/>
        <v>870.83</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49.15</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5.9</v>
      </c>
      <c r="D65" s="964" t="s">
        <v>743</v>
      </c>
      <c r="E65" s="950" t="s">
        <v>712</v>
      </c>
      <c r="F65" s="330">
        <f t="shared" ca="1" si="0"/>
        <v>1.5E-3</v>
      </c>
      <c r="I65" s="1462" t="s">
        <v>867</v>
      </c>
      <c r="J65" s="1463">
        <v>40</v>
      </c>
      <c r="K65" s="1463">
        <v>30</v>
      </c>
      <c r="L65" s="1463">
        <v>50</v>
      </c>
      <c r="M65" s="1465">
        <v>0.02</v>
      </c>
      <c r="O65" s="1418" t="s">
        <v>403</v>
      </c>
      <c r="P65" s="1419" t="s">
        <v>817</v>
      </c>
      <c r="Q65" s="1420">
        <f ca="1">C40+J29</f>
        <v>12022</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-56</v>
      </c>
      <c r="D67" s="963" t="s">
        <v>753</v>
      </c>
      <c r="E67" s="968"/>
      <c r="F67" s="969"/>
      <c r="O67" s="1428" t="s">
        <v>405</v>
      </c>
      <c r="P67" s="1419" t="s">
        <v>850</v>
      </c>
      <c r="Q67" s="1466">
        <f ca="1">L51</f>
        <v>6539</v>
      </c>
      <c r="R67" s="1420" t="s">
        <v>870</v>
      </c>
    </row>
    <row r="68" spans="1:18" s="1384" customFormat="1" ht="16.5" thickBot="1">
      <c r="A68" s="947" t="s">
        <v>395</v>
      </c>
      <c r="B68" s="948" t="s">
        <v>774</v>
      </c>
      <c r="C68" s="301">
        <f ca="1">ROUND(C67*(1-((1+F70)/(1+F68))^F69)/(F68-F70),0)</f>
        <v>-815</v>
      </c>
      <c r="D68" s="965" t="s">
        <v>758</v>
      </c>
      <c r="E68" s="950" t="s">
        <v>759</v>
      </c>
      <c r="F68" s="312">
        <f ca="1">F40</f>
        <v>5.5E-2</v>
      </c>
      <c r="O68" s="1428" t="s">
        <v>406</v>
      </c>
      <c r="P68" s="1467" t="s">
        <v>871</v>
      </c>
      <c r="Q68" s="1420">
        <f ca="1">ROUND(Q69-Q70*Q71,0)</f>
        <v>345</v>
      </c>
      <c r="R68" s="1420" t="s">
        <v>414</v>
      </c>
    </row>
    <row r="69" spans="1:18" s="1384" customFormat="1" ht="13.5" thickBot="1">
      <c r="A69" s="951"/>
      <c r="B69" s="952"/>
      <c r="C69" s="306"/>
      <c r="D69" s="970" t="s">
        <v>762</v>
      </c>
      <c r="E69" s="950" t="s">
        <v>763</v>
      </c>
      <c r="F69" s="333">
        <f ca="1">F41</f>
        <v>30.08</v>
      </c>
      <c r="O69" s="1428" t="s">
        <v>411</v>
      </c>
      <c r="P69" s="1467" t="s">
        <v>872</v>
      </c>
      <c r="Q69" s="1420">
        <f ca="1">C39</f>
        <v>660</v>
      </c>
      <c r="R69" s="1420" t="s">
        <v>818</v>
      </c>
    </row>
    <row r="70" spans="1:18" s="1384" customFormat="1" ht="13.5" thickBot="1">
      <c r="A70" s="954"/>
      <c r="B70" s="955"/>
      <c r="C70" s="310"/>
      <c r="D70" s="966"/>
      <c r="E70" s="950" t="s">
        <v>766</v>
      </c>
      <c r="F70" s="1054"/>
      <c r="O70" s="1428" t="s">
        <v>412</v>
      </c>
      <c r="P70" s="1467" t="s">
        <v>873</v>
      </c>
      <c r="Q70" s="1420">
        <f ca="1">C13</f>
        <v>3932</v>
      </c>
      <c r="R70" s="1420" t="s">
        <v>818</v>
      </c>
    </row>
    <row r="71" spans="1:18" s="1384" customFormat="1" ht="13.5" thickBot="1">
      <c r="A71" s="971" t="s">
        <v>396</v>
      </c>
      <c r="B71" s="972" t="s">
        <v>776</v>
      </c>
      <c r="C71" s="336">
        <f ca="1">ROUND(C68*10000/F71,0)</f>
        <v>-998</v>
      </c>
      <c r="D71" s="973" t="s">
        <v>777</v>
      </c>
      <c r="E71" s="974" t="s">
        <v>778</v>
      </c>
      <c r="F71" s="339">
        <f ca="1">F43</f>
        <v>8169.5</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315</v>
      </c>
      <c r="D75" s="1384"/>
      <c r="E75" s="1384"/>
      <c r="F75" s="1384"/>
      <c r="K75" s="1402"/>
      <c r="L75" s="1384"/>
      <c r="O75" s="1418" t="s">
        <v>409</v>
      </c>
      <c r="P75" s="1419" t="s">
        <v>838</v>
      </c>
      <c r="Q75" s="1420">
        <f ca="1">Q65+Q66</f>
        <v>12022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0.52300000000000002</v>
      </c>
    </row>
    <row r="80" spans="1:18">
      <c r="B80" s="340" t="s">
        <v>800</v>
      </c>
      <c r="C80" s="274">
        <f ca="1">ROUND(C75/C39,3)</f>
        <v>0.47699999999999998</v>
      </c>
    </row>
    <row r="81" spans="2:3">
      <c r="B81" s="270" t="s">
        <v>801</v>
      </c>
      <c r="C81" s="238"/>
    </row>
    <row r="82" spans="2:3">
      <c r="B82" s="273" t="s">
        <v>802</v>
      </c>
      <c r="C82" s="275">
        <f ca="1">1-C83</f>
        <v>0.67300000000000004</v>
      </c>
    </row>
    <row r="83" spans="2:3">
      <c r="B83" s="273" t="s">
        <v>803</v>
      </c>
      <c r="C83" s="274">
        <f ca="1">ROUND(C13/C40,3)</f>
        <v>0.32700000000000001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28" workbookViewId="0">
      <selection activeCell="J59" sqref="J59"/>
    </sheetView>
  </sheetViews>
  <sheetFormatPr defaultRowHeight="13.5"/>
  <cols>
    <col min="2" max="2" width="31.125" customWidth="1"/>
    <col min="3" max="3" width="23.5" customWidth="1"/>
    <col min="4" max="4" width="31.125" customWidth="1"/>
  </cols>
  <sheetData>
    <row r="1" spans="1:7">
      <c r="A1" s="3469" t="s">
        <v>3375</v>
      </c>
      <c r="B1" s="3469" t="s">
        <v>3376</v>
      </c>
      <c r="C1" s="3469" t="s">
        <v>3377</v>
      </c>
      <c r="D1" s="3469" t="s">
        <v>3378</v>
      </c>
      <c r="E1" s="3469" t="s">
        <v>3379</v>
      </c>
      <c r="F1" s="3469" t="s">
        <v>3380</v>
      </c>
      <c r="G1" s="3469" t="s">
        <v>3381</v>
      </c>
    </row>
    <row r="2" spans="1:7">
      <c r="A2" s="3469">
        <v>1</v>
      </c>
      <c r="B2" s="3469" t="s">
        <v>3382</v>
      </c>
      <c r="C2" s="3469" t="s">
        <v>3383</v>
      </c>
      <c r="D2" s="3469" t="s">
        <v>3384</v>
      </c>
      <c r="E2" s="3469" t="s">
        <v>673</v>
      </c>
      <c r="F2" s="3469">
        <v>455.3</v>
      </c>
      <c r="G2" s="3469">
        <v>48.53</v>
      </c>
    </row>
    <row r="3" spans="1:7">
      <c r="A3" s="3469">
        <v>2</v>
      </c>
      <c r="B3" s="3469" t="s">
        <v>3385</v>
      </c>
      <c r="C3" s="3469" t="s">
        <v>3386</v>
      </c>
      <c r="D3" s="3469" t="s">
        <v>3387</v>
      </c>
      <c r="E3" s="3469" t="s">
        <v>673</v>
      </c>
      <c r="F3" s="3469">
        <v>1356.1</v>
      </c>
      <c r="G3" s="3469">
        <v>144.55000000000001</v>
      </c>
    </row>
    <row r="4" spans="1:7">
      <c r="A4" s="3469">
        <v>3</v>
      </c>
      <c r="B4" s="3469" t="s">
        <v>3388</v>
      </c>
      <c r="C4" s="3469" t="s">
        <v>3389</v>
      </c>
      <c r="D4" s="3469" t="s">
        <v>3390</v>
      </c>
      <c r="E4" s="3469" t="s">
        <v>673</v>
      </c>
      <c r="F4" s="3469">
        <v>1746.94</v>
      </c>
      <c r="G4" s="3469">
        <v>186.22</v>
      </c>
    </row>
    <row r="5" spans="1:7">
      <c r="A5" s="3469">
        <v>4</v>
      </c>
      <c r="B5" s="3469" t="s">
        <v>3391</v>
      </c>
      <c r="C5" s="3469" t="s">
        <v>3392</v>
      </c>
      <c r="D5" s="3469" t="s">
        <v>3393</v>
      </c>
      <c r="E5" s="3469" t="s">
        <v>673</v>
      </c>
      <c r="F5" s="3469">
        <v>1070.23</v>
      </c>
      <c r="G5" s="3469">
        <v>114.08</v>
      </c>
    </row>
    <row r="6" spans="1:7">
      <c r="A6" s="3469">
        <v>5</v>
      </c>
      <c r="B6" s="3469" t="s">
        <v>3394</v>
      </c>
      <c r="C6" s="3469" t="s">
        <v>3395</v>
      </c>
      <c r="D6" s="3469" t="s">
        <v>3396</v>
      </c>
      <c r="E6" s="3469" t="s">
        <v>673</v>
      </c>
      <c r="F6" s="3469">
        <v>239.04</v>
      </c>
      <c r="G6" s="3469">
        <v>25.48</v>
      </c>
    </row>
    <row r="7" spans="1:7">
      <c r="A7" s="3469">
        <v>6</v>
      </c>
      <c r="B7" s="3469" t="s">
        <v>3397</v>
      </c>
      <c r="C7" s="3469" t="s">
        <v>3398</v>
      </c>
      <c r="D7" s="3469" t="s">
        <v>3399</v>
      </c>
      <c r="E7" s="3469" t="s">
        <v>673</v>
      </c>
      <c r="F7" s="3469">
        <v>4034.09</v>
      </c>
      <c r="G7" s="3469">
        <v>430.01</v>
      </c>
    </row>
    <row r="8" spans="1:7">
      <c r="A8" s="3469">
        <v>7</v>
      </c>
      <c r="B8" s="3469" t="s">
        <v>3400</v>
      </c>
      <c r="C8" s="3469" t="s">
        <v>3401</v>
      </c>
      <c r="D8" s="3469" t="s">
        <v>3402</v>
      </c>
      <c r="E8" s="3469" t="s">
        <v>673</v>
      </c>
      <c r="F8" s="3469">
        <v>1778.1</v>
      </c>
      <c r="G8" s="3469">
        <v>189.54</v>
      </c>
    </row>
    <row r="9" spans="1:7">
      <c r="A9" s="3469">
        <v>8</v>
      </c>
      <c r="B9" s="3469" t="s">
        <v>3403</v>
      </c>
      <c r="C9" s="3469" t="s">
        <v>3404</v>
      </c>
      <c r="D9" s="3469" t="s">
        <v>3405</v>
      </c>
      <c r="E9" s="3469" t="s">
        <v>673</v>
      </c>
      <c r="F9" s="3469">
        <v>1936.87</v>
      </c>
      <c r="G9" s="3469">
        <v>206.46</v>
      </c>
    </row>
    <row r="10" spans="1:7">
      <c r="A10" s="3469">
        <v>9</v>
      </c>
      <c r="B10" s="3469" t="s">
        <v>3406</v>
      </c>
      <c r="C10" s="3469" t="s">
        <v>3407</v>
      </c>
      <c r="D10" s="3469" t="s">
        <v>3408</v>
      </c>
      <c r="E10" s="3469" t="s">
        <v>21</v>
      </c>
      <c r="F10" s="3469">
        <v>2201.21</v>
      </c>
      <c r="G10" s="3469">
        <v>234.64</v>
      </c>
    </row>
    <row r="11" spans="1:7">
      <c r="A11" s="3469">
        <v>10</v>
      </c>
      <c r="B11" s="3469" t="s">
        <v>3409</v>
      </c>
      <c r="C11" s="3469" t="s">
        <v>3410</v>
      </c>
      <c r="D11" s="3469" t="s">
        <v>3411</v>
      </c>
      <c r="E11" s="3469" t="s">
        <v>21</v>
      </c>
      <c r="F11" s="3469">
        <v>2046.46</v>
      </c>
      <c r="G11" s="3469">
        <v>218.14</v>
      </c>
    </row>
    <row r="12" spans="1:7">
      <c r="A12" s="3469">
        <v>11</v>
      </c>
      <c r="B12" s="3469" t="s">
        <v>3412</v>
      </c>
      <c r="C12" s="3469" t="s">
        <v>3413</v>
      </c>
      <c r="D12" s="3469" t="s">
        <v>3414</v>
      </c>
      <c r="E12" s="3469" t="s">
        <v>21</v>
      </c>
      <c r="F12" s="3469">
        <v>2061.62</v>
      </c>
      <c r="G12" s="3469">
        <v>219.76</v>
      </c>
    </row>
    <row r="13" spans="1:7">
      <c r="A13" s="3469">
        <v>12</v>
      </c>
      <c r="B13" s="3469" t="s">
        <v>3415</v>
      </c>
      <c r="C13" s="3469" t="s">
        <v>3416</v>
      </c>
      <c r="D13" s="3469" t="s">
        <v>3417</v>
      </c>
      <c r="E13" s="3469" t="s">
        <v>21</v>
      </c>
      <c r="F13" s="3469">
        <v>1860.21</v>
      </c>
      <c r="G13" s="3469">
        <v>198.29</v>
      </c>
    </row>
    <row r="14" spans="1:7">
      <c r="A14" s="3469">
        <v>13</v>
      </c>
      <c r="B14" s="3469" t="s">
        <v>3418</v>
      </c>
      <c r="C14" s="3469" t="s">
        <v>3419</v>
      </c>
      <c r="D14" s="3469" t="s">
        <v>3420</v>
      </c>
      <c r="E14" s="3469" t="s">
        <v>673</v>
      </c>
      <c r="F14" s="3469">
        <v>1218.97</v>
      </c>
      <c r="G14" s="3469">
        <v>129.94</v>
      </c>
    </row>
    <row r="15" spans="1:7">
      <c r="A15" s="3469">
        <v>14</v>
      </c>
      <c r="B15" s="3469" t="s">
        <v>3421</v>
      </c>
      <c r="C15" s="3469" t="s">
        <v>3422</v>
      </c>
      <c r="D15" s="3469" t="s">
        <v>3423</v>
      </c>
      <c r="E15" s="3469" t="s">
        <v>673</v>
      </c>
      <c r="F15" s="3469">
        <v>1453.72</v>
      </c>
      <c r="G15" s="3469">
        <v>154.96</v>
      </c>
    </row>
    <row r="16" spans="1:7">
      <c r="A16" s="3469">
        <v>15</v>
      </c>
      <c r="B16" s="3469" t="s">
        <v>3424</v>
      </c>
      <c r="C16" s="3469" t="s">
        <v>3425</v>
      </c>
      <c r="D16" s="3469" t="s">
        <v>3426</v>
      </c>
      <c r="E16" s="3469" t="s">
        <v>673</v>
      </c>
      <c r="F16" s="3469">
        <v>1258.8800000000001</v>
      </c>
      <c r="G16" s="3469">
        <v>134.19</v>
      </c>
    </row>
    <row r="17" spans="1:7">
      <c r="A17" s="3469">
        <v>16</v>
      </c>
      <c r="B17" s="3469" t="s">
        <v>3427</v>
      </c>
      <c r="C17" s="3469" t="s">
        <v>3428</v>
      </c>
      <c r="D17" s="3469" t="s">
        <v>3429</v>
      </c>
      <c r="E17" s="3469" t="s">
        <v>673</v>
      </c>
      <c r="F17" s="3469">
        <v>1666.54</v>
      </c>
      <c r="G17" s="3469">
        <v>177.64</v>
      </c>
    </row>
    <row r="18" spans="1:7">
      <c r="A18" s="3469">
        <v>17</v>
      </c>
      <c r="B18" s="3469" t="s">
        <v>3430</v>
      </c>
      <c r="C18" s="3469" t="s">
        <v>3431</v>
      </c>
      <c r="D18" s="3469" t="s">
        <v>3432</v>
      </c>
      <c r="E18" s="3469" t="s">
        <v>673</v>
      </c>
      <c r="F18" s="3469">
        <v>1474.31</v>
      </c>
      <c r="G18" s="3469">
        <v>157.15</v>
      </c>
    </row>
    <row r="19" spans="1:7">
      <c r="A19" s="3469">
        <v>18</v>
      </c>
      <c r="B19" s="3469" t="s">
        <v>3433</v>
      </c>
      <c r="C19" s="3469" t="s">
        <v>3434</v>
      </c>
      <c r="D19" s="3469" t="s">
        <v>3435</v>
      </c>
      <c r="E19" s="3469" t="s">
        <v>673</v>
      </c>
      <c r="F19" s="3469">
        <v>2360.36</v>
      </c>
      <c r="G19" s="3469">
        <v>251.6</v>
      </c>
    </row>
    <row r="20" spans="1:7">
      <c r="A20" s="3469">
        <v>19</v>
      </c>
      <c r="B20" s="3469" t="s">
        <v>3436</v>
      </c>
      <c r="C20" s="3469" t="s">
        <v>3437</v>
      </c>
      <c r="D20" s="3469" t="s">
        <v>3438</v>
      </c>
      <c r="E20" s="3469" t="s">
        <v>673</v>
      </c>
      <c r="F20" s="3469">
        <v>1845.83</v>
      </c>
      <c r="G20" s="3469">
        <v>196.76</v>
      </c>
    </row>
    <row r="21" spans="1:7">
      <c r="A21" s="3469">
        <v>20</v>
      </c>
      <c r="B21" s="3469" t="s">
        <v>3439</v>
      </c>
      <c r="C21" s="3469" t="s">
        <v>3440</v>
      </c>
      <c r="D21" s="3469" t="s">
        <v>3441</v>
      </c>
      <c r="E21" s="3469" t="s">
        <v>673</v>
      </c>
      <c r="F21" s="3469">
        <v>2315.83</v>
      </c>
      <c r="G21" s="3469">
        <v>246.86</v>
      </c>
    </row>
    <row r="22" spans="1:7">
      <c r="A22" s="3469">
        <v>21</v>
      </c>
      <c r="B22" s="3469" t="s">
        <v>3442</v>
      </c>
      <c r="C22" s="3469" t="s">
        <v>3443</v>
      </c>
      <c r="D22" s="3469" t="s">
        <v>3444</v>
      </c>
      <c r="E22" s="3469" t="s">
        <v>673</v>
      </c>
      <c r="F22" s="3469">
        <v>1237.3599999999999</v>
      </c>
      <c r="G22" s="3469">
        <v>131.9</v>
      </c>
    </row>
    <row r="23" spans="1:7">
      <c r="A23" s="3469">
        <v>22</v>
      </c>
      <c r="B23" s="3469" t="s">
        <v>3445</v>
      </c>
      <c r="C23" s="3469" t="s">
        <v>3446</v>
      </c>
      <c r="D23" s="3469" t="s">
        <v>3447</v>
      </c>
      <c r="E23" s="3469" t="s">
        <v>673</v>
      </c>
      <c r="F23" s="3469">
        <v>1921.09</v>
      </c>
      <c r="G23" s="3469">
        <v>204.78</v>
      </c>
    </row>
    <row r="24" spans="1:7">
      <c r="A24" s="3469">
        <v>23</v>
      </c>
      <c r="B24" s="3469" t="s">
        <v>3448</v>
      </c>
      <c r="C24" s="3469" t="s">
        <v>3449</v>
      </c>
      <c r="D24" s="3469" t="s">
        <v>3450</v>
      </c>
      <c r="E24" s="3469" t="s">
        <v>673</v>
      </c>
      <c r="F24" s="3469">
        <v>1824.16</v>
      </c>
      <c r="G24" s="3469">
        <v>194.45</v>
      </c>
    </row>
    <row r="25" spans="1:7">
      <c r="A25" s="3469">
        <v>24</v>
      </c>
      <c r="B25" s="3469" t="s">
        <v>3451</v>
      </c>
      <c r="C25" s="3469" t="s">
        <v>3452</v>
      </c>
      <c r="D25" s="3469" t="s">
        <v>3453</v>
      </c>
      <c r="E25" s="3469" t="s">
        <v>673</v>
      </c>
      <c r="F25" s="3469">
        <v>720.72</v>
      </c>
      <c r="G25" s="3469">
        <v>76.83</v>
      </c>
    </row>
    <row r="26" spans="1:7">
      <c r="A26" s="3469" t="s">
        <v>3454</v>
      </c>
      <c r="B26" s="3469">
        <v>40083.94</v>
      </c>
      <c r="C26" s="3469">
        <v>4272.76</v>
      </c>
      <c r="D26" s="3469"/>
      <c r="E26" s="3469"/>
      <c r="F26" s="3469"/>
      <c r="G26" s="3469"/>
    </row>
    <row r="49" spans="6:10">
      <c r="H49">
        <v>10</v>
      </c>
      <c r="I49">
        <v>7142.5</v>
      </c>
      <c r="J49">
        <f>I49*H49*365/10000*0.9</f>
        <v>2346.3112499999997</v>
      </c>
    </row>
    <row r="50" spans="6:10">
      <c r="F50">
        <f>7142.5+9019.59</f>
        <v>16162.09</v>
      </c>
      <c r="H50">
        <f>H49*0.7</f>
        <v>7</v>
      </c>
      <c r="I50">
        <v>3889.79</v>
      </c>
      <c r="J50">
        <f t="shared" ref="J50:J51" si="0">I50*H50*365/10000*0.9</f>
        <v>894.45721049999997</v>
      </c>
    </row>
    <row r="51" spans="6:10">
      <c r="F51">
        <v>3889.79</v>
      </c>
      <c r="H51">
        <f>H49*0.5</f>
        <v>5</v>
      </c>
      <c r="I51">
        <v>9019.59</v>
      </c>
      <c r="J51">
        <f t="shared" si="0"/>
        <v>1481.4676574999999</v>
      </c>
    </row>
    <row r="52" spans="6:10">
      <c r="J52">
        <f>SUM(J49:J51)</f>
        <v>4722.2361179999989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4" t="s">
        <v>925</v>
      </c>
      <c r="E3" s="854" t="s">
        <v>931</v>
      </c>
      <c r="F3" s="854" t="s">
        <v>925</v>
      </c>
      <c r="G3" s="854" t="s">
        <v>926</v>
      </c>
      <c r="H3" s="854" t="s">
        <v>925</v>
      </c>
      <c r="I3" s="854" t="s">
        <v>926</v>
      </c>
    </row>
    <row r="4" spans="1:9" ht="30">
      <c r="A4" s="1505" t="str">
        <f>项目基本情况!S2</f>
        <v>北京市北京市朝阳区安立路68号1层A-1区房地产</v>
      </c>
      <c r="B4" s="854">
        <f>项目基本情况!C17</f>
        <v>40083.94000000001</v>
      </c>
      <c r="C4" s="854">
        <f>项目基本情况!C18</f>
        <v>4272.76</v>
      </c>
      <c r="D4" s="854" t="e">
        <f ca="1">结果表!D118</f>
        <v>#REF!</v>
      </c>
      <c r="E4" s="854" t="e">
        <f ca="1">结果表!E118</f>
        <v>#REF!</v>
      </c>
      <c r="F4" s="854" t="e">
        <f ca="1">结果表!F118</f>
        <v>#REF!</v>
      </c>
      <c r="G4" s="854" t="e">
        <f ca="1">结果表!G118</f>
        <v>#REF!</v>
      </c>
      <c r="H4" s="854">
        <f ca="1">结果表!H118</f>
        <v>101033</v>
      </c>
      <c r="I4" s="854">
        <f ca="1">结果表!I118</f>
        <v>25205</v>
      </c>
    </row>
    <row r="5" spans="1:9" ht="30" customHeight="1">
      <c r="A5" s="3491" t="s">
        <v>927</v>
      </c>
      <c r="B5" s="3491"/>
      <c r="C5" s="3491"/>
      <c r="D5" s="3491" t="e">
        <f ca="1">结果表!D119</f>
        <v>#REF!</v>
      </c>
      <c r="E5" s="3491"/>
      <c r="F5" s="3491" t="e">
        <f ca="1">结果表!F119</f>
        <v>#REF!</v>
      </c>
      <c r="G5" s="3491"/>
      <c r="H5" s="3491" t="str">
        <f ca="1">结果表!H119</f>
        <v>壹拾亿壹仟零叁拾叁万元整</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f ca="1">结果表!D122</f>
        <v>101033</v>
      </c>
      <c r="E8" s="3490"/>
      <c r="F8" s="3490"/>
      <c r="G8" s="3490"/>
      <c r="H8" s="3490"/>
      <c r="I8" s="3490"/>
    </row>
    <row r="9" spans="1:9" ht="15">
      <c r="A9" s="3491" t="s">
        <v>927</v>
      </c>
      <c r="B9" s="3491"/>
      <c r="C9" s="3491"/>
      <c r="D9" s="3491" t="str">
        <f ca="1">结果表!D123</f>
        <v>壹拾亿壹仟零叁拾叁万元整</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
      </c>
      <c r="B12" s="3490"/>
      <c r="C12" s="3490"/>
      <c r="D12" s="3490" t="str">
        <f>结果表!D126</f>
        <v>——</v>
      </c>
      <c r="E12" s="3490"/>
      <c r="F12" s="3490"/>
      <c r="G12" s="3490"/>
      <c r="H12" s="3490"/>
      <c r="I12" s="3490"/>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1" t="s">
        <v>956</v>
      </c>
      <c r="B15" s="3506" t="s">
        <v>109</v>
      </c>
      <c r="C15" s="3507"/>
    </row>
    <row r="16" spans="1:7" ht="13.5">
      <c r="A16" s="3512"/>
      <c r="B16" s="3506" t="s">
        <v>42</v>
      </c>
      <c r="C16" s="3507"/>
    </row>
    <row r="17" spans="1:3" ht="13.5">
      <c r="A17" s="3512"/>
      <c r="B17" s="3509" t="s">
        <v>957</v>
      </c>
      <c r="C17" s="1532" t="s">
        <v>956</v>
      </c>
    </row>
    <row r="18" spans="1:3" ht="13.5">
      <c r="A18" s="3512"/>
      <c r="B18" s="3509"/>
      <c r="C18" s="1532" t="s">
        <v>958</v>
      </c>
    </row>
    <row r="19" spans="1:3" ht="13.5">
      <c r="A19" s="3512"/>
      <c r="B19" s="3509"/>
      <c r="C19" s="1532" t="s">
        <v>959</v>
      </c>
    </row>
    <row r="20" spans="1:3" ht="13.5">
      <c r="A20" s="3513"/>
      <c r="B20" s="3508" t="s">
        <v>960</v>
      </c>
      <c r="C20" s="3507"/>
    </row>
    <row r="21" spans="1:3" ht="13.5">
      <c r="A21" s="1533" t="s">
        <v>961</v>
      </c>
      <c r="B21" s="1534"/>
      <c r="C21" s="1535"/>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2" t="s">
        <v>967</v>
      </c>
    </row>
    <row r="26" spans="1:3" ht="13.5">
      <c r="A26" s="3510"/>
      <c r="B26" s="3509"/>
      <c r="C26" s="1532" t="s">
        <v>968</v>
      </c>
    </row>
    <row r="27" spans="1:3" ht="13.5">
      <c r="A27" s="3510"/>
      <c r="B27" s="3509"/>
      <c r="C27" s="1532" t="s">
        <v>969</v>
      </c>
    </row>
    <row r="28" spans="1:3" ht="13.5">
      <c r="A28" s="3510"/>
      <c r="B28" s="3509"/>
      <c r="C28" s="1532" t="s">
        <v>970</v>
      </c>
    </row>
    <row r="29" spans="1:3" ht="13.5">
      <c r="A29" s="3510"/>
      <c r="B29" s="3509"/>
      <c r="C29" s="1532" t="s">
        <v>971</v>
      </c>
    </row>
    <row r="30" spans="1:3" ht="13.5">
      <c r="A30" s="3510"/>
      <c r="B30" s="3509"/>
      <c r="C30" s="1532" t="s">
        <v>972</v>
      </c>
    </row>
    <row r="31" spans="1:3" ht="13.5">
      <c r="A31" s="3510"/>
      <c r="B31" s="3509"/>
      <c r="C31" s="1532" t="s">
        <v>973</v>
      </c>
    </row>
    <row r="32" spans="1:3" ht="13.5">
      <c r="A32" s="3510"/>
      <c r="B32" s="3509"/>
      <c r="C32" s="1532" t="s">
        <v>974</v>
      </c>
    </row>
    <row r="33" spans="1:3" ht="13.5">
      <c r="A33" s="3510"/>
      <c r="B33" s="350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3"/>
      <c r="E18" s="3516" t="s">
        <v>2162</v>
      </c>
      <c r="F18" s="3515"/>
      <c r="G18" s="351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收益法-办公</vt:lpstr>
      <vt:lpstr>面积指标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2023-03-21T01:50:04Z</dcterms:modified>
</cp:coreProperties>
</file>