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6"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Sheet2" sheetId="70" r:id="rId43"/>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7" i="9"/>
  <c r="D30" i="9"/>
  <c r="C24" i="9"/>
  <c r="C32" i="9"/>
  <c r="C33" i="9"/>
  <c r="N38" i="9"/>
  <c r="R24" i="31"/>
  <c r="S24" i="31"/>
  <c r="C25" i="31"/>
  <c r="R25" i="31"/>
  <c r="S25" i="31"/>
  <c r="R26" i="31"/>
  <c r="S26" i="31"/>
  <c r="S22" i="31"/>
  <c r="D14" i="66"/>
  <c r="G14" i="66"/>
  <c r="B22" i="31"/>
  <c r="B14" i="66"/>
  <c r="B26" i="31"/>
  <c r="B24" i="31"/>
  <c r="C34" i="9"/>
  <c r="M38" i="9"/>
  <c r="I40" i="39"/>
  <c r="G40" i="39"/>
  <c r="I9" i="39"/>
  <c r="G9" i="39"/>
  <c r="I7" i="39"/>
  <c r="G7" i="39"/>
  <c r="C30" i="9"/>
  <c r="B27" i="9"/>
  <c r="B30" i="9"/>
  <c r="U25" i="1"/>
  <c r="U24" i="1"/>
  <c r="U23" i="1"/>
  <c r="U22" i="1"/>
  <c r="Q22" i="1"/>
  <c r="Q23" i="1"/>
  <c r="Q24" i="1"/>
  <c r="Q25" i="1"/>
  <c r="Q26" i="1"/>
  <c r="E40" i="39"/>
  <c r="C40" i="39"/>
  <c r="E73" i="39"/>
  <c r="F73" i="39"/>
  <c r="G73" i="39"/>
  <c r="H73" i="39"/>
  <c r="I73" i="39"/>
  <c r="J73" i="39"/>
  <c r="K73" i="39"/>
  <c r="L73" i="39"/>
  <c r="M73" i="39"/>
  <c r="N73" i="39"/>
  <c r="D73" i="39"/>
  <c r="E9" i="39"/>
  <c r="E7" i="39"/>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52" i="69"/>
  <c r="P53" i="69"/>
  <c r="P54" i="69"/>
  <c r="P55" i="69"/>
  <c r="P56" i="69"/>
  <c r="P57" i="69"/>
  <c r="P58" i="69"/>
  <c r="P59" i="69"/>
  <c r="P60" i="69"/>
  <c r="P61" i="69"/>
  <c r="P62" i="69"/>
  <c r="P63" i="69"/>
  <c r="P64" i="69"/>
  <c r="P65" i="69"/>
  <c r="P66" i="69"/>
  <c r="P67" i="69"/>
  <c r="P68" i="69"/>
  <c r="P69" i="69"/>
  <c r="P70" i="69"/>
  <c r="P71" i="69"/>
  <c r="P72" i="69"/>
  <c r="P73" i="69"/>
  <c r="P74" i="69"/>
  <c r="P75" i="69"/>
  <c r="P76" i="69"/>
  <c r="P77" i="69"/>
  <c r="P78" i="69"/>
  <c r="P79" i="69"/>
  <c r="P80" i="69"/>
  <c r="P81" i="69"/>
  <c r="P82" i="69"/>
  <c r="P83" i="69"/>
  <c r="P84" i="69"/>
  <c r="P85" i="69"/>
  <c r="P86" i="69"/>
  <c r="P87" i="69"/>
  <c r="P88" i="69"/>
  <c r="P89" i="69"/>
  <c r="P90" i="69"/>
  <c r="P91" i="69"/>
  <c r="P92" i="69"/>
  <c r="P93" i="69"/>
  <c r="P94" i="69"/>
  <c r="P95" i="69"/>
  <c r="P96" i="69"/>
  <c r="P97" i="69"/>
  <c r="P98" i="69"/>
  <c r="P99" i="69"/>
  <c r="P100" i="69"/>
  <c r="P101" i="69"/>
  <c r="O3" i="69"/>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34" i="69"/>
  <c r="O35" i="69"/>
  <c r="O36" i="69"/>
  <c r="O37" i="69"/>
  <c r="O38" i="69"/>
  <c r="O39" i="69"/>
  <c r="O40" i="69"/>
  <c r="O41" i="69"/>
  <c r="O42" i="69"/>
  <c r="O43" i="69"/>
  <c r="O44" i="69"/>
  <c r="O45" i="69"/>
  <c r="O46" i="69"/>
  <c r="O47" i="69"/>
  <c r="O48" i="69"/>
  <c r="O49" i="69"/>
  <c r="O50" i="69"/>
  <c r="O51" i="69"/>
  <c r="O52" i="69"/>
  <c r="O53" i="69"/>
  <c r="O54" i="69"/>
  <c r="O55" i="69"/>
  <c r="O56" i="69"/>
  <c r="O57" i="69"/>
  <c r="O58" i="69"/>
  <c r="O59" i="69"/>
  <c r="O60" i="69"/>
  <c r="O61" i="69"/>
  <c r="O62" i="69"/>
  <c r="O63" i="69"/>
  <c r="O64" i="69"/>
  <c r="O65" i="69"/>
  <c r="O66" i="69"/>
  <c r="O67" i="69"/>
  <c r="O68" i="69"/>
  <c r="O69" i="69"/>
  <c r="O70" i="69"/>
  <c r="O71" i="69"/>
  <c r="O72" i="69"/>
  <c r="O73" i="69"/>
  <c r="O74" i="69"/>
  <c r="O75" i="69"/>
  <c r="O76" i="69"/>
  <c r="O77" i="69"/>
  <c r="O78" i="69"/>
  <c r="O79" i="69"/>
  <c r="O80" i="69"/>
  <c r="O81" i="69"/>
  <c r="O82" i="69"/>
  <c r="O83" i="69"/>
  <c r="O84" i="69"/>
  <c r="O85" i="69"/>
  <c r="O86" i="69"/>
  <c r="O87" i="69"/>
  <c r="O88" i="69"/>
  <c r="O89" i="69"/>
  <c r="O90" i="69"/>
  <c r="O91" i="69"/>
  <c r="O92" i="69"/>
  <c r="O93" i="69"/>
  <c r="O94" i="69"/>
  <c r="O95" i="69"/>
  <c r="O96" i="69"/>
  <c r="O97" i="69"/>
  <c r="O98" i="69"/>
  <c r="O99" i="69"/>
  <c r="O100" i="69"/>
  <c r="O101" i="69"/>
  <c r="P2" i="69"/>
  <c r="O2" i="69"/>
  <c r="G1" i="15"/>
  <c r="I13" i="3"/>
  <c r="F19" i="6"/>
  <c r="E19" i="6"/>
  <c r="K6" i="1"/>
  <c r="F32" i="15"/>
  <c r="F33" i="15"/>
  <c r="BB13" i="3"/>
  <c r="BA13" i="3"/>
  <c r="AZ13" i="3"/>
  <c r="AZ5" i="3"/>
  <c r="H13" i="3"/>
  <c r="G13" i="3"/>
  <c r="G5" i="3"/>
  <c r="B3" i="3"/>
  <c r="AY6" i="3"/>
  <c r="D3" i="6"/>
  <c r="E3" i="6"/>
  <c r="D19" i="6"/>
  <c r="BA5" i="3"/>
  <c r="E27" i="6"/>
  <c r="K19" i="6"/>
  <c r="L19" i="6"/>
  <c r="M19" i="6"/>
  <c r="I19" i="6"/>
  <c r="H19" i="6"/>
  <c r="R19" i="6"/>
  <c r="R6" i="1"/>
  <c r="F34" i="15"/>
  <c r="M6" i="1"/>
  <c r="K14" i="1"/>
  <c r="M14" i="1"/>
  <c r="S7" i="1"/>
  <c r="S8" i="1"/>
  <c r="S9" i="1"/>
  <c r="S10" i="1"/>
  <c r="S11" i="1"/>
  <c r="S12" i="1"/>
  <c r="S13" i="1"/>
  <c r="S6" i="1"/>
  <c r="S16" i="1"/>
  <c r="T6" i="1"/>
  <c r="F15" i="15"/>
  <c r="F17" i="15"/>
  <c r="F18" i="15"/>
  <c r="F20" i="15"/>
  <c r="C2" i="65"/>
  <c r="I1" i="65"/>
  <c r="F23" i="15"/>
  <c r="F21" i="15"/>
  <c r="F28" i="15"/>
  <c r="C28" i="15"/>
  <c r="J51" i="15"/>
  <c r="J57" i="15"/>
  <c r="J55" i="15"/>
  <c r="J58" i="15"/>
  <c r="J59" i="15"/>
  <c r="J60" i="15"/>
  <c r="L46" i="15"/>
  <c r="B3" i="15"/>
  <c r="C8" i="12"/>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R27" i="31"/>
  <c r="R28" i="31"/>
  <c r="S28" i="31"/>
  <c r="R29" i="31"/>
  <c r="R30" i="31"/>
  <c r="S30" i="31"/>
  <c r="R31" i="31"/>
  <c r="R32" i="31"/>
  <c r="S32" i="31"/>
  <c r="R33" i="31"/>
  <c r="C34" i="31"/>
  <c r="E34" i="31"/>
  <c r="G34" i="31"/>
  <c r="I34" i="31"/>
  <c r="K34" i="31"/>
  <c r="M34" i="31"/>
  <c r="O34" i="31"/>
  <c r="Q34" i="31"/>
  <c r="R34" i="31"/>
  <c r="S34" i="31"/>
  <c r="C35" i="31"/>
  <c r="E35" i="31"/>
  <c r="G35" i="31"/>
  <c r="I35" i="31"/>
  <c r="K35" i="31"/>
  <c r="M35" i="31"/>
  <c r="O35" i="31"/>
  <c r="Q35"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7" i="31"/>
  <c r="C28" i="31"/>
  <c r="C29" i="31"/>
  <c r="C30" i="31"/>
  <c r="C31" i="31"/>
  <c r="C32" i="31"/>
  <c r="C33"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D16" i="43"/>
  <c r="C16" i="43"/>
  <c r="L27" i="6"/>
  <c r="B21" i="55"/>
  <c r="B72" i="63"/>
  <c r="B20" i="55"/>
  <c r="B70" i="63"/>
  <c r="E6" i="6"/>
  <c r="L38" i="9"/>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13"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25" i="12"/>
  <c r="C42" i="9"/>
  <c r="C44" i="9"/>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H1" i="65"/>
  <c r="W7" i="21"/>
  <c r="Q16" i="1"/>
  <c r="F31" i="6"/>
  <c r="H51" i="46"/>
  <c r="X7" i="46"/>
  <c r="E17" i="46"/>
  <c r="N17" i="46"/>
  <c r="O17" i="46"/>
  <c r="M17" i="46"/>
  <c r="L17" i="46"/>
  <c r="R16" i="1"/>
  <c r="H22" i="46"/>
  <c r="Y11" i="46"/>
  <c r="Y13" i="46"/>
  <c r="H101" i="46"/>
  <c r="H102" i="46"/>
  <c r="G22" i="46"/>
  <c r="J22" i="46"/>
  <c r="F101" i="46"/>
  <c r="F106" i="46"/>
  <c r="D101" i="46"/>
  <c r="D106" i="46"/>
  <c r="D13" i="11"/>
  <c r="C13" i="11"/>
  <c r="E28" i="6"/>
  <c r="O7" i="1"/>
  <c r="P7" i="1"/>
  <c r="O11" i="1"/>
  <c r="P11" i="1"/>
  <c r="O13" i="1"/>
  <c r="P13" i="1"/>
  <c r="O9" i="1"/>
  <c r="P9" i="1"/>
  <c r="E10" i="6"/>
  <c r="O12" i="1"/>
  <c r="P12" i="1"/>
  <c r="AP7"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B2" i="66"/>
  <c r="D24" i="6"/>
  <c r="D26" i="6"/>
  <c r="H26" i="6"/>
  <c r="R26" i="6"/>
  <c r="D22" i="6"/>
  <c r="D11" i="6"/>
  <c r="D12" i="6"/>
  <c r="H20"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J24" i="15"/>
  <c r="L52" i="44"/>
  <c r="F67" i="40"/>
  <c r="G65" i="40"/>
  <c r="E48" i="21"/>
  <c r="R49" i="21"/>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K27" i="9"/>
  <c r="E42" i="9"/>
  <c r="P5" i="54"/>
  <c r="B46" i="63"/>
  <c r="B5" i="11"/>
  <c r="B3" i="11"/>
  <c r="B4" i="11"/>
  <c r="K28" i="9"/>
  <c r="D42" i="9"/>
  <c r="Q5" i="54"/>
  <c r="B47" i="63"/>
  <c r="K25" i="9"/>
  <c r="K26" i="9"/>
  <c r="N68" i="9"/>
  <c r="D63" i="9"/>
  <c r="R5" i="54"/>
  <c r="B48" i="63"/>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K65" i="40"/>
  <c r="J67" i="40"/>
  <c r="B4" i="46"/>
  <c r="B2" i="67"/>
  <c r="B4" i="67"/>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<sst xmlns="http://schemas.openxmlformats.org/spreadsheetml/2006/main" count="7865" uniqueCount="3264">
  <si>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</si>
  <si>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</si>
  <si>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</si>
  <si>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</si>
  <si>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</si>
  <si>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</si>
  <si>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</si>
  <si>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</si>
  <si>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</si>
  <si>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</si>
  <si>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</si>
  <si>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</si>
  <si>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</si>
  <si>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</si>
  <si>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</si>
  <si>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</si>
  <si>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</si>
  <si>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</si>
  <si>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</si>
  <si>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</si>
  <si>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</si>
  <si>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</si>
  <si>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</si>
  <si>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</si>
  <si>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</si>
  <si>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</si>
  <si>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</si>
  <si>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</si>
  <si>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</si>
  <si>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</si>
  <si>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</si>
  <si>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</si>
  <si>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</si>
  <si>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</si>
  <si>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</si>
  <si>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</si>
  <si>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</si>
  <si>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</si>
  <si>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</si>
  <si>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</si>
  <si>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</si>
  <si>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</si>
  <si>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</si>
  <si>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</si>
  <si>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</si>
  <si>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</si>
  <si>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</si>
  <si>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</si>
  <si>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</si>
  <si>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</si>
  <si>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</si>
  <si>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</si>
  <si>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</si>
  <si>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</si>
  <si>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</si>
  <si>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</si>
  <si>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</si>
  <si>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</si>
  <si>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</si>
  <si>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</si>
  <si>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</si>
  <si>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</si>
  <si>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</si>
  <si>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</si>
  <si>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</si>
  <si>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</si>
  <si>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</si>
  <si>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</si>
  <si>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</si>
  <si>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</si>
  <si>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</si>
  <si>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</si>
  <si>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</si>
  <si>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</si>
  <si>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</si>
  <si>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</si>
  <si>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</si>
  <si>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</si>
  <si>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</si>
  <si>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</si>
  <si>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</si>
  <si>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</si>
  <si>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</si>
  <si>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</si>
  <si>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</si>
  <si>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</si>
  <si>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</si>
  <si>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</si>
  <si>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</si>
  <si>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</si>
  <si>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</si>
  <si>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</si>
  <si>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</si>
  <si>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</si>
  <si>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</si>
  <si>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</si>
  <si>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</si>
  <si>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</si>
  <si>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</si>
  <si>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</si>
  <si>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</si>
  <si>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</si>
  <si>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</si>
  <si>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</si>
  <si>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</si>
  <si>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</si>
  <si>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</si>
  <si>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</si>
  <si>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</si>
  <si>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</si>
  <si>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</si>
  <si>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</si>
  <si>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</si>
  <si>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</si>
  <si>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</si>
  <si>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</si>
  <si>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</si>
  <si>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</si>
  <si>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</si>
  <si>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</si>
  <si>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</si>
  <si>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</si>
  <si>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</si>
  <si>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</si>
  <si>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</si>
  <si>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</si>
  <si>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</si>
  <si>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</si>
  <si>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</si>
  <si>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</si>
  <si>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</si>
  <si>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</si>
  <si>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</si>
  <si>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</si>
  <si>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</si>
  <si>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</si>
  <si>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</si>
  <si>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</si>
  <si>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</si>
  <si>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</si>
  <si>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</si>
  <si>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</si>
  <si>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</si>
  <si>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</si>
  <si>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</si>
  <si>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</si>
  <si>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</si>
  <si>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</si>
  <si>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</si>
  <si>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</si>
  <si>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</si>
  <si>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</si>
  <si>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</si>
  <si>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</si>
  <si>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</si>
  <si>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</si>
  <si>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</si>
  <si>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</si>
  <si>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</si>
  <si>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</si>
  <si>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</si>
  <si>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</si>
  <si>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</si>
  <si>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</si>
  <si>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</si>
  <si>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</si>
  <si>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</si>
  <si>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</si>
  <si>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</si>
  <si>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</si>
  <si>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</si>
  <si>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</si>
  <si>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</si>
  <si>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</si>
  <si>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</si>
  <si>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</si>
  <si>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</si>
  <si>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</si>
  <si>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</si>
  <si>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</si>
  <si>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</si>
  <si>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</si>
  <si>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</si>
  <si>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</si>
  <si>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</si>
  <si>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</si>
  <si>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</si>
  <si>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</si>
  <si>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</si>
  <si>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</si>
  <si>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</si>
  <si>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</si>
  <si>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</si>
  <si>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</si>
  <si>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</si>
  <si>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</si>
  <si>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</si>
  <si>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</si>
  <si>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</si>
  <si>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</si>
  <si>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</si>
  <si>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</si>
  <si>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</si>
  <si>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</si>
  <si>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</si>
  <si>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</si>
  <si>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</si>
  <si>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</si>
  <si>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</si>
  <si>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</si>
  <si>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</si>
  <si>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</si>
  <si>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</si>
  <si>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</si>
  <si>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</si>
  <si>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</si>
  <si>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</si>
  <si>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</si>
  <si>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</si>
  <si>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</si>
  <si>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</si>
  <si>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</si>
  <si>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</si>
  <si>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</si>
  <si>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</si>
  <si>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</si>
  <si>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</si>
  <si>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</si>
  <si>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</si>
  <si>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</si>
  <si>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</si>
  <si>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</si>
  <si>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</si>
  <si>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</si>
  <si>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</si>
  <si>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</si>
  <si>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</si>
  <si>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</si>
  <si>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</si>
  <si>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</si>
  <si>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</si>
  <si>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</si>
  <si>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</si>
  <si>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</si>
  <si>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</si>
  <si>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</si>
  <si>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</si>
  <si>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</si>
  <si>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</si>
  <si>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</si>
  <si>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</si>
  <si>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</si>
  <si>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</si>
  <si>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</si>
  <si>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</si>
  <si>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</si>
  <si>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</si>
  <si>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</si>
  <si>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</si>
  <si>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</si>
  <si>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</si>
  <si>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</si>
  <si>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</si>
  <si>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</si>
  <si>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</si>
  <si>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</si>
  <si>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</si>
  <si>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</si>
  <si>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</si>
  <si>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</si>
  <si>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</si>
  <si>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</si>
  <si>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</si>
  <si>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</si>
  <si>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</si>
  <si>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</si>
  <si>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</si>
  <si>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</si>
  <si>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</si>
  <si>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</si>
  <si>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</si>
  <si>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</si>
  <si>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</si>
  <si>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</si>
  <si>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</si>
  <si>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</si>
  <si>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</si>
  <si>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</si>
  <si>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</si>
  <si>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</si>
  <si>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</si>
  <si>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</si>
  <si>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</si>
  <si>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</si>
  <si>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</si>
  <si>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</si>
  <si>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</si>
  <si>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</si>
  <si>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</si>
  <si>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</si>
  <si>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</si>
  <si>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</si>
  <si>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</si>
  <si>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</si>
  <si>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</si>
  <si>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</si>
  <si>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</si>
  <si>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</si>
  <si>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</si>
  <si>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</si>
  <si>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</si>
  <si>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</si>
  <si>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</si>
  <si>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</si>
  <si>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</si>
  <si>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</si>
  <si>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</si>
  <si>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</si>
  <si>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</si>
  <si>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</si>
  <si>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</si>
  <si>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</si>
  <si>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</si>
  <si>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</si>
  <si>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</si>
  <si>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</si>
  <si>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</si>
  <si>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</si>
  <si>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</si>
  <si>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</si>
  <si>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</si>
  <si>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</si>
  <si>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</si>
  <si>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</si>
  <si>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</si>
  <si>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</si>
  <si>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</si>
  <si>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</si>
  <si>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</si>
  <si>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</si>
  <si>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</si>
  <si>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</si>
  <si>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</si>
  <si>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</si>
  <si>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</si>
  <si>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</si>
  <si>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</si>
  <si>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</si>
  <si>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</si>
  <si>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</si>
  <si>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</si>
  <si>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</si>
  <si>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</si>
  <si>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</si>
  <si>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</si>
  <si>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</si>
  <si>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</si>
  <si>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</si>
  <si>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</si>
  <si>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</si>
  <si>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</si>
  <si>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</si>
  <si>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</si>
  <si>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</si>
  <si>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</si>
  <si>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</si>
  <si>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</si>
  <si>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</si>
  <si>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</si>
  <si>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</si>
  <si>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</si>
  <si>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</si>
  <si>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</si>
  <si>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</si>
  <si>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</si>
  <si>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</si>
  <si>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</si>
  <si>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</si>
  <si>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</si>
  <si>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</si>
  <si>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</si>
  <si>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</si>
  <si>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</si>
  <si>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</si>
  <si>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</si>
  <si>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</si>
  <si>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</si>
  <si>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</si>
  <si>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</si>
  <si>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</si>
  <si>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</si>
  <si>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</si>
  <si>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</si>
  <si>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</si>
  <si>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</si>
  <si>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</si>
  <si>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</si>
  <si>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</si>
  <si>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</si>
  <si>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</si>
  <si>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</si>
  <si>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</si>
  <si>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</si>
  <si>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</si>
  <si>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</si>
  <si>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</si>
  <si>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</si>
  <si>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</si>
  <si>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</si>
  <si>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</si>
  <si>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</si>
  <si>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</si>
  <si>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</si>
  <si>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</si>
  <si>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</si>
  <si>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</si>
  <si>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</si>
  <si>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</si>
  <si>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</si>
  <si>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</si>
  <si>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</si>
  <si>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</si>
  <si>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</si>
  <si>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</si>
  <si>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</si>
  <si>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</si>
  <si>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</si>
  <si>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</si>
  <si>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</si>
  <si>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</si>
  <si>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</si>
  <si>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</si>
  <si>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</si>
  <si>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</si>
  <si>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</si>
  <si>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</si>
  <si>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</si>
  <si>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</si>
  <si>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</si>
  <si>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</si>
  <si>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</si>
  <si>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</si>
  <si>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</si>
  <si>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</si>
  <si>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</si>
  <si>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</si>
  <si>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</si>
  <si>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</si>
  <si>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</si>
  <si>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</si>
  <si>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</si>
  <si>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</si>
  <si>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</si>
  <si>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</si>
  <si>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</si>
  <si>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</si>
  <si>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</si>
  <si>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</si>
  <si>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</si>
  <si>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</si>
  <si>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</si>
  <si>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</si>
  <si>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</si>
  <si>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</si>
  <si>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</si>
  <si>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</si>
  <si>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</si>
  <si>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</si>
  <si>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</si>
  <si>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</si>
  <si>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</si>
  <si>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</si>
  <si>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</si>
  <si>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</si>
  <si>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</si>
  <si>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</si>
  <si>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</si>
  <si>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</si>
  <si>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</si>
  <si>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</si>
  <si>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</si>
  <si>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</si>
  <si>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</si>
  <si>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</si>
  <si>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</si>
  <si>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</si>
  <si>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</si>
  <si>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</si>
  <si>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</si>
  <si>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</si>
  <si>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</si>
  <si>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</si>
  <si>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</si>
  <si>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</si>
  <si>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</si>
  <si>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</si>
  <si>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</si>
  <si>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</si>
  <si>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</si>
  <si>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</si>
  <si>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</si>
  <si>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</si>
  <si>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</si>
  <si>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</si>
  <si>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</si>
  <si>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</si>
  <si>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</si>
  <si>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</si>
  <si>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</si>
  <si>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</si>
  <si>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</si>
  <si>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</si>
  <si>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</si>
  <si>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</si>
  <si>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</si>
  <si>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</si>
  <si>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</si>
  <si>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</si>
  <si>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</si>
  <si>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</si>
  <si>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</si>
  <si>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</si>
  <si>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</si>
  <si>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</si>
  <si>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</si>
  <si>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</si>
  <si>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</si>
  <si>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</si>
  <si>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</si>
  <si>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</si>
  <si>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</si>
  <si>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</si>
  <si>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</si>
  <si>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</si>
  <si>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</si>
  <si>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</si>
  <si>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</si>
  <si>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</si>
  <si>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</si>
  <si>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</si>
  <si>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</si>
  <si>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</si>
  <si>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</si>
  <si>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</si>
  <si>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</si>
  <si>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</si>
  <si>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</si>
  <si>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</si>
  <si>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</si>
  <si>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</si>
  <si>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</si>
  <si>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</si>
  <si>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</si>
  <si>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</si>
  <si>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</si>
  <si>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</si>
  <si>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</si>
  <si>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</si>
  <si>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</si>
  <si>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</si>
  <si>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</si>
  <si>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</si>
  <si>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</si>
  <si>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</si>
  <si>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</si>
  <si>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</si>
  <si>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</si>
  <si>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</si>
  <si>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</si>
  <si>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</si>
  <si>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</si>
  <si>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</si>
  <si>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</si>
  <si>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</si>
  <si>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</si>
  <si>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</si>
  <si>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</si>
  <si>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</si>
  <si>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</si>
  <si>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</si>
  <si>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</si>
  <si>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</si>
  <si>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</si>
  <si>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</si>
  <si>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</si>
  <si>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</si>
  <si>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</si>
  <si>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</si>
  <si>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</si>
  <si>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</si>
  <si>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</si>
  <si>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</si>
  <si>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</si>
  <si>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</si>
  <si>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</si>
  <si>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</si>
  <si>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</si>
  <si>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</si>
  <si>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</si>
  <si>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</si>
  <si>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</si>
  <si>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</si>
  <si>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</si>
  <si>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</si>
  <si>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</si>
  <si>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</si>
  <si>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</si>
  <si>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</si>
  <si>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</si>
  <si>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</si>
  <si>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</si>
  <si>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</si>
  <si>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</si>
  <si>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</si>
  <si>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</si>
  <si>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</si>
  <si>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</si>
  <si>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</si>
  <si>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</si>
  <si>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</si>
  <si>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</si>
  <si>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</si>
  <si>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</si>
  <si>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</si>
  <si>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</si>
  <si>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</si>
  <si>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</si>
  <si>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</si>
  <si>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</si>
  <si>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</si>
  <si>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</si>
  <si>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</si>
  <si>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</si>
  <si>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</si>
  <si>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</si>
  <si>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</si>
  <si>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</si>
  <si>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</si>
  <si>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</si>
  <si>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</si>
  <si>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</si>
  <si>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</si>
  <si>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</si>
  <si>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</si>
  <si>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</si>
  <si>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</si>
  <si>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</si>
  <si>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</si>
  <si>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</si>
  <si>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</si>
  <si>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</si>
  <si>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</si>
  <si>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</si>
  <si>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</si>
  <si>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</si>
  <si>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</si>
  <si>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</si>
  <si>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</si>
  <si>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</si>
  <si>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</si>
  <si>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</si>
  <si>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</si>
  <si>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</si>
  <si>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</si>
  <si>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</si>
  <si>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</si>
  <si>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</si>
  <si>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</si>
  <si>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</si>
  <si>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</si>
  <si>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</si>
  <si>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</si>
  <si>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</si>
  <si>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</si>
  <si>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</si>
  <si>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</si>
  <si>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</si>
  <si>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</si>
  <si>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</si>
  <si>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</si>
  <si>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</si>
  <si>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</si>
  <si>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</si>
  <si>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</si>
  <si>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</si>
  <si>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</si>
  <si>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</si>
  <si>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</si>
  <si>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</si>
  <si>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</si>
  <si>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</si>
  <si>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</si>
  <si>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</si>
  <si>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</si>
  <si>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</si>
  <si>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</si>
  <si>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</si>
  <si>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</si>
  <si>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</si>
  <si>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</si>
  <si>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</si>
  <si>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</si>
  <si>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</si>
  <si>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</si>
  <si>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</si>
  <si>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</si>
  <si>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</si>
  <si>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</si>
  <si>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</si>
  <si>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</si>
  <si>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</si>
  <si>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</si>
  <si>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</si>
  <si>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</si>
  <si>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</si>
  <si>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</si>
  <si>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</si>
  <si>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</si>
  <si>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</si>
  <si>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</si>
  <si>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</si>
  <si>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</si>
  <si>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</si>
  <si>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</si>
  <si>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</si>
  <si>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</si>
  <si>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</si>
  <si>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</si>
  <si>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</si>
  <si>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</si>
  <si>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</si>
  <si>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</si>
  <si>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</si>
  <si>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</si>
  <si>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</si>
  <si>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</si>
  <si>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</si>
  <si>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</si>
  <si>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</si>
  <si>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</si>
  <si>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</si>
  <si>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</si>
  <si>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</si>
  <si>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</si>
  <si>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</si>
  <si>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</si>
  <si>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</si>
  <si>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</si>
  <si>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</si>
  <si>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</si>
  <si>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</si>
  <si>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</si>
  <si>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</si>
  <si>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</si>
  <si>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</si>
  <si>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</si>
  <si>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</si>
  <si>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</si>
  <si>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</si>
  <si>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</si>
  <si>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</si>
  <si>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</si>
  <si>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</si>
  <si>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</si>
  <si>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</si>
  <si>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</si>
  <si>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</si>
  <si>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</si>
  <si>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</si>
  <si>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</si>
  <si>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</si>
  <si>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</si>
  <si>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</si>
  <si>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</si>
  <si>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</si>
  <si>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</si>
  <si>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</si>
  <si>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</si>
  <si>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</si>
  <si>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</si>
  <si>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</si>
  <si>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</si>
  <si>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</si>
  <si>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</si>
  <si>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</si>
  <si>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</si>
  <si>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</si>
  <si>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</si>
  <si>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</si>
  <si>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</si>
  <si>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</si>
  <si>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</si>
  <si>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</si>
  <si>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</si>
  <si>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</si>
  <si>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</si>
  <si>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</si>
  <si>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</si>
  <si>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</si>
  <si>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</si>
  <si>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</si>
  <si>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</si>
  <si>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</si>
  <si>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</si>
  <si>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</si>
  <si>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</si>
  <si>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</si>
  <si>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</si>
  <si>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</si>
  <si>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</si>
  <si>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</si>
  <si>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</si>
  <si>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</si>
  <si>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</si>
  <si>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</si>
  <si>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</si>
  <si>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</si>
  <si>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</si>
  <si>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</si>
  <si>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</si>
  <si>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</si>
  <si>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</si>
  <si>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</si>
  <si>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</si>
  <si>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</si>
  <si>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</si>
  <si>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</si>
  <si>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</si>
  <si>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</si>
  <si>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</si>
  <si>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</si>
  <si>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</si>
  <si>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</si>
  <si>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</si>
  <si>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</si>
  <si>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</si>
  <si>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</si>
  <si>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</si>
  <si>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</si>
  <si>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</si>
  <si>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</si>
  <si>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</si>
  <si>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</si>
  <si>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</si>
  <si>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</si>
  <si>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</si>
  <si>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</si>
  <si>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</si>
  <si>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</si>
  <si>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</si>
  <si>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</si>
  <si>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</si>
  <si>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</si>
  <si>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</si>
  <si>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</si>
  <si>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</si>
  <si>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</si>
  <si>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</si>
  <si>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</si>
  <si>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</si>
  <si>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</si>
  <si>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</si>
  <si>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</si>
  <si>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</si>
  <si>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</si>
  <si>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</si>
  <si>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</si>
  <si>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</si>
  <si>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</si>
  <si>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</si>
  <si>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</si>
  <si>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</si>
  <si>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</si>
  <si>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</si>
  <si>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</si>
  <si>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</si>
  <si>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</si>
  <si>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</si>
  <si>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</si>
  <si>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</si>
  <si>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</si>
  <si>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</si>
  <si>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</si>
  <si>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</si>
  <si>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</si>
  <si>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</si>
  <si>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</si>
  <si>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</si>
  <si>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</si>
  <si>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</si>
  <si>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</si>
  <si>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</si>
  <si>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</si>
  <si>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</si>
  <si>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</si>
  <si>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</si>
  <si>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</si>
  <si>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</si>
  <si>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</si>
  <si>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</si>
  <si>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</si>
  <si>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</si>
  <si>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</si>
  <si>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</si>
  <si>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</si>
  <si>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</si>
  <si>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</si>
  <si>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</si>
  <si>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</si>
  <si>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</si>
  <si>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</si>
  <si>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</si>
  <si>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</si>
  <si>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</si>
  <si>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</si>
  <si>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</si>
  <si>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</si>
  <si>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</si>
  <si>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</si>
  <si>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</si>
  <si>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</si>
  <si>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</si>
  <si>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</si>
  <si>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</si>
  <si>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</si>
  <si>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</si>
  <si>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</si>
  <si>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</si>
  <si>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</si>
  <si>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</si>
  <si>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</si>
  <si>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</si>
  <si>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</si>
  <si>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</si>
  <si>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</si>
  <si>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</si>
  <si>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</si>
  <si>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</si>
  <si>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</si>
  <si>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</si>
  <si>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</si>
  <si>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</si>
  <si>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</si>
  <si>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</si>
  <si>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</si>
  <si>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</si>
  <si>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</si>
  <si>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</si>
  <si>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</si>
  <si>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</si>
  <si>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</si>
  <si>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</si>
  <si>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</si>
  <si>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</si>
  <si>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</si>
  <si>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</si>
  <si>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</si>
  <si>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</si>
  <si>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</si>
  <si>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</si>
  <si>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</si>
  <si>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</si>
  <si>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</si>
  <si>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</si>
  <si>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</si>
  <si>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</si>
  <si>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</si>
  <si>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</si>
  <si>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</si>
  <si>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</si>
  <si>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</si>
  <si>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</si>
  <si>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</si>
  <si>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</si>
  <si>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</si>
  <si>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</si>
  <si>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</si>
  <si>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</si>
  <si>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</si>
  <si>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</si>
  <si>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</si>
  <si>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</si>
  <si>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</si>
  <si>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</si>
  <si>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</si>
  <si>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</si>
  <si>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</si>
  <si>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</si>
  <si>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</si>
  <si>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</si>
  <si>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</si>
  <si>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</si>
  <si>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</si>
  <si>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</si>
  <si>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</si>
  <si>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</si>
  <si>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</si>
  <si>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</si>
  <si>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</si>
  <si>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</si>
  <si>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</si>
  <si>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</si>
  <si>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</si>
  <si>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</si>
  <si>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</si>
  <si>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</si>
  <si>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</si>
  <si>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</si>
  <si>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</si>
  <si>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</si>
  <si>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</si>
  <si>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</si>
  <si>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</si>
  <si>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</si>
  <si>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</si>
  <si>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</si>
  <si>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</si>
  <si>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</si>
  <si>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</si>
  <si>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</si>
  <si>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</si>
  <si>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</si>
  <si>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</si>
  <si>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</si>
  <si>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</si>
  <si>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</si>
  <si>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</si>
  <si>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</si>
  <si>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</si>
  <si>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</si>
  <si>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</si>
  <si>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</si>
  <si>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</si>
  <si>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</si>
  <si>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</si>
  <si>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</si>
  <si>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</si>
  <si>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</si>
  <si>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</si>
  <si>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</si>
  <si>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</si>
  <si>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</si>
  <si>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</si>
  <si>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</si>
  <si>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</si>
  <si>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</si>
  <si>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</si>
  <si>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</si>
  <si>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</si>
  <si>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</si>
  <si>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</si>
  <si>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</si>
  <si>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</si>
  <si>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</si>
  <si>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</si>
  <si>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</si>
  <si>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</si>
  <si>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</si>
  <si>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</si>
  <si>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</si>
  <si>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</si>
  <si>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</si>
  <si>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</si>
  <si>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</si>
  <si>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</si>
  <si>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</si>
  <si>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</si>
  <si>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</si>
  <si>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</si>
  <si>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</si>
  <si>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</si>
  <si>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</si>
  <si>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</si>
  <si>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</si>
  <si>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</si>
  <si>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</si>
  <si>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</si>
  <si>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</si>
  <si>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</si>
  <si>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</si>
  <si>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</si>
  <si>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</si>
  <si>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</si>
  <si>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</si>
  <si>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</si>
  <si>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</si>
  <si>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</si>
  <si>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</si>
  <si>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</si>
  <si>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</si>
  <si>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</si>
  <si>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</si>
  <si>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</si>
  <si>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</si>
  <si>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</si>
  <si>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</si>
  <si>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</si>
  <si>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</si>
  <si>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</si>
  <si>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</si>
  <si>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</si>
  <si>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</si>
  <si>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</si>
  <si>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</si>
  <si>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</si>
  <si>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</si>
  <si>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</si>
  <si>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</si>
  <si>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</si>
  <si>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</si>
  <si>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</si>
  <si>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</si>
  <si>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</si>
  <si>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</si>
  <si>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</si>
  <si>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</si>
  <si>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</si>
  <si>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</si>
  <si>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</si>
  <si>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</si>
  <si>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</si>
  <si>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</si>
  <si>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</si>
  <si>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</si>
  <si>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</si>
  <si>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</si>
  <si>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</si>
  <si>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</si>
  <si>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</si>
  <si>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</si>
  <si>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</si>
  <si>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</si>
  <si>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</si>
  <si>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</si>
  <si>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</si>
  <si>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</si>
  <si>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</si>
  <si>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</si>
  <si>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</si>
  <si>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</si>
  <si>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</si>
  <si>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</si>
  <si>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</si>
  <si>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</si>
  <si>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</si>
  <si>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</si>
  <si>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</si>
  <si>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</si>
  <si>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</si>
  <si>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</si>
  <si>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</si>
  <si>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</si>
  <si>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</si>
  <si>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</si>
  <si>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</si>
  <si>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</si>
  <si>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</si>
  <si>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</si>
  <si>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</si>
  <si>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</si>
  <si>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</si>
  <si>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</si>
  <si>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</si>
  <si>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</si>
  <si>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</si>
  <si>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</si>
  <si>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</si>
  <si>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</si>
  <si>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</si>
  <si>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</si>
  <si>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</si>
  <si>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</si>
  <si>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</si>
  <si>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</si>
  <si>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</si>
  <si>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</si>
  <si>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</si>
  <si>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</si>
  <si>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</si>
  <si>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</si>
  <si>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</si>
  <si>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</si>
  <si>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</si>
  <si>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</si>
  <si>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</si>
  <si>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</si>
  <si>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</si>
  <si>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</si>
  <si>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</si>
  <si>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</si>
  <si>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</si>
  <si>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</si>
  <si>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</si>
  <si>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</si>
  <si>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</si>
  <si>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</si>
  <si>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</si>
  <si>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</si>
  <si>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</si>
  <si>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</si>
  <si>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</si>
  <si>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</si>
  <si>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</si>
  <si>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</si>
  <si>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</si>
  <si>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</si>
  <si>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</si>
  <si>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</si>
  <si>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</si>
  <si>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</si>
  <si>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</si>
  <si>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</si>
  <si>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</si>
  <si>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</si>
  <si>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</si>
  <si>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</si>
  <si>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</si>
  <si>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</si>
  <si>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</si>
  <si>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</si>
  <si>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</si>
  <si>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</si>
  <si>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</si>
  <si>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</si>
  <si>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</si>
  <si>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</si>
  <si>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</si>
  <si>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</si>
  <si>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</si>
  <si>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</si>
  <si>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</si>
  <si>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</si>
  <si>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</si>
  <si>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</si>
  <si>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</si>
  <si>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</si>
  <si>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</si>
  <si>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</si>
  <si>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</si>
  <si>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</si>
  <si>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</si>
  <si>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</si>
  <si>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</si>
  <si>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</si>
  <si>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</si>
  <si>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</si>
  <si>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</si>
  <si>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</si>
  <si>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</si>
  <si>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</si>
  <si>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</si>
  <si>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</si>
  <si>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</si>
  <si>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</si>
  <si>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</si>
  <si>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</si>
  <si>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</si>
  <si>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</si>
  <si>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</si>
  <si>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</si>
  <si>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</si>
  <si>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</si>
  <si>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</si>
  <si>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</si>
  <si>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</si>
  <si>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</si>
  <si>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</si>
  <si>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</si>
  <si>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</si>
  <si>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</si>
  <si>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</si>
  <si>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</si>
  <si>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</si>
  <si>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</si>
  <si>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</si>
  <si>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</si>
  <si>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</si>
  <si>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</si>
  <si>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</si>
  <si>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</si>
  <si>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</si>
  <si>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</si>
  <si>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</si>
  <si>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</si>
  <si>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</si>
  <si>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</si>
  <si>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</si>
  <si>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</si>
  <si>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</si>
  <si>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</si>
  <si>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</si>
  <si>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</si>
  <si>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</si>
  <si>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</si>
  <si>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</si>
  <si>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</si>
  <si>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</si>
  <si>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</si>
  <si>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</si>
  <si>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</si>
  <si>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</si>
  <si>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</si>
  <si>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</si>
  <si>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</si>
  <si>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</si>
  <si>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</si>
  <si>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</si>
  <si>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</si>
  <si>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</si>
  <si>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</si>
  <si>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</si>
  <si>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</si>
  <si>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</si>
  <si>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</si>
  <si>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</si>
  <si>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</si>
  <si>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</si>
  <si>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</si>
  <si>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</si>
  <si>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</si>
  <si>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</si>
  <si>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</si>
  <si>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</si>
  <si>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</si>
  <si>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</si>
  <si>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</si>
  <si>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</si>
  <si>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</si>
  <si>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</si>
  <si>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</si>
  <si>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</si>
  <si>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</si>
  <si>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</si>
  <si>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</si>
  <si>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</si>
  <si>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</si>
  <si>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</si>
  <si>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</si>
  <si>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</si>
  <si>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</si>
  <si>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</si>
  <si>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</si>
  <si>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</si>
  <si>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</si>
  <si>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</si>
  <si>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</si>
  <si>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</si>
  <si>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</si>
  <si>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</si>
  <si>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</si>
  <si>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</si>
  <si>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</si>
  <si>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</si>
  <si>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</si>
  <si>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</si>
  <si>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</si>
  <si>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</si>
  <si>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</si>
  <si>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</si>
  <si>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</si>
  <si>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</si>
  <si>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</si>
  <si>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</si>
  <si>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</si>
  <si>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</si>
  <si>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</si>
  <si>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</si>
  <si>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</si>
  <si>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</si>
  <si>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</si>
  <si>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</si>
  <si>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</si>
  <si>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</si>
  <si>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</si>
  <si>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</si>
  <si>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</si>
  <si>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</si>
  <si>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</si>
  <si>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</si>
  <si>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</si>
  <si>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</si>
  <si>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</si>
  <si>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</si>
  <si>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</si>
  <si>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</si>
  <si>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</si>
  <si>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</si>
  <si>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</si>
  <si>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</si>
  <si>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</si>
  <si>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</si>
  <si>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</si>
  <si>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</si>
  <si>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</si>
  <si>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</si>
  <si>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</si>
  <si>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</si>
  <si>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</si>
  <si>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</si>
  <si>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</si>
  <si>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</si>
  <si>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</si>
  <si>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</si>
  <si>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</si>
  <si>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</si>
  <si>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</si>
  <si>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</si>
  <si>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</si>
  <si>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</si>
  <si>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</si>
  <si>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</si>
  <si>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</si>
  <si>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</si>
  <si>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</si>
  <si>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</si>
  <si>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</si>
  <si>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</si>
  <si>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</si>
  <si>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</si>
  <si>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</si>
  <si>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</si>
  <si>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</si>
  <si>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</si>
  <si>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</si>
  <si>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</si>
  <si>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</si>
  <si>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</si>
  <si>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</si>
  <si>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</si>
  <si>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</si>
  <si>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</si>
  <si>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</si>
  <si>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</si>
  <si>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</si>
  <si>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</si>
  <si>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</si>
  <si>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</si>
  <si>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</si>
  <si>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</si>
  <si>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</si>
  <si>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</si>
  <si>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</si>
  <si>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</si>
  <si>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</si>
  <si>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</si>
  <si>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</si>
  <si>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</si>
  <si>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</si>
  <si>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</si>
  <si>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</si>
  <si>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</si>
  <si>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</si>
  <si>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</si>
  <si>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</si>
  <si>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</si>
  <si>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</si>
  <si>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</si>
  <si>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</si>
  <si>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</si>
  <si>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</si>
  <si>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</si>
  <si>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</si>
  <si>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</si>
  <si>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</si>
  <si>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</si>
  <si>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</si>
  <si>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</si>
  <si>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</si>
  <si>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</si>
  <si>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</si>
  <si>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</si>
  <si>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</si>
  <si>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</si>
  <si>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</si>
  <si>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</si>
  <si>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</si>
  <si>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</si>
  <si>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</si>
  <si>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</si>
  <si>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</si>
  <si>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</si>
  <si>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</si>
  <si>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</si>
  <si>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</si>
  <si>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</si>
  <si>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</si>
  <si>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</si>
  <si>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</si>
  <si>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</si>
  <si>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</si>
  <si>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</si>
  <si>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</si>
  <si>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</si>
  <si>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</si>
  <si>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</si>
  <si>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</si>
  <si>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</si>
  <si>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</si>
  <si>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</si>
  <si>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</si>
  <si>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</si>
  <si>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</si>
  <si>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</si>
  <si>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</si>
  <si>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</si>
  <si>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</si>
  <si>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</si>
  <si>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</si>
  <si>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</si>
  <si>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</si>
  <si>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</si>
  <si>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</si>
  <si>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</si>
  <si>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</si>
  <si>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</si>
  <si>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</si>
  <si>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</si>
  <si>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</si>
  <si>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</si>
  <si>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</si>
  <si>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</si>
  <si>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</si>
  <si>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</si>
  <si>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</si>
  <si>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</si>
  <si>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</si>
  <si>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</si>
  <si>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</si>
  <si>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</si>
  <si>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</si>
  <si>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</si>
  <si>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</si>
  <si>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</si>
  <si>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</si>
  <si>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</si>
  <si>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</si>
  <si>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</si>
  <si>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</si>
  <si>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</si>
  <si>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</si>
  <si>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</si>
  <si>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</si>
  <si>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</si>
  <si>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</si>
  <si>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</si>
  <si>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</si>
  <si>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</si>
  <si>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</si>
  <si>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</si>
  <si>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</si>
  <si>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</si>
  <si>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</si>
  <si>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</si>
  <si>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</si>
  <si>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</si>
  <si>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</si>
  <si>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</si>
  <si>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</si>
  <si>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</si>
  <si>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</si>
  <si>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</si>
  <si>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</si>
  <si>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</si>
  <si>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</si>
  <si>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</si>
  <si>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</si>
  <si>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</si>
  <si>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</si>
  <si>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</si>
  <si>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</si>
  <si>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</si>
  <si>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</si>
  <si>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</si>
  <si>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</si>
  <si>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</si>
  <si>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</si>
  <si>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</si>
  <si>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</si>
  <si>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</si>
  <si>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</si>
  <si>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</si>
  <si>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</si>
  <si>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</si>
  <si>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</si>
  <si>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</si>
  <si>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</si>
  <si>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</si>
  <si>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</si>
  <si>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</si>
  <si>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</si>
  <si>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</si>
  <si>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</si>
  <si>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</si>
  <si>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</si>
  <si>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</si>
  <si>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</si>
  <si>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</si>
  <si>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</si>
  <si>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</si>
  <si>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</si>
  <si>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</si>
  <si>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</si>
  <si>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</si>
  <si>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</si>
  <si>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</si>
  <si>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</si>
  <si>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</si>
  <si>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</si>
  <si>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</si>
  <si>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</si>
  <si>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</si>
  <si>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</si>
  <si>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</si>
  <si>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</si>
  <si>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</si>
  <si>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</si>
  <si>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</si>
  <si>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</si>
  <si>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</si>
  <si>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</si>
  <si>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</si>
  <si>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</si>
  <si>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</si>
  <si>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</si>
  <si>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</si>
  <si>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</si>
  <si>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</si>
  <si>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</si>
  <si>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</si>
  <si>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</si>
  <si>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</si>
  <si>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</si>
  <si>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</si>
  <si>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</si>
  <si>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</si>
  <si>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</si>
  <si>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</si>
  <si>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</si>
  <si>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</si>
  <si>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</si>
  <si>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</si>
  <si>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</si>
  <si>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</si>
  <si>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</si>
  <si>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</si>
  <si>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</si>
  <si>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</si>
  <si>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</si>
  <si>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</si>
  <si>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</si>
  <si>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</si>
  <si>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</si>
  <si>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</si>
  <si>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</si>
  <si>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</si>
  <si>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</si>
  <si>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</si>
  <si>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</si>
  <si>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</si>
  <si>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</si>
  <si>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</si>
  <si>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</si>
  <si>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</si>
  <si>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</si>
  <si>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</si>
  <si>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</si>
  <si>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</si>
  <si>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</si>
  <si>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</si>
  <si>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</si>
  <si>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</si>
  <si>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</si>
  <si>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</si>
  <si>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</si>
  <si>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</si>
  <si>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</si>
  <si>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</si>
  <si>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</si>
  <si>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</si>
  <si>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</si>
  <si>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</si>
  <si>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</si>
  <si>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</si>
  <si>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</si>
  <si>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</si>
  <si>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</si>
  <si>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</si>
  <si>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</si>
  <si>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</si>
  <si>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</si>
  <si>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</si>
  <si>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</si>
  <si>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</si>
  <si>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</si>
  <si>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</si>
  <si>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</si>
  <si>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</si>
  <si>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</si>
  <si>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</si>
  <si>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</si>
  <si>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</si>
  <si>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</si>
  <si>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</si>
  <si>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</si>
  <si>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</si>
  <si>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</si>
  <si>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</si>
  <si>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</si>
  <si>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</si>
  <si>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</si>
  <si>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</si>
  <si>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</si>
  <si>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</si>
  <si>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</si>
  <si>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</si>
  <si>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</si>
  <si>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</si>
  <si>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</si>
  <si>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</si>
  <si>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</si>
  <si>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</si>
  <si>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</si>
  <si>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</si>
  <si>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</si>
  <si>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</si>
  <si>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</si>
  <si>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</si>
  <si>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</si>
  <si>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</si>
  <si>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</si>
  <si>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</si>
  <si>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</si>
  <si>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</si>
  <si>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</si>
  <si>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</si>
  <si>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</si>
  <si>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</si>
  <si>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</si>
  <si>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</si>
  <si>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</si>
  <si>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</si>
  <si>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</si>
  <si>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</si>
  <si>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</si>
  <si>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</si>
  <si>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</si>
  <si>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</si>
  <si>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</si>
  <si>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</si>
  <si>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</si>
  <si>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</si>
  <si>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</si>
  <si>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</si>
  <si>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</si>
  <si>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</si>
  <si>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</si>
  <si>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</si>
  <si>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</si>
  <si>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</si>
  <si>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</si>
  <si>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</si>
  <si>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</si>
  <si>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</si>
  <si>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</si>
  <si>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</si>
  <si>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</si>
  <si>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</si>
  <si>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</si>
  <si>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</si>
  <si>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</si>
  <si>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</si>
  <si>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</si>
  <si>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</si>
  <si>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</si>
  <si>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</si>
  <si>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</si>
  <si>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</si>
  <si>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</si>
  <si>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</si>
  <si>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</si>
  <si>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</si>
  <si>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</si>
  <si>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</si>
  <si>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</si>
  <si>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</si>
  <si>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</si>
  <si>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</si>
  <si>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</si>
  <si>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</si>
  <si>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</si>
  <si>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</si>
  <si>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</si>
  <si>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</si>
  <si>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</si>
  <si>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</si>
  <si>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</si>
  <si>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</si>
  <si>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</si>
  <si>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</si>
  <si>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</si>
  <si>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</si>
  <si>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</si>
  <si>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</si>
  <si>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</si>
  <si>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</si>
  <si>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</si>
  <si>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</si>
  <si>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</si>
  <si>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</si>
  <si>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</si>
  <si>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</si>
  <si>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</si>
  <si>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</si>
  <si>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</si>
  <si>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</si>
  <si>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</si>
  <si>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</si>
  <si>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</si>
  <si>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</si>
  <si>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</si>
  <si>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</si>
  <si>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</si>
  <si>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</si>
  <si>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</si>
  <si>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</si>
  <si>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</si>
  <si>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</si>
  <si>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</si>
  <si>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</si>
  <si>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</si>
  <si>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</si>
  <si>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</si>
  <si>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</si>
  <si>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</si>
  <si>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</si>
  <si>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</si>
  <si>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</si>
  <si>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</si>
  <si>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</si>
  <si>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</si>
  <si>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</si>
  <si>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</si>
  <si>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</si>
  <si>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</si>
  <si>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</si>
  <si>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</si>
  <si>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</si>
  <si>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</si>
  <si>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</si>
  <si>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</si>
  <si>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</si>
  <si>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</si>
  <si>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</si>
  <si>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</si>
  <si>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</si>
  <si>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</si>
  <si>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</si>
  <si>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</si>
  <si>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</si>
  <si>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</si>
  <si>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</si>
  <si>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</si>
  <si>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</si>
  <si>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</si>
  <si>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</si>
  <si>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</si>
  <si>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</si>
  <si>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</si>
  <si>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</si>
  <si>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</si>
  <si>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</si>
  <si>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</si>
  <si>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</si>
  <si>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</si>
  <si>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</si>
  <si>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</si>
  <si>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</si>
  <si>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</si>
  <si>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</si>
  <si>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</si>
  <si>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</si>
  <si>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</si>
  <si>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</si>
  <si>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</si>
  <si>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</si>
  <si>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</si>
  <si>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</si>
  <si>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</si>
  <si>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</si>
  <si>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</si>
  <si>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</si>
  <si>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</si>
  <si>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</si>
  <si>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</si>
  <si>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</si>
  <si>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</si>
  <si>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</si>
  <si>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</si>
  <si>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</si>
  <si>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</si>
  <si>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</si>
  <si>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</si>
  <si>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</si>
  <si>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</si>
  <si>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</si>
  <si>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</si>
  <si>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</si>
  <si>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</si>
  <si>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</si>
  <si>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</si>
  <si>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</si>
  <si>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</si>
  <si>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</si>
  <si>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</si>
  <si>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</si>
  <si>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</si>
  <si>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</si>
  <si>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</si>
  <si>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</si>
  <si>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</si>
  <si>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</si>
  <si>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</si>
  <si>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</si>
  <si>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</si>
  <si>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</si>
  <si>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</si>
  <si>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</si>
  <si>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</si>
  <si>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</si>
  <si>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</si>
  <si>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</si>
  <si>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</si>
  <si>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</si>
  <si>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</si>
  <si>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</si>
  <si>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</si>
  <si>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</si>
  <si>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</si>
  <si>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</si>
  <si>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</si>
  <si>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</si>
  <si>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</si>
  <si>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</si>
  <si>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</si>
  <si>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</si>
  <si>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</si>
  <si>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</si>
  <si>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</si>
  <si>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</si>
  <si>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</si>
  <si>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</si>
  <si>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</si>
  <si>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</si>
  <si>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</si>
  <si>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</si>
  <si>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</si>
  <si>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</si>
  <si>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</si>
  <si>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</si>
  <si>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</si>
  <si>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</si>
  <si>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</si>
  <si>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</si>
  <si>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</si>
  <si>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</si>
  <si>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</si>
  <si>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</si>
  <si>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</si>
  <si>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</si>
  <si>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</si>
  <si>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</si>
  <si>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</si>
  <si>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</si>
  <si>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</si>
  <si>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</si>
  <si>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</si>
  <si>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</si>
  <si>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</si>
  <si>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</si>
  <si>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</si>
  <si>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</si>
  <si>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</si>
  <si>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</si>
  <si>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</si>
  <si>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</si>
  <si>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</si>
  <si>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</si>
  <si>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</si>
  <si>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</si>
  <si>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</si>
  <si>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</si>
  <si>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</si>
  <si>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</si>
  <si>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</si>
  <si>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</si>
  <si>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</si>
  <si>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</si>
  <si>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</si>
  <si>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</si>
  <si>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</si>
  <si>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</si>
  <si>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</si>
  <si>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</si>
  <si>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</si>
  <si>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</si>
  <si>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</si>
  <si>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</si>
  <si>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</si>
  <si>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</si>
  <si>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</si>
  <si>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</si>
  <si>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</si>
  <si>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</si>
  <si>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</si>
  <si>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</si>
  <si>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</si>
  <si>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</si>
  <si>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</si>
  <si>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</si>
  <si>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</si>
  <si>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</si>
  <si>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</si>
  <si>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</si>
  <si>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</si>
  <si>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</si>
  <si>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</si>
  <si>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</si>
  <si>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</si>
  <si>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</si>
  <si>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</si>
  <si>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</si>
  <si>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</si>
  <si>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</si>
  <si>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</si>
  <si>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</si>
  <si>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</si>
  <si>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</si>
  <si>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</si>
  <si>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</si>
  <si>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</si>
  <si>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</si>
  <si>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</si>
  <si>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</si>
  <si>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</si>
  <si>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</si>
  <si>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</si>
  <si>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</si>
  <si>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</si>
  <si>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</si>
  <si>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</si>
  <si>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</si>
  <si>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</si>
  <si>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</si>
  <si>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</si>
  <si>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</si>
  <si>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</si>
  <si>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</si>
  <si>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</si>
  <si>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</si>
  <si>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</si>
  <si>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</si>
  <si>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</si>
  <si>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</si>
  <si>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</si>
  <si>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</si>
  <si>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</si>
  <si>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</si>
  <si>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</si>
  <si>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</si>
  <si>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</si>
  <si>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</si>
  <si>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</si>
  <si>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</si>
  <si>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</si>
  <si>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</si>
  <si>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</si>
  <si>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</si>
  <si>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</si>
  <si>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</si>
  <si>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</si>
  <si>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</si>
  <si>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</si>
  <si>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</si>
  <si>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</si>
  <si>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</si>
  <si>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</si>
  <si>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</si>
  <si>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</si>
  <si>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</si>
  <si>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</si>
  <si>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</si>
  <si>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</si>
  <si>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</si>
  <si>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</si>
  <si>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</si>
  <si>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</si>
  <si>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</si>
  <si>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</si>
  <si>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</si>
  <si>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</si>
  <si>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</si>
  <si>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</si>
  <si>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</si>
  <si>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</si>
  <si>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</si>
  <si>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</si>
  <si>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</si>
  <si>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</si>
  <si>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</si>
  <si>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</si>
  <si>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</si>
  <si>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</si>
  <si>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</si>
  <si>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</si>
  <si>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</si>
  <si>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</si>
  <si>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</si>
  <si>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</si>
  <si>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</si>
  <si>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</si>
  <si>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</si>
  <si>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</si>
  <si>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</si>
  <si>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</si>
  <si>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</si>
  <si>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</si>
  <si>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</si>
  <si>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</si>
  <si>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</si>
  <si>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</si>
  <si>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</si>
  <si>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</si>
  <si>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</si>
  <si>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</si>
  <si>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</si>
  <si>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</si>
  <si>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</si>
  <si>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</si>
  <si>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</si>
  <si>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</si>
  <si>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</si>
  <si>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</si>
  <si>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</si>
  <si>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</si>
  <si>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</si>
  <si>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</si>
  <si>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</si>
  <si>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</si>
  <si>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</si>
  <si>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</si>
  <si>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</si>
  <si>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</si>
  <si>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</si>
  <si>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</si>
  <si>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</si>
  <si>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</si>
  <si>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</si>
  <si>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</si>
  <si>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</si>
  <si>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</si>
  <si>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</si>
  <si>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</si>
  <si>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</si>
  <si>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</si>
  <si>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</si>
  <si>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</si>
  <si>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</si>
  <si>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</si>
  <si>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</si>
  <si>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</si>
  <si>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</si>
  <si>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</si>
  <si>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</si>
  <si>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</si>
  <si>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</si>
  <si>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</si>
  <si>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</si>
  <si>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</si>
  <si>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</si>
  <si>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</si>
  <si>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</si>
  <si>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</si>
  <si>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</si>
  <si>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</si>
  <si>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</si>
  <si>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</si>
  <si>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</si>
  <si>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</si>
  <si>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</si>
  <si>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</si>
  <si>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</si>
  <si>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</si>
  <si>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</si>
  <si>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</si>
  <si>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</si>
  <si>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</si>
  <si>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</si>
  <si>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</si>
  <si>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</si>
  <si>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</si>
  <si>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</si>
  <si>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</si>
  <si>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</si>
  <si>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</si>
  <si>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</si>
  <si>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</si>
  <si>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</si>
  <si>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</si>
  <si>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</si>
  <si>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</si>
  <si>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</si>
  <si>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</si>
  <si>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</si>
  <si>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</si>
  <si>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</si>
  <si>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</si>
  <si>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</si>
  <si>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</si>
  <si>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</si>
  <si>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</si>
  <si>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</si>
  <si>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</si>
  <si>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</si>
  <si>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</si>
  <si>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</si>
  <si>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</si>
  <si>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</si>
  <si>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</si>
  <si>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</si>
  <si>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</si>
  <si>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</si>
  <si>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</si>
  <si>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</si>
  <si>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</si>
  <si>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</si>
  <si>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</si>
  <si>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</si>
  <si>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</si>
  <si>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</si>
  <si>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</si>
  <si>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</si>
  <si>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</si>
  <si>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</si>
  <si>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</si>
  <si>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</si>
  <si>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</si>
  <si>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</si>
  <si>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</si>
  <si>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</si>
  <si>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</si>
  <si>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</si>
  <si>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</si>
  <si>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</si>
  <si>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</si>
  <si>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</si>
  <si>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</si>
  <si>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</si>
  <si>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</si>
  <si>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</si>
  <si>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</si>
  <si>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</si>
  <si>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</si>
  <si>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</si>
  <si>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</si>
  <si>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</si>
  <si>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</si>
  <si>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</si>
  <si>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</si>
  <si>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</si>
  <si>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</si>
  <si>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</si>
  <si>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</si>
  <si>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</si>
  <si>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</si>
  <si>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</si>
  <si>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</si>
  <si>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</si>
  <si>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</si>
  <si>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</si>
  <si>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</si>
  <si>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</si>
  <si>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</si>
  <si>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</si>
  <si>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</si>
  <si>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</si>
  <si>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</si>
  <si>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</si>
  <si>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</si>
  <si>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</si>
  <si>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</si>
  <si>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</si>
  <si>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</si>
  <si>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</si>
  <si>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</si>
  <si>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</si>
  <si>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</si>
  <si>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</si>
  <si>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</si>
  <si>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</si>
  <si>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</si>
  <si>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</si>
  <si>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</si>
  <si>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</si>
  <si>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</si>
  <si>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</si>
  <si>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</si>
  <si>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</si>
  <si>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</si>
  <si>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</si>
  <si>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</si>
  <si>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</si>
  <si>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</si>
  <si>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</si>
  <si>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</si>
  <si>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</si>
  <si>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</si>
  <si>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</si>
  <si>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</si>
  <si>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</si>
  <si>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</si>
  <si>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</si>
  <si>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</si>
  <si>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</si>
  <si>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</si>
  <si>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</si>
  <si>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</si>
  <si>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</si>
  <si>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</si>
  <si>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</si>
  <si>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</si>
  <si>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</si>
  <si>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</si>
  <si>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</si>
  <si>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</si>
  <si>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</si>
  <si>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</si>
  <si>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</si>
  <si>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</si>
  <si>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</si>
  <si>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</si>
  <si>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</si>
  <si>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</si>
  <si>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</si>
  <si>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</si>
  <si>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</si>
  <si>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</si>
  <si>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</si>
  <si>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</si>
  <si>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</si>
  <si>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</si>
  <si>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</si>
  <si>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</si>
  <si>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</si>
  <si>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</si>
  <si>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</si>
  <si>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</si>
  <si>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</si>
  <si>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</si>
  <si>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</si>
  <si>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</si>
  <si>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</si>
  <si>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</si>
  <si>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</si>
  <si>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</si>
  <si>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</si>
  <si>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</si>
  <si>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</si>
  <si>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</si>
  <si>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</si>
  <si>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</si>
  <si>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</si>
  <si>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</si>
  <si>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</si>
  <si>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</si>
  <si>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</si>
  <si>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</si>
  <si>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</si>
  <si>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</si>
  <si>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</si>
  <si>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</si>
  <si>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</si>
  <si>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</si>
  <si>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</si>
  <si>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</si>
  <si>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</si>
  <si>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</si>
  <si>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</si>
  <si>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</si>
  <si>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</si>
  <si>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</si>
  <si>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</si>
  <si>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</si>
  <si>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</si>
  <si>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</si>
  <si>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</si>
  <si>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</si>
  <si>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</si>
  <si>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</si>
  <si>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</si>
  <si>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</si>
  <si>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</si>
  <si>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</si>
  <si>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</si>
  <si>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</si>
  <si>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</si>
  <si>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</si>
  <si>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</si>
  <si>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</si>
  <si>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</si>
  <si>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</si>
  <si>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</si>
  <si>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</si>
  <si>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</si>
  <si>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</si>
  <si>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</si>
  <si>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</si>
  <si>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</si>
  <si>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</si>
  <si>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</si>
  <si>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</si>
  <si>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</si>
  <si>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</si>
  <si>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</si>
  <si>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</si>
  <si>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</si>
  <si>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</si>
  <si>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</si>
  <si>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</si>
  <si>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</si>
  <si>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</si>
  <si>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</si>
  <si>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</si>
  <si>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</si>
  <si>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</si>
  <si>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</si>
  <si>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</si>
  <si>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</si>
  <si>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</si>
  <si>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</si>
  <si>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</si>
  <si>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</si>
  <si>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</si>
  <si>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</si>
  <si>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</si>
  <si>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</si>
  <si>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</si>
  <si>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</si>
  <si>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</si>
  <si>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</si>
  <si>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</si>
  <si>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</si>
  <si>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</si>
  <si>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</si>
  <si>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</si>
  <si>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</si>
  <si>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</si>
  <si>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</si>
  <si>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</si>
  <si>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</si>
  <si>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</si>
  <si>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</si>
  <si>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</si>
  <si>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</si>
  <si>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</si>
  <si>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</si>
  <si>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</si>
  <si>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</si>
  <si>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</si>
  <si>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</si>
  <si>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</si>
  <si>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</si>
  <si>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</si>
  <si>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</si>
  <si>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</si>
  <si>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</si>
  <si>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</si>
  <si>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</si>
  <si>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</si>
  <si>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</si>
  <si>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</si>
  <si>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</si>
  <si>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</si>
  <si>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</si>
  <si>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</si>
  <si>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</si>
  <si>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</si>
  <si>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</si>
  <si>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</si>
  <si>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</si>
  <si>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</si>
  <si>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</si>
  <si>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</si>
  <si>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</si>
  <si>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</si>
  <si>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</si>
  <si>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</si>
  <si>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</si>
  <si>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</si>
  <si>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</si>
  <si>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</si>
  <si>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</si>
  <si>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</si>
  <si>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</si>
  <si>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</si>
  <si>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</si>
  <si>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</si>
  <si>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</si>
  <si>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</si>
  <si>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</si>
  <si>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</si>
  <si>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</si>
  <si>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</si>
  <si>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</si>
  <si>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</si>
  <si>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</si>
  <si>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</si>
  <si>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</si>
  <si>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</si>
  <si>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</si>
  <si>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</si>
  <si>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</si>
  <si>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</si>
  <si>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</si>
  <si>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</si>
  <si>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</si>
  <si>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</si>
  <si>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</si>
  <si>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</si>
  <si>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</si>
  <si>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</si>
  <si>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</si>
  <si>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</si>
  <si>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</si>
  <si>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</si>
  <si>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</si>
  <si>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</si>
  <si>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</si>
  <si>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</si>
  <si>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</si>
  <si>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</si>
  <si>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</si>
  <si>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</si>
  <si>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</si>
  <si>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</si>
  <si>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</si>
  <si>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</si>
  <si>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</si>
  <si>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</si>
  <si>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</si>
  <si>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</si>
  <si>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</si>
  <si>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</si>
  <si>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</si>
  <si>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</si>
  <si>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</si>
  <si>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</si>
  <si>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</si>
  <si>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</si>
  <si>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</si>
  <si>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</si>
  <si>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</si>
  <si>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</si>
  <si>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</si>
  <si>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</si>
  <si>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</si>
  <si>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</si>
  <si>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</si>
  <si>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</si>
  <si>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</si>
  <si>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</si>
  <si>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</si>
  <si>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</si>
  <si>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</si>
  <si>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</si>
  <si>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</si>
  <si>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</si>
  <si>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</si>
  <si>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</si>
  <si>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</si>
  <si>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</si>
  <si>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</si>
  <si>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</si>
  <si>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</si>
  <si>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</si>
  <si>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</si>
  <si>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</si>
  <si>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</si>
  <si>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</si>
  <si>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</si>
  <si>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</si>
  <si>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</si>
  <si>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</si>
  <si>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</si>
  <si>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</si>
  <si>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</si>
  <si>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</si>
  <si>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</si>
  <si>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</si>
  <si>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</si>
  <si>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</si>
  <si>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</si>
  <si>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</si>
  <si>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</si>
  <si>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</si>
  <si>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</si>
  <si>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</si>
  <si>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</si>
  <si>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</si>
  <si>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</si>
  <si>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</si>
  <si>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</si>
  <si>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</si>
  <si>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</si>
  <si>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</si>
  <si>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</si>
  <si>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</si>
  <si>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</si>
  <si>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</si>
  <si>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</si>
  <si>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</si>
  <si>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</si>
  <si>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</si>
  <si>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</si>
  <si>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</si>
  <si>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</si>
  <si>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</si>
  <si>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</si>
  <si>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</si>
  <si>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</si>
  <si>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</si>
  <si>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</si>
  <si>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</si>
  <si>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</si>
  <si>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</si>
  <si>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</si>
  <si>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</si>
  <si>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</si>
  <si>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</si>
  <si>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</si>
  <si>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</si>
  <si>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</si>
  <si>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</si>
  <si>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</si>
  <si>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</si>
  <si>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</si>
  <si>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</si>
  <si>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</si>
  <si>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</si>
  <si>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</si>
  <si>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</si>
  <si>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</si>
  <si>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</si>
  <si>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</si>
  <si>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</si>
  <si>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</si>
  <si>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</si>
  <si>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</si>
  <si>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</si>
  <si>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</si>
  <si>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</si>
  <si>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</si>
  <si>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</si>
  <si>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</si>
  <si>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</si>
  <si>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</si>
  <si>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</si>
  <si>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</si>
  <si>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</si>
  <si>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</si>
  <si>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</si>
  <si>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</si>
  <si>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</si>
  <si>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</si>
  <si>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</si>
  <si>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</si>
  <si>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</si>
  <si>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</si>
  <si>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</si>
  <si>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</si>
  <si>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</si>
  <si>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</si>
  <si>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</si>
  <si>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</si>
  <si>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</si>
  <si>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</si>
  <si>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</si>
  <si>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</si>
  <si>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</si>
  <si>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</si>
  <si>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</si>
  <si>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</si>
  <si>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</si>
  <si>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</si>
  <si>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</si>
  <si>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</si>
  <si>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</si>
  <si>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</si>
  <si>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</si>
  <si>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</si>
  <si>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</si>
  <si>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</si>
  <si>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</si>
  <si>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</si>
  <si>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</si>
  <si>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</si>
  <si>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</si>
  <si>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</si>
  <si>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</si>
  <si>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</si>
  <si>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</si>
  <si>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</si>
  <si>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</si>
  <si>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</si>
  <si>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</si>
  <si>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</si>
  <si>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</si>
  <si>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</si>
  <si>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</si>
  <si>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</si>
  <si>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</si>
  <si>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</si>
  <si>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</si>
  <si>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</si>
  <si>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</si>
  <si>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</si>
  <si>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</si>
  <si>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</si>
  <si>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</si>
  <si>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</si>
  <si>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</si>
  <si>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</si>
  <si>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</si>
  <si>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</si>
  <si>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</si>
  <si>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</si>
  <si>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</si>
  <si>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</si>
  <si>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</si>
  <si>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</si>
  <si>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</si>
  <si>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</si>
  <si>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</si>
  <si>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</si>
  <si>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</si>
  <si>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</si>
  <si>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</si>
  <si>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</si>
  <si>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</si>
  <si>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</si>
  <si>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</si>
  <si>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</si>
  <si>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</si>
  <si>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</si>
  <si>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</si>
  <si>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</si>
  <si>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</si>
  <si>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</si>
  <si>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</si>
  <si>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</si>
  <si>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</si>
  <si>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</si>
  <si>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</si>
  <si>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</si>
  <si>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</si>
  <si>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</si>
  <si>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</si>
  <si>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</si>
  <si>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</si>
  <si>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</si>
  <si>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</si>
  <si>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</si>
  <si>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</si>
  <si>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</si>
  <si>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</si>
  <si>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</si>
  <si>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</si>
  <si>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</si>
  <si>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</si>
  <si>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</si>
  <si>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</si>
  <si>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</si>
  <si>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</si>
  <si>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</si>
  <si>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</si>
  <si>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</si>
  <si>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</si>
  <si>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</si>
  <si>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</si>
  <si>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</si>
  <si>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</si>
  <si>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</si>
  <si>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</si>
  <si>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</si>
  <si>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</si>
  <si>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</si>
  <si>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</si>
  <si>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</si>
  <si>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</si>
  <si>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</si>
  <si>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</si>
  <si>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</si>
  <si>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</si>
  <si>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</si>
  <si>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</si>
  <si>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</si>
  <si>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</si>
  <si>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</si>
  <si>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</si>
  <si>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</si>
  <si>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</si>
  <si>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</si>
  <si>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</si>
  <si>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</si>
  <si>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</si>
  <si>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</si>
  <si>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</si>
  <si>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</si>
  <si>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</si>
  <si>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</si>
  <si>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</si>
  <si>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</si>
  <si>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</si>
  <si>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</si>
  <si>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</si>
  <si>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</si>
  <si>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</si>
  <si>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</si>
  <si>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</si>
  <si>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</si>
  <si>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</si>
  <si>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</si>
  <si>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</si>
  <si>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</si>
  <si>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</si>
  <si>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</si>
  <si>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</si>
  <si>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</si>
  <si>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</si>
  <si>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</si>
  <si>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</si>
  <si>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</si>
  <si>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</si>
  <si>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</si>
  <si>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</si>
  <si>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</si>
  <si>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</si>
  <si>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</si>
  <si>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</si>
  <si>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</si>
  <si>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</si>
  <si>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</si>
  <si>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</si>
  <si>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</si>
  <si>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</si>
  <si>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</si>
  <si>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</si>
  <si>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</si>
  <si>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</si>
  <si>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</si>
  <si>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</si>
  <si>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</si>
  <si>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</si>
  <si>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</si>
  <si>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</si>
  <si>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</si>
  <si>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</si>
  <si>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</si>
  <si>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</si>
  <si>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</si>
  <si>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</si>
  <si>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</si>
  <si>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</si>
  <si>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</si>
  <si>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</si>
  <si>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</si>
  <si>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</si>
  <si>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</si>
  <si>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</si>
  <si>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</si>
  <si>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</si>
  <si>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</si>
  <si>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</si>
  <si>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</si>
  <si>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</si>
  <si>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</si>
  <si>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</si>
  <si>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</si>
  <si>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</si>
  <si>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</si>
  <si>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</si>
  <si>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</si>
  <si>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</si>
  <si>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</si>
  <si>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</si>
  <si>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</si>
  <si>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</si>
  <si>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</si>
  <si>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</si>
  <si>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</si>
  <si>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</si>
  <si>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</si>
  <si>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</si>
  <si>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</si>
  <si>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</si>
  <si>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</si>
  <si>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</si>
  <si>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</si>
  <si>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</si>
  <si>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</si>
  <si>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</si>
  <si>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</si>
  <si>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</si>
  <si>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</si>
  <si>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</si>
  <si>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</si>
  <si>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</si>
  <si>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</si>
  <si>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</si>
  <si>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</si>
  <si>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</si>
  <si>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</si>
  <si>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</si>
  <si>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</si>
  <si>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</si>
  <si>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</si>
  <si>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</si>
  <si>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</si>
  <si>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</si>
  <si>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</si>
  <si>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</si>
  <si>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</si>
  <si>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</si>
  <si>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</si>
  <si>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</si>
  <si>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</si>
  <si>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</si>
  <si>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</si>
  <si>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</si>
  <si>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</si>
  <si>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</si>
  <si>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</si>
  <si>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</si>
  <si>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</si>
  <si>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</si>
  <si>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</si>
  <si>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</si>
  <si>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</si>
  <si>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</si>
  <si>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</si>
  <si>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</si>
  <si>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</si>
  <si>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</si>
  <si>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</si>
  <si>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</si>
  <si>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</si>
  <si>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</si>
  <si>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</si>
  <si>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</si>
  <si>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</si>
  <si>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</si>
  <si>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</si>
  <si>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</si>
  <si>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</si>
  <si>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</si>
  <si>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</si>
  <si>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</si>
  <si>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</si>
  <si>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</si>
  <si>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</si>
  <si>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</si>
  <si>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</si>
  <si>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</si>
  <si>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</si>
  <si>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</si>
  <si>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</si>
  <si>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</si>
  <si>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</si>
  <si>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</si>
  <si>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</si>
  <si>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</si>
  <si>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</si>
  <si>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</si>
  <si>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</si>
  <si>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</si>
  <si>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</si>
  <si>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</si>
  <si>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</si>
  <si>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</si>
  <si>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</si>
  <si>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</si>
  <si>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</si>
  <si>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</si>
  <si>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</si>
  <si>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</si>
  <si>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</si>
  <si>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</si>
  <si>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</si>
  <si>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</si>
  <si>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商业</t>
  </si>
  <si>
    <t>抵押价格</t>
  </si>
  <si>
    <t>地上</t>
  </si>
  <si>
    <t xml:space="preserve"> </t>
    <phoneticPr fontId="3" type="noConversion"/>
  </si>
  <si>
    <t>商业</t>
    <phoneticPr fontId="7" type="noConversion"/>
  </si>
  <si>
    <t>不动产收益法</t>
  </si>
  <si>
    <t>比较法-住宅、综合</t>
  </si>
  <si>
    <t>剩余法-待开发</t>
  </si>
  <si>
    <t>自定义</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</si>
  <si>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</si>
  <si>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</si>
  <si>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</si>
  <si>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</si>
  <si>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</si>
  <si>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</si>
  <si>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</si>
  <si>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</si>
  <si>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</si>
  <si>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</si>
  <si>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</si>
  <si>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</si>
  <si>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</si>
  <si>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</si>
  <si>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</si>
  <si>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曹妃甸新城学府路以西,溯河道以北</t>
  </si>
  <si>
    <t>唐山市</t>
  </si>
  <si>
    <t>商业/办公用地</t>
  </si>
  <si>
    <t>小于或等于3</t>
  </si>
  <si>
    <t>拍卖</t>
  </si>
  <si>
    <t>2019-09-12</t>
  </si>
  <si>
    <t>唐山辰星房地产开发有限公司</t>
  </si>
  <si>
    <t>3星</t>
  </si>
  <si>
    <t>曹妃甸新城东海路以西,渤海大道以北</t>
  </si>
  <si>
    <t>小于或等于1.5</t>
  </si>
  <si>
    <t>唐山曹妃甸瑞和房地产开发有限公司</t>
  </si>
  <si>
    <t>1星</t>
  </si>
  <si>
    <t>曹妃甸新城青裳西路以西,绿城道以北</t>
  </si>
  <si>
    <t>小于或等于1</t>
  </si>
  <si>
    <t>唐山恒鹏健康产业有限公司</t>
  </si>
  <si>
    <t>2星</t>
  </si>
  <si>
    <t>曹妃甸新城通海路以西,玉湖道以南</t>
  </si>
  <si>
    <t>小于或等于1.8</t>
  </si>
  <si>
    <t>河北巴斯文化旅游发展有限公司</t>
  </si>
  <si>
    <t>曹妃甸新城东海路以西,科教大道以北</t>
  </si>
  <si>
    <t>曹妃甸新城绿珠东路以西,绿城道以北</t>
  </si>
  <si>
    <t>曹妃甸新城东海路以西,科教北道以北</t>
  </si>
  <si>
    <t>唐山曹妃甸发展投资集团有限公司</t>
  </si>
  <si>
    <t>曹妃甸新城学府路以西,科技道以北</t>
  </si>
  <si>
    <t>小于或等于2</t>
  </si>
  <si>
    <t>曹妃甸新城东海路以西,溯北道以南</t>
  </si>
  <si>
    <t>小于或等于2.1</t>
  </si>
  <si>
    <t>曹妃甸新城德胜路西,景明道以南</t>
  </si>
  <si>
    <t>小于或等于0.5</t>
  </si>
  <si>
    <t>2019-09-04</t>
  </si>
  <si>
    <t>唐山恒瀚邑房地产开发有限公司</t>
  </si>
  <si>
    <t>沿海公路以南、海港大路以东</t>
  </si>
  <si>
    <t>小于或等于2.5</t>
  </si>
  <si>
    <t>2019-08-23</t>
  </si>
  <si>
    <t>河北乐甯冶金材料科技有限公司</t>
  </si>
  <si>
    <t>县城发展大道东侧、腾飞街南侧</t>
  </si>
  <si>
    <t>大于1并且小于或等于4</t>
  </si>
  <si>
    <t>挂牌</t>
  </si>
  <si>
    <t>2019-06-06</t>
  </si>
  <si>
    <t>唐山奇意商贸有限公司</t>
  </si>
  <si>
    <t>滨水正街西侧</t>
  </si>
  <si>
    <t>＞1,≤1.5</t>
  </si>
  <si>
    <t>2018-12-03</t>
  </si>
  <si>
    <t>南二道北侧、南二路东侧</t>
  </si>
  <si>
    <t>≥1.3,≤2.5</t>
  </si>
  <si>
    <t>南一道南侧、南二路东侧</t>
  </si>
  <si>
    <t>≥1.3,≤2</t>
  </si>
  <si>
    <t>南二道北侧、南一路西侧</t>
  </si>
  <si>
    <t>≥1.3,≤3.5</t>
  </si>
  <si>
    <t>南一道南侧、南一路西侧</t>
  </si>
  <si>
    <t>县城农产品物流中心中轴路西侧、鹏程街以南</t>
  </si>
  <si>
    <t>2018-11-29</t>
  </si>
  <si>
    <t>乐亭县四季香糕点厂</t>
  </si>
  <si>
    <t>5星</t>
  </si>
  <si>
    <t>唐海镇沿海路南侧</t>
  </si>
  <si>
    <t>≤2.2</t>
  </si>
  <si>
    <t>2018-11-22</t>
  </si>
  <si>
    <t>＞3,≤5</t>
  </si>
  <si>
    <t>县城健康路东侧、觅园街南侧</t>
  </si>
  <si>
    <t>2018-11-09</t>
  </si>
  <si>
    <t>唐山市新华书店有限责任公司</t>
  </si>
  <si>
    <t>北一路以西、滨水正街以东、北四北支路以南、河北二路以北</t>
  </si>
  <si>
    <t>≥1.5,≤2</t>
  </si>
  <si>
    <t>2018-10-18</t>
  </si>
  <si>
    <t>唐山首横房地产开发有限公司</t>
  </si>
  <si>
    <t>通岛路以西、北一路以东、北四北支路以南、河北二路以北</t>
  </si>
  <si>
    <t>≥1.8,≤2</t>
  </si>
  <si>
    <t>纵一路以西、纵二路以南、横五路以南、横二路以北</t>
  </si>
  <si>
    <t>≥0.88,≤0.9</t>
  </si>
  <si>
    <t>2018-10-11</t>
  </si>
  <si>
    <t>唐山首源农产品有限公司</t>
  </si>
  <si>
    <t>纵一路以西、纵二路以东、横一路以南、横五路以北</t>
  </si>
  <si>
    <t>≥0.92,≤0.94</t>
  </si>
  <si>
    <t>唐山华沣冷链物流有限公司</t>
  </si>
  <si>
    <t>中央大街以西、唐曹铁路以东、横二路以南、北环河以北</t>
  </si>
  <si>
    <t>≥1,≤1.5</t>
  </si>
  <si>
    <t>唐山首达汽车贸易有限公司</t>
  </si>
  <si>
    <t>城区工业聚集区中轴路北侧</t>
  </si>
  <si>
    <t>河北明盛实业集团乐亭县宏晨建筑安装工程有限公司</t>
  </si>
  <si>
    <t>妃甸湿地文化旅游度假区庙中路以南、唐曹高速以西</t>
  </si>
  <si>
    <t>≤0.2</t>
  </si>
  <si>
    <t>2018-09-20</t>
  </si>
  <si>
    <t>唐山多玛乐园旅游文化有限公司</t>
  </si>
  <si>
    <t>≤0.6</t>
  </si>
  <si>
    <t>纵二路以西、纵六路以东、横五路以南、横二路以北</t>
  </si>
  <si>
    <t>2018-09-11</t>
  </si>
  <si>
    <t>唐山首贸五金建材有限公司</t>
  </si>
  <si>
    <t>第八农场南田庄供销社南侧</t>
  </si>
  <si>
    <t>≤2</t>
  </si>
  <si>
    <t>郑德新</t>
  </si>
  <si>
    <t>临港商务区北三路以西,北六南支路以南</t>
  </si>
  <si>
    <t>2018-08-29</t>
  </si>
  <si>
    <t>曹妃甸慧宇环境工程有限公司</t>
  </si>
  <si>
    <t>庙中路以南、唐曹高速以西</t>
  </si>
  <si>
    <t>2018-08-08</t>
  </si>
  <si>
    <t>城南乐港公路西侧、栗家湾坨村东</t>
  </si>
  <si>
    <t>2018-06-29</t>
  </si>
  <si>
    <t>乐亭乐源燃气有限公司</t>
  </si>
  <si>
    <t>金越道以南,北二路以西</t>
  </si>
  <si>
    <t>≥2且≤2.5</t>
  </si>
  <si>
    <t>2018-06-14</t>
  </si>
  <si>
    <t>唐山曹妃甸万居房地产开发有限公司</t>
  </si>
  <si>
    <t>县城农产品物流中心中轴路东侧、鹏程西街以北</t>
  </si>
  <si>
    <t>2018-05-09</t>
  </si>
  <si>
    <t>乐亭县鑫宇农资物流有限公司</t>
  </si>
  <si>
    <t>县城农产品物流中心中轴路东侧、鹏程西街北侧</t>
  </si>
  <si>
    <t>乐亭县江沣农资物流有限公司</t>
  </si>
  <si>
    <t>港荣街以北、海安路以东</t>
  </si>
  <si>
    <t>≤2.7</t>
  </si>
  <si>
    <t>2018-05-03</t>
  </si>
  <si>
    <t>唐山海港鑫丰房地产开发有限公司</t>
  </si>
  <si>
    <t>县城乐安路以东、鹏程街以北</t>
  </si>
  <si>
    <t>2018-04-18</t>
  </si>
  <si>
    <t>乐亭县冀东皮毛交易市场服务有限公司</t>
  </si>
  <si>
    <t>县城农产品物流中心中轴路东侧、锦绣街南侧</t>
  </si>
  <si>
    <t>裴建宏</t>
  </si>
  <si>
    <t>县城农产品物流中心中轴路以东、锦绣街南侧</t>
  </si>
  <si>
    <t>乐亭县凯元种业有限公司</t>
  </si>
  <si>
    <t>金融东街北侧、高科三路以西</t>
  </si>
  <si>
    <t>大于0并且小于或等于1</t>
  </si>
  <si>
    <t>河北夏日集团物流有限公司</t>
  </si>
  <si>
    <t>县城乐安路东侧、鹏程街北侧</t>
  </si>
  <si>
    <t>乐亭煜达植保服务有限公司</t>
  </si>
  <si>
    <t>小康西里大通路西侧</t>
  </si>
  <si>
    <t>等于0.82</t>
  </si>
  <si>
    <t>2018-03-07</t>
  </si>
  <si>
    <t>唐山市曹妃甸区城市建设投资集团有限责任公司</t>
  </si>
  <si>
    <t>曹妃甸新城东海路以东,5号河以北</t>
  </si>
  <si>
    <t>≤1.5</t>
  </si>
  <si>
    <t>2018-02-12</t>
  </si>
  <si>
    <t>唐山曹妃甸富力城房地产开发有限公司</t>
  </si>
  <si>
    <t>曹妃甸新城东海路以东,景明道以南</t>
  </si>
  <si>
    <t>≤3</t>
  </si>
  <si>
    <t>大清河盐场南北路以东、高科十七道以南</t>
  </si>
  <si>
    <t>≤0.5</t>
  </si>
  <si>
    <t>2018-02-01</t>
  </si>
  <si>
    <t>河北长芦大清河盐化集团有限公司</t>
  </si>
  <si>
    <t>乐北路西侧,惠民街南侧</t>
  </si>
  <si>
    <t>2018-01-29</t>
  </si>
  <si>
    <t>唐山湾国际旅游岛旺盛房地产开发有限公司</t>
  </si>
  <si>
    <t>乐亭县城南乐安路东侧、锦绣街南侧</t>
  </si>
  <si>
    <t>2018-01-19</t>
  </si>
  <si>
    <t>县城乐安路东侧、鹏程街以北</t>
  </si>
  <si>
    <t>县城农产品物流中心中轴路以西、锦绣街南侧</t>
  </si>
  <si>
    <t>曹妃甸新城新阳路以西,新港大道以南</t>
  </si>
  <si>
    <t>2017-12-20</t>
  </si>
  <si>
    <t>曹妃甸新城德胜路以东,富春道以南</t>
  </si>
  <si>
    <t>曹妃甸新城正阳路以东,新港大道以南</t>
  </si>
  <si>
    <t>汀流河工业园区平青大路西侧</t>
  </si>
  <si>
    <t>大于1并且小于或等于2</t>
  </si>
  <si>
    <t>2017-11-30</t>
  </si>
  <si>
    <t>马铭</t>
  </si>
  <si>
    <t>曹南铁路桥以东、河北一路以南</t>
  </si>
  <si>
    <t>≥2且≤3</t>
  </si>
  <si>
    <t>北一道以北、河北东路以东</t>
  </si>
  <si>
    <t>≥3.5且≤4</t>
  </si>
  <si>
    <t>北一道以北、河北东路以西</t>
  </si>
  <si>
    <t>乐亭县逸隆汽车服务有限公司</t>
  </si>
  <si>
    <t>北四道以北,中央大街以东</t>
  </si>
  <si>
    <t>2017-11-13</t>
  </si>
  <si>
    <t>唐山曹妃甸双创企业孵化器有限公司</t>
  </si>
  <si>
    <t>北四北支路以北,中央大街以东</t>
  </si>
  <si>
    <t>≥2.5且≤3</t>
  </si>
  <si>
    <t>曹妃甸区十一农场唐曹高速公路南侧</t>
  </si>
  <si>
    <t>≤0.8</t>
  </si>
  <si>
    <t>2017-11-10</t>
  </si>
  <si>
    <t>唐山唐曹高速公路有限公司</t>
  </si>
  <si>
    <t>曹妃甸区十一农场唐曹高速公路北侧</t>
  </si>
  <si>
    <t>清河东路东侧,惠民街南侧</t>
  </si>
  <si>
    <t>2017-11-08</t>
  </si>
  <si>
    <t>商钰平</t>
  </si>
  <si>
    <t>乐北路以西,秀兰饭店以北</t>
  </si>
  <si>
    <t>唐山秀兰房地产开发有限公司</t>
  </si>
  <si>
    <t>河北二路以南</t>
  </si>
  <si>
    <t>2017-09-18</t>
  </si>
  <si>
    <t>中油曹妃甸石油销售有限公司</t>
  </si>
  <si>
    <t>一号路以东,北环路以南</t>
  </si>
  <si>
    <t>中海路以东、新元道以南</t>
  </si>
  <si>
    <t>≤1.2</t>
  </si>
  <si>
    <t>2017-09-14</t>
  </si>
  <si>
    <t>中鹰曹建投(曹妃甸)房地产开发有限公司</t>
  </si>
  <si>
    <t>曹妃甸中小企业园区迁曹公路西侧</t>
  </si>
  <si>
    <t>≥0.8且≤1.2</t>
  </si>
  <si>
    <t>2017-09-13</t>
  </si>
  <si>
    <t>中青冷链仓储贸易(唐山)有限公司</t>
  </si>
  <si>
    <t>海景大道以北,乐北路以东</t>
  </si>
  <si>
    <t>2017-07-24</t>
  </si>
  <si>
    <t>唐山湾国际旅游岛大唐小镇文化旅游有限公司</t>
  </si>
  <si>
    <t>乐北路以西,惠民街以南</t>
  </si>
  <si>
    <t>唐山湾国际旅游岛润泽房地产开发有限公司</t>
  </si>
  <si>
    <t>≥1.5,≤1.8</t>
  </si>
  <si>
    <t>唐山曹妃甸宝骏金融街房地产开发有限公司</t>
  </si>
  <si>
    <t>清河东路以东,三贝道以北</t>
  </si>
  <si>
    <t>唐山湾国际旅游岛红博实业有限公司</t>
  </si>
  <si>
    <t>A02路以西,C5路以北</t>
  </si>
  <si>
    <t>2017-07-17</t>
  </si>
  <si>
    <t>唐山曹妃甸综保投资有限公司</t>
  </si>
  <si>
    <t>A02路以西,B4路以北</t>
  </si>
  <si>
    <t>新港大道以南,绿珠河以东</t>
  </si>
  <si>
    <t>2017-07-14</t>
  </si>
  <si>
    <t>唐山曹妃甸赫祥泰业房地产开发有限公司</t>
  </si>
  <si>
    <t>兴业大街以南、海河路以东</t>
  </si>
  <si>
    <t>2017-06-16</t>
  </si>
  <si>
    <t>河南川西能源有限公司</t>
  </si>
  <si>
    <t>县城腾飞街北侧、中医院以东</t>
  </si>
  <si>
    <t>2017-05-25</t>
  </si>
  <si>
    <t>刘忠贤</t>
  </si>
  <si>
    <t>北三路以东,北四道以北</t>
  </si>
  <si>
    <t>2017-04-26</t>
  </si>
  <si>
    <t>唐山曹妃甸太阳城房地产开发有限公司</t>
  </si>
  <si>
    <t>乐亭县城南乐安路东侧、腾飞街南侧</t>
  </si>
  <si>
    <t>2017-04-13</t>
  </si>
  <si>
    <t>乐亭县冀东国际农产品物流有限公司</t>
  </si>
  <si>
    <t>乐亭县城南发展大路西侧、锦绣街北侧</t>
  </si>
  <si>
    <t>乐亭县城南乐安路东侧、锦绣街北侧</t>
  </si>
  <si>
    <t>清河东路以东,纬四东路以南</t>
  </si>
  <si>
    <t>2017-03-30</t>
  </si>
  <si>
    <t>唐山湾国际旅游岛紫竹园房地产开发有限公司</t>
  </si>
  <si>
    <t>大清河以西,滨海大道以北</t>
  </si>
  <si>
    <t>2017-02-22</t>
  </si>
  <si>
    <t>唐山金融控股集团园区经济发展有限公司</t>
  </si>
  <si>
    <t>唐山湾生态城行知路以西,富春道以北</t>
  </si>
  <si>
    <t>2016-12-19</t>
  </si>
  <si>
    <t>唐山市曹妃甸大正房地产开发有限公司</t>
  </si>
  <si>
    <t>正常</t>
  </si>
  <si>
    <t>较差</t>
  </si>
  <si>
    <t>较好</t>
  </si>
  <si>
    <t>七通</t>
  </si>
  <si>
    <t>差</t>
  </si>
  <si>
    <t>较规则</t>
  </si>
  <si>
    <t>较规则</t>
    <phoneticPr fontId="26" type="noConversion"/>
  </si>
  <si>
    <t>较适宜</t>
  </si>
  <si>
    <t>较适宜</t>
    <phoneticPr fontId="26" type="noConversion"/>
  </si>
  <si>
    <t>三通</t>
  </si>
  <si>
    <t>三通</t>
    <phoneticPr fontId="26" type="noConversion"/>
  </si>
  <si>
    <t>市区</t>
    <phoneticPr fontId="3" type="noConversion"/>
  </si>
  <si>
    <t>乐亭县</t>
    <phoneticPr fontId="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</si>
  <si>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</si>
  <si>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租金</t>
    <phoneticPr fontId="3" type="noConversion"/>
  </si>
  <si>
    <t>平整费</t>
    <phoneticPr fontId="9" type="noConversion"/>
  </si>
  <si>
    <t>楼面地价</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</si>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</sst>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8" fillId="0" borderId="0">
      <alignment vertical="center"/>
    </xf>
    <xf numFmtId="0" fontId="148" fillId="0" borderId="0">
      <alignment vertical="center"/>
    </xf>
    <xf numFmtId="0" fontId="145" fillId="0" borderId="0"/>
    <xf numFmtId="0" fontId="148"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18" borderId="0" xfId="0" applyFill="1" applyAlignment="1"/>
    <xf numFmtId="0" fontId="71" fillId="0" borderId="12" xfId="1" applyFont="1" applyBorder="1" applyAlignment="1" applyProtection="1">
      <alignment horizontal="center" vertical="center"/>
      <protection locked="0"/>
    </xf>
    <xf numFmtId="0" fontId="82" fillId="5" borderId="0" xfId="0" applyFont="1" applyFill="1" applyAlignment="1" applyProtection="1">
      <alignment vertical="center"/>
      <protection locked="0"/>
    </xf>
    <xf numFmtId="0" fontId="202" fillId="0" borderId="11" xfId="0" applyFont="1" applyBorder="1" applyAlignment="1" applyProtection="1">
      <alignment horizontal="center" vertical="center"/>
      <protection locked="0"/>
    </xf>
    <xf numFmtId="58" fontId="76" fillId="5" borderId="0" xfId="0" applyNumberFormat="1" applyFont="1" applyFill="1" applyAlignment="1" applyProtection="1">
      <alignment vertical="center"/>
      <protection locked="0"/>
    </xf>
    <xf numFmtId="0" fontId="0" fillId="0" borderId="0" xfId="0" applyFill="1" applyAlignment="1"/>
    <xf numFmtId="0" fontId="76" fillId="5" borderId="0" xfId="1" applyFont="1" applyFill="1" applyAlignment="1" applyProtection="1">
      <alignment vertical="center"/>
      <protection locked="0"/>
    </xf>
    <xf numFmtId="49" fontId="83" fillId="9" borderId="7"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0" fillId="9" borderId="0" xfId="0" applyFill="1" applyAlignment="1"/>
    <xf numFmtId="0" fontId="71" fillId="9" borderId="11" xfId="0" applyFont="1" applyFill="1" applyBorder="1" applyAlignment="1" applyProtection="1">
      <alignment vertical="center"/>
      <protection locked="0"/>
    </xf>
    <xf numFmtId="181" fontId="71" fillId="9"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6 2 3" xfId="17"/>
    <cellStyle name="常规 7" xfId="9"/>
    <cellStyle name="常规 8" xfId="15"/>
    <cellStyle name="常规 8 2" xfId="16"/>
    <cellStyle name="常规 9" xfId="14"/>
    <cellStyle name="常规 9 2" xfId="1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7</xdr:col>
      <xdr:colOff>1256026</xdr:colOff>
      <xdr:row>136</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487900"/>
          <a:ext cx="10200001" cy="5914286"/>
        </a:xfrm>
        <a:prstGeom prst="rect">
          <a:avLst/>
        </a:prstGeom>
      </xdr:spPr>
    </xdr:pic>
    <xdr:clientData/>
  </xdr:twoCellAnchor>
  <xdr:twoCellAnchor editAs="oneCell">
    <xdr:from>
      <xdr:col>7</xdr:col>
      <xdr:colOff>1409700</xdr:colOff>
      <xdr:row>102</xdr:row>
      <xdr:rowOff>57150</xdr:rowOff>
    </xdr:from>
    <xdr:to>
      <xdr:col>12</xdr:col>
      <xdr:colOff>532932</xdr:colOff>
      <xdr:row>113</xdr:row>
      <xdr:rowOff>161676</xdr:rowOff>
    </xdr:to>
    <xdr:pic>
      <xdr:nvPicPr>
        <xdr:cNvPr id="3" name="图片 2"/>
        <xdr:cNvPicPr>
          <a:picLocks noChangeAspect="1"/>
        </xdr:cNvPicPr>
      </xdr:nvPicPr>
      <xdr:blipFill>
        <a:blip xmlns:r="http://schemas.openxmlformats.org/officeDocument/2006/relationships" r:embed="rId2"/>
        <a:stretch>
          <a:fillRect/>
        </a:stretch>
      </xdr:blipFill>
      <xdr:spPr>
        <a:xfrm>
          <a:off x="10353675" y="17545050"/>
          <a:ext cx="3742857"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256372</xdr:colOff>
      <xdr:row>42</xdr:row>
      <xdr:rowOff>56243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428572" cy="7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636981</xdr:colOff>
      <xdr:row>8</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52381" cy="1542857"/>
        </a:xfrm>
        <a:prstGeom prst="rect">
          <a:avLst/>
        </a:prstGeom>
      </xdr:spPr>
    </xdr:pic>
    <xdr:clientData/>
  </xdr:twoCellAnchor>
  <xdr:twoCellAnchor editAs="oneCell">
    <xdr:from>
      <xdr:col>0</xdr:col>
      <xdr:colOff>0</xdr:colOff>
      <xdr:row>10</xdr:row>
      <xdr:rowOff>0</xdr:rowOff>
    </xdr:from>
    <xdr:to>
      <xdr:col>14</xdr:col>
      <xdr:colOff>72055</xdr:colOff>
      <xdr:row>19</xdr:row>
      <xdr:rowOff>130946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673255" cy="16739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61815.58平方米。根据《建设工程规划许可证》[]、《出让合同》[]，估价对象规划建筑面积为92723.37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2019年9月26日（评估专业人员勘察现场之日）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根据《国有土地使用证》[]，估价对象（分摊）出让国有建设用地使用权面积为61815.58平方米。根据《建设工程规划许可证》[]、《出让合同》[]，估价对象规划建筑面积为92723.37平方米。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31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估价期日：2019年9月26日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61815.58</v>
      </c>
    </row>
    <row r="44" spans="1:2">
      <c r="A44" s="2832" t="s">
        <v>2739</v>
      </c>
      <c r="B44" s="2833" t="str">
        <f>'预评函-2'!O3</f>
        <v>规划建筑面积/㎡</v>
      </c>
    </row>
    <row r="45" spans="1:2">
      <c r="A45" s="2832" t="s">
        <v>2721</v>
      </c>
      <c r="B45" s="2833">
        <f>'预评函-2'!O5</f>
        <v>92723.37</v>
      </c>
    </row>
    <row r="46" spans="1:2">
      <c r="A46" s="2832" t="s">
        <v>2722</v>
      </c>
      <c r="B46" s="2833">
        <f ca="1">'预评函-2'!P5</f>
        <v>1014</v>
      </c>
    </row>
    <row r="47" spans="1:2">
      <c r="A47" s="2832" t="s">
        <v>2723</v>
      </c>
      <c r="B47" s="2833">
        <f ca="1">'预评函-2'!Q5</f>
        <v>676</v>
      </c>
    </row>
    <row r="48" spans="1:2">
      <c r="A48" s="2832" t="s">
        <v>2724</v>
      </c>
      <c r="B48" s="2833">
        <f ca="1">'预评函-2'!R5</f>
        <v>6267</v>
      </c>
    </row>
    <row r="49" spans="1:2">
      <c r="A49" s="2832" t="s">
        <v>2740</v>
      </c>
      <c r="B49" s="2833" t="str">
        <f>'预评函-2'!A6</f>
        <v>抵押价格</v>
      </c>
    </row>
    <row r="50" spans="1:2">
      <c r="A50" s="2832" t="s">
        <v>2725</v>
      </c>
      <c r="B50" s="2833">
        <f ca="1">'预评函-2'!R6</f>
        <v>6267</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5" sqref="F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31" t="str">
        <f>IF(B10="北京市","北京市",C10)&amp;F10&amp;B16&amp;"国有建设用地使用权"&amp;B9&amp;"预评估"</f>
        <v>出让国有建设用地使用权抵押价格预评估</v>
      </c>
      <c r="C1" s="3232"/>
      <c r="D1" s="3232"/>
      <c r="E1" s="3232"/>
      <c r="F1" s="3232"/>
      <c r="G1" s="3232"/>
      <c r="H1" s="3232"/>
      <c r="I1" s="3233"/>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v>43734</v>
      </c>
      <c r="C3" s="1646" t="s">
        <v>1994</v>
      </c>
      <c r="D3" s="1645">
        <v>43734</v>
      </c>
      <c r="E3" s="1677"/>
      <c r="F3" s="1677"/>
      <c r="G3" s="1677"/>
      <c r="H3" s="1643"/>
      <c r="I3" s="1678"/>
      <c r="J3" s="1677"/>
      <c r="K3" s="1757"/>
      <c r="L3" s="1706"/>
      <c r="M3" s="1706"/>
      <c r="N3" s="1677"/>
      <c r="O3" s="1678"/>
      <c r="P3" s="1677"/>
      <c r="Q3" s="1677"/>
      <c r="R3" s="1677"/>
      <c r="S3" s="1677"/>
      <c r="T3" s="1677"/>
      <c r="U3" s="1677"/>
    </row>
    <row r="4" spans="1:21" ht="29.25" thickBot="1">
      <c r="A4" s="1647" t="s">
        <v>1939</v>
      </c>
      <c r="B4" s="1826" t="s">
        <v>2888</v>
      </c>
      <c r="C4" s="1829">
        <f>SUMIF(土地估价师,B4,估价师及机构信息!E3:E24)</f>
        <v>0</v>
      </c>
      <c r="D4" s="1826" t="s">
        <v>2888</v>
      </c>
      <c r="E4" s="1829">
        <f>SUMIF(土地估价师,D4,估价师及机构信息!E3:E24)</f>
        <v>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2997</v>
      </c>
      <c r="C8" s="1654"/>
      <c r="D8" s="3237" t="s">
        <v>1943</v>
      </c>
      <c r="E8" s="1827" t="s">
        <v>2999</v>
      </c>
      <c r="F8" s="1655"/>
      <c r="G8" s="1643"/>
      <c r="H8" s="1643"/>
      <c r="I8" s="1690"/>
      <c r="J8" s="1677"/>
      <c r="K8" s="1757"/>
      <c r="L8" s="1706"/>
      <c r="M8" s="1706"/>
      <c r="N8" s="1677"/>
      <c r="O8" s="1678"/>
      <c r="P8" s="1677"/>
      <c r="Q8" s="1677"/>
      <c r="R8" s="1677"/>
      <c r="S8" s="1677"/>
      <c r="T8" s="1677"/>
      <c r="U8" s="1677"/>
    </row>
    <row r="9" spans="1:21" ht="15" thickBot="1">
      <c r="A9" s="1656" t="s">
        <v>1942</v>
      </c>
      <c r="B9" s="1657" t="s">
        <v>2999</v>
      </c>
      <c r="C9" s="1658"/>
      <c r="D9" s="3238"/>
      <c r="E9" s="1657"/>
      <c r="F9" s="1730"/>
      <c r="G9" s="1725"/>
      <c r="H9" s="1725"/>
      <c r="I9" s="1726"/>
      <c r="J9" s="1677"/>
      <c r="K9" s="1757"/>
      <c r="L9" s="1706"/>
      <c r="M9" s="1706"/>
      <c r="N9" s="1677"/>
      <c r="O9" s="1678"/>
      <c r="P9" s="1677"/>
      <c r="Q9" s="1677"/>
      <c r="R9" s="1677"/>
      <c r="S9" s="1677"/>
      <c r="T9" s="1677"/>
      <c r="U9" s="1677"/>
    </row>
    <row r="10" spans="1:21" ht="15" thickTop="1">
      <c r="A10" s="1727" t="s">
        <v>1998</v>
      </c>
      <c r="B10" s="1702"/>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34"/>
      <c r="C12" s="3235"/>
      <c r="D12" s="3236"/>
      <c r="E12" s="1682" t="s">
        <v>2060</v>
      </c>
      <c r="F12" s="3252" t="s">
        <v>2889</v>
      </c>
      <c r="G12" s="3253"/>
      <c r="H12" s="3253"/>
      <c r="I12" s="3254"/>
      <c r="J12" s="1677"/>
      <c r="K12" s="1757"/>
      <c r="L12" s="1706"/>
      <c r="M12" s="1706"/>
      <c r="N12" s="1677"/>
      <c r="O12" s="1678"/>
      <c r="P12" s="1677"/>
      <c r="Q12" s="1677"/>
      <c r="R12" s="1677"/>
      <c r="S12" s="1677"/>
      <c r="T12" s="1677"/>
      <c r="U12" s="1677"/>
    </row>
    <row r="13" spans="1:21">
      <c r="A13" s="1670" t="s">
        <v>2058</v>
      </c>
      <c r="B13" s="3234"/>
      <c r="C13" s="3235"/>
      <c r="D13" s="3236"/>
      <c r="E13" s="1682" t="s">
        <v>2060</v>
      </c>
      <c r="F13" s="3252" t="s">
        <v>2890</v>
      </c>
      <c r="G13" s="3253"/>
      <c r="H13" s="3253"/>
      <c r="I13" s="3254"/>
      <c r="J13" s="1677"/>
      <c r="K13" s="1757"/>
      <c r="L13" s="1706"/>
      <c r="M13" s="1706"/>
      <c r="N13" s="1677"/>
      <c r="O13" s="1678"/>
      <c r="P13" s="1677"/>
      <c r="Q13" s="1677"/>
      <c r="R13" s="1677"/>
      <c r="S13" s="1677"/>
      <c r="T13" s="1677"/>
      <c r="U13" s="1677"/>
    </row>
    <row r="14" spans="1:21">
      <c r="A14" s="1644" t="s">
        <v>2061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2990</v>
      </c>
      <c r="C16" s="1682" t="s">
        <v>1947</v>
      </c>
      <c r="D16" s="2609" t="s">
        <v>1948</v>
      </c>
      <c r="E16" s="1705" t="s">
        <v>2998</v>
      </c>
      <c r="F16" s="1705"/>
      <c r="G16" s="1705"/>
      <c r="H16" s="1705"/>
      <c r="I16" s="1669" t="s">
        <v>1953</v>
      </c>
      <c r="J16" s="1677"/>
      <c r="K16" s="2419" t="str">
        <f>IF(D17="","",D16&amp;TEXT(D17,"yyyy年m月d日;;"))</f>
        <v/>
      </c>
      <c r="L16" s="1682" t="str">
        <f>IF(OR(K16="",M16=""),"","、")</f>
        <v/>
      </c>
      <c r="M16" s="2419" t="str">
        <f>IF(E17="","",E16&amp;TEXT(E17,"yyyy年m月d日;;"))</f>
        <v>商业2057年3月31日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c r="E17" s="1683">
        <v>57435</v>
      </c>
      <c r="F17" s="1683"/>
      <c r="G17" s="1683"/>
      <c r="H17" s="1683"/>
      <c r="I17" s="1683"/>
      <c r="J17" s="1677"/>
      <c r="K17" s="2418" t="str">
        <f>CONCATENATE(K16,L16,M16,N16,O16,P16,Q16,R16,S16,T16,,U16)</f>
        <v>商业2057年3月31日</v>
      </c>
      <c r="L17" s="1706"/>
      <c r="M17" s="1706"/>
      <c r="N17" s="1677"/>
      <c r="O17" s="1678"/>
      <c r="P17" s="1677"/>
      <c r="Q17" s="1677"/>
      <c r="R17" s="1677"/>
      <c r="S17" s="1677"/>
      <c r="T17" s="1677"/>
      <c r="U17" s="1677"/>
    </row>
    <row r="18" spans="1:21">
      <c r="A18" s="1746"/>
      <c r="B18" s="1665"/>
      <c r="C18" s="1666" t="s">
        <v>1955</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t="str">
        <f>IF(B16="出让",IF(D17="","",ROUNDDOWN(MIN((D17-$D$3)/365,D18),2)),D18)</f>
        <v/>
      </c>
      <c r="E19" s="1668">
        <f>IF(B16="出让",IF(E17="","",ROUNDDOWN(MIN((E17-$D$3)/365,E18),2)),E18)</f>
        <v>37.53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49"/>
      <c r="E20" s="3250"/>
      <c r="F20" s="3250"/>
      <c r="G20" s="3250"/>
      <c r="H20" s="3250"/>
      <c r="I20" s="3251"/>
      <c r="J20" s="1677"/>
      <c r="K20" s="1757"/>
      <c r="L20" s="1706"/>
      <c r="M20" s="1706"/>
      <c r="N20" s="1677"/>
      <c r="O20" s="1678"/>
      <c r="P20" s="1677"/>
      <c r="Q20" s="1677"/>
      <c r="R20" s="1677"/>
      <c r="S20" s="1677"/>
      <c r="T20" s="1677"/>
      <c r="U20" s="1677"/>
    </row>
    <row r="21" spans="1:21">
      <c r="A21" s="1746" t="s">
        <v>1957</v>
      </c>
      <c r="B21" s="1747" t="s">
        <v>1958</v>
      </c>
      <c r="C21" s="1742">
        <f>'数据-汇总表'!E3</f>
        <v>92723.37</v>
      </c>
      <c r="D21" s="1743" t="s">
        <v>1959</v>
      </c>
      <c r="E21" s="3239" t="s">
        <v>1997</v>
      </c>
      <c r="F21" s="3240"/>
      <c r="G21" s="3240"/>
      <c r="H21" s="3240"/>
      <c r="I21" s="3241"/>
      <c r="J21" s="1677"/>
      <c r="K21" s="1757"/>
      <c r="L21" s="1706"/>
      <c r="M21" s="1706"/>
      <c r="N21" s="1677"/>
      <c r="O21" s="1678"/>
      <c r="P21" s="1677"/>
      <c r="Q21" s="1677"/>
      <c r="R21" s="1677"/>
      <c r="S21" s="1677"/>
      <c r="T21" s="1677"/>
      <c r="U21" s="1677"/>
    </row>
    <row r="22" spans="1:21">
      <c r="A22" s="3096" t="s">
        <v>951</v>
      </c>
      <c r="B22" s="1644" t="s">
        <v>1960</v>
      </c>
      <c r="C22" s="1669">
        <f>'数据-汇总表'!D3</f>
        <v>61815.58</v>
      </c>
      <c r="D22" s="1670" t="s">
        <v>1959</v>
      </c>
      <c r="E22" s="3239" t="s">
        <v>2891</v>
      </c>
      <c r="F22" s="3240"/>
      <c r="G22" s="3240"/>
      <c r="H22" s="3240"/>
      <c r="I22" s="3241"/>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42" t="s">
        <v>1965</v>
      </c>
      <c r="C24" s="3243"/>
      <c r="D24" s="3244" t="s">
        <v>1966</v>
      </c>
      <c r="E24" s="3245"/>
      <c r="F24" s="1691" t="s">
        <v>1967</v>
      </c>
      <c r="G24" s="1677"/>
      <c r="H24" s="1677"/>
      <c r="I24" s="1690"/>
      <c r="J24" s="1677"/>
      <c r="K24" s="3230"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30"/>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30"/>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57" t="s">
        <v>2000</v>
      </c>
      <c r="B31" s="1747" t="s">
        <v>2001</v>
      </c>
      <c r="C31" s="3255"/>
      <c r="D31" s="3256"/>
      <c r="E31" s="1677"/>
      <c r="F31" s="1677"/>
      <c r="G31" s="1677"/>
      <c r="H31" s="1677"/>
      <c r="I31" s="1690"/>
      <c r="J31" s="1677"/>
      <c r="K31" s="2421"/>
      <c r="L31" s="1677"/>
      <c r="M31" s="1677"/>
      <c r="N31" s="1677"/>
      <c r="O31" s="1677"/>
      <c r="P31" s="1677"/>
      <c r="Q31" s="1677"/>
      <c r="R31" s="1677"/>
      <c r="S31" s="1677"/>
      <c r="T31" s="1677"/>
      <c r="U31" s="1677"/>
    </row>
    <row r="32" spans="1:21">
      <c r="A32" s="3257"/>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7"/>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8"/>
      <c r="B34" s="1644" t="s">
        <v>2004</v>
      </c>
      <c r="C34" s="3259"/>
      <c r="D34" s="3260"/>
      <c r="E34" s="1677"/>
      <c r="F34" s="1677"/>
      <c r="G34" s="1677"/>
      <c r="H34" s="1677"/>
      <c r="I34" s="1690"/>
      <c r="J34" s="1677"/>
      <c r="K34" s="2421"/>
      <c r="L34" s="1677"/>
      <c r="M34" s="1677"/>
      <c r="N34" s="1677"/>
      <c r="O34" s="1677"/>
      <c r="P34" s="1677"/>
      <c r="Q34" s="1677"/>
      <c r="R34" s="1677"/>
      <c r="S34" s="1677"/>
      <c r="T34" s="1677"/>
      <c r="U34" s="1677"/>
    </row>
    <row r="35" spans="1:21">
      <c r="A35" s="3261" t="s">
        <v>846</v>
      </c>
      <c r="B35" s="1705"/>
      <c r="C35" s="1759" t="str">
        <f>IF(B35="场地平整","——","具体情况：")</f>
        <v>具体情况：</v>
      </c>
      <c r="D35" s="3263"/>
      <c r="E35" s="3264"/>
      <c r="F35" s="3264"/>
      <c r="G35" s="3264"/>
      <c r="H35" s="3264"/>
      <c r="I35" s="3265"/>
      <c r="J35" s="1677"/>
      <c r="K35" s="1758"/>
      <c r="L35" s="1706"/>
      <c r="M35" s="1706"/>
      <c r="N35" s="1677"/>
      <c r="O35" s="1678"/>
      <c r="P35" s="1677"/>
      <c r="Q35" s="1677"/>
      <c r="R35" s="1677"/>
      <c r="S35" s="1677"/>
      <c r="T35" s="1677"/>
      <c r="U35" s="1677"/>
    </row>
    <row r="36" spans="1:21">
      <c r="A36" s="3257"/>
      <c r="B36" s="3266" t="s">
        <v>2053</v>
      </c>
      <c r="C36" s="3267"/>
      <c r="D36" s="1775"/>
      <c r="E36" s="3268"/>
      <c r="F36" s="3268"/>
      <c r="G36" s="1670" t="str">
        <f>IF(B35="场地未平整","估价结果处理","")</f>
        <v/>
      </c>
      <c r="H36" s="3269"/>
      <c r="I36" s="3269"/>
      <c r="J36" s="1677"/>
      <c r="K36" s="1758"/>
      <c r="L36" s="1706"/>
      <c r="M36" s="1706"/>
      <c r="N36" s="1677"/>
      <c r="O36" s="1678"/>
      <c r="P36" s="1677"/>
      <c r="Q36" s="1677"/>
      <c r="R36" s="1677"/>
      <c r="S36" s="1677"/>
      <c r="T36" s="1677"/>
      <c r="U36" s="1677"/>
    </row>
    <row r="37" spans="1:21" ht="28.5">
      <c r="A37" s="3257"/>
      <c r="B37" s="3246"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7"/>
      <c r="B38" s="3247"/>
      <c r="C38" s="1652" t="s">
        <v>849</v>
      </c>
      <c r="D38" s="1774">
        <f>ROUNDDOWN(MIN(('数据-取费表'!$B$2-D37)/365,D34),1)</f>
        <v>119.8</v>
      </c>
      <c r="E38" s="1710" t="s">
        <v>850</v>
      </c>
      <c r="F38" s="1677"/>
      <c r="G38" s="1677"/>
      <c r="H38" s="1677"/>
      <c r="I38" s="1690"/>
      <c r="J38" s="1677"/>
      <c r="K38" s="1758"/>
      <c r="L38" s="1677"/>
      <c r="M38" s="1677"/>
      <c r="N38" s="1677"/>
      <c r="O38" s="1677"/>
      <c r="P38" s="1677"/>
      <c r="Q38" s="1677"/>
      <c r="R38" s="1677"/>
      <c r="S38" s="1677"/>
      <c r="T38" s="1677"/>
      <c r="U38" s="1677"/>
    </row>
    <row r="39" spans="1:21">
      <c r="A39" s="3258"/>
      <c r="B39" s="3248"/>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29" t="s">
        <v>1984</v>
      </c>
      <c r="T40" s="1714" t="str">
        <f>NUMBERSTRING(7-K40,1)&amp;"通"</f>
        <v>七通</v>
      </c>
      <c r="U40" s="1677"/>
    </row>
    <row r="41" spans="1:21">
      <c r="A41" s="1646"/>
      <c r="B41" s="3262" t="s">
        <v>1720</v>
      </c>
      <c r="C41" s="3262"/>
      <c r="D41" s="3262"/>
      <c r="E41" s="3262"/>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29"/>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61815.58</v>
      </c>
      <c r="B3" s="22">
        <f>IF(C3="否",G5-AT5,G5)</f>
        <v>92723.37</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92723.37</v>
      </c>
      <c r="H5" s="27">
        <f t="shared" ref="H5:AT5" si="0">SUM(H13:H641)</f>
        <v>92723.37</v>
      </c>
      <c r="I5" s="27">
        <f t="shared" si="0"/>
        <v>92723.37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92723.37</v>
      </c>
      <c r="BA5" s="29">
        <f t="shared" si="1"/>
        <v>92723.37</v>
      </c>
      <c r="BB5" s="29">
        <f t="shared" si="1"/>
        <v>92723.37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61815.58</v>
      </c>
      <c r="F6" s="27" t="s">
        <v>1</v>
      </c>
      <c r="G6" s="27" t="s">
        <v>2</v>
      </c>
      <c r="H6" s="33">
        <f>SUMIF(I$12:AB$12,"总值",I6:AB6)</f>
        <v>61815.58</v>
      </c>
      <c r="I6" s="27">
        <f t="shared" ref="I6:AB6" si="2">ROUND($A$3*I5/$B$3,2)</f>
        <v>61815.58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61815.58</v>
      </c>
      <c r="AZ6" s="27" t="s">
        <v>3</v>
      </c>
      <c r="BA6" s="27">
        <f>ROUND($AY$6*BA5/$AZ$5,2)</f>
        <v>61815.58</v>
      </c>
      <c r="BB6" s="27">
        <f>ROUND($AY$6*BB5/$AZ$5,2)</f>
        <v>61815.58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3000</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2998</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1677</v>
      </c>
      <c r="E13" s="27">
        <f t="shared" ref="E13:E20" si="6">IF($C$3="是",ROUND($A$3*G13/$B$3,2),ROUND($A$3*(G13-AT13)/$B$3,2))</f>
        <v>61815.58</v>
      </c>
      <c r="F13" s="81"/>
      <c r="G13" s="82">
        <f t="shared" ref="G13:G20" si="7">H13+AC13+AT13</f>
        <v>92723.37</v>
      </c>
      <c r="H13" s="33">
        <f t="shared" ref="H13:H20" si="8">SUMIF(I$12:AB$12,"总值",I13:AB13)</f>
        <v>92723.37</v>
      </c>
      <c r="I13" s="2969">
        <f>ROUND((A3*1.5),2)</f>
        <v>92723.37</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f t="shared" ref="AY13:AY20" si="11">ROUND($AY$6*AZ13/$AZ$5,2)</f>
        <v>61815.58</v>
      </c>
      <c r="AZ13" s="27">
        <f t="shared" ref="AZ13:AZ20" si="12">BA13+BL13</f>
        <v>92723.37</v>
      </c>
      <c r="BA13" s="27">
        <f t="shared" ref="BA13:BA20" si="13">SUM(BB13:BK13)</f>
        <v>92723.37</v>
      </c>
      <c r="BB13" s="27">
        <f t="shared" ref="BB13:BB20" si="14">IF($D13="是",I13-J13,0)</f>
        <v>92723.37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t="s">
        <v>3001</v>
      </c>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0" sqref="F4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1" t="s">
        <v>203</v>
      </c>
      <c r="B2" s="3281"/>
      <c r="C2" s="3281"/>
      <c r="D2" s="1959" t="s">
        <v>204</v>
      </c>
      <c r="E2" s="106" t="s">
        <v>205</v>
      </c>
      <c r="F2" s="1968"/>
      <c r="G2" s="1193"/>
      <c r="H2" s="1194"/>
      <c r="I2" s="1195" t="s">
        <v>856</v>
      </c>
      <c r="J2" s="1968"/>
      <c r="K2" s="1968"/>
      <c r="L2" s="1968"/>
    </row>
    <row r="3" spans="1:16" ht="15.75" thickBot="1">
      <c r="A3" s="3282" t="s">
        <v>206</v>
      </c>
      <c r="B3" s="3282"/>
      <c r="C3" s="3282"/>
      <c r="D3" s="107">
        <f>'数据-基础表'!AY6</f>
        <v>61815.58</v>
      </c>
      <c r="E3" s="107">
        <f>'数据-基础表'!AZ5</f>
        <v>92723.37</v>
      </c>
      <c r="F3" s="1968"/>
      <c r="G3" s="279" t="s">
        <v>857</v>
      </c>
      <c r="H3" s="274" t="s">
        <v>858</v>
      </c>
      <c r="I3" s="1960">
        <f>ROUND('数据-基础表'!B3/'数据-基础表'!A3,2)</f>
        <v>1.5</v>
      </c>
      <c r="J3" s="1968"/>
      <c r="K3" s="1968"/>
      <c r="L3" s="1968"/>
    </row>
    <row r="4" spans="1:16" ht="15">
      <c r="A4" s="3283"/>
      <c r="B4" s="3284"/>
      <c r="C4" s="3285"/>
      <c r="D4" s="108" t="s">
        <v>204</v>
      </c>
      <c r="E4" s="109" t="s">
        <v>205</v>
      </c>
      <c r="F4" s="1968"/>
      <c r="G4" s="1196"/>
      <c r="H4" s="274" t="s">
        <v>859</v>
      </c>
      <c r="I4" s="1960">
        <f>ROUND(SUMIF('数据-基础表'!I9:AS9,"地上",'数据-基础表'!I5:AS5)/'数据-基础表'!A3,2)</f>
        <v>1.5</v>
      </c>
      <c r="J4" s="1968"/>
      <c r="K4" s="1968"/>
      <c r="L4" s="1968"/>
    </row>
    <row r="5" spans="1:16">
      <c r="A5" s="110" t="s">
        <v>207</v>
      </c>
      <c r="B5" s="3286" t="s">
        <v>230</v>
      </c>
      <c r="C5" s="3286"/>
      <c r="D5" s="111">
        <f>ROUND($D$3*E5/$E$3,2)</f>
        <v>0</v>
      </c>
      <c r="E5" s="112">
        <f>SUMIF('数据-基础表'!$11:$11,"住宅",'数据-基础表'!$5:$5)</f>
        <v>0</v>
      </c>
      <c r="F5" s="1968"/>
      <c r="G5" s="279" t="s">
        <v>860</v>
      </c>
      <c r="H5" s="274" t="s">
        <v>858</v>
      </c>
      <c r="I5" s="1960">
        <f>ROUND(E31/D31,2)</f>
        <v>1.5</v>
      </c>
      <c r="J5" s="1968"/>
      <c r="K5" s="1968"/>
      <c r="L5" s="1968"/>
    </row>
    <row r="6" spans="1:16" ht="15" thickBot="1">
      <c r="A6" s="113"/>
      <c r="B6" s="3286" t="s">
        <v>208</v>
      </c>
      <c r="C6" s="3286"/>
      <c r="D6" s="111">
        <f>ROUND($D$3*E6/$E$3,2)</f>
        <v>61815.58</v>
      </c>
      <c r="E6" s="112">
        <f>E3-E5</f>
        <v>92723.37</v>
      </c>
      <c r="F6" s="1968"/>
      <c r="G6" s="1196"/>
      <c r="H6" s="274" t="s">
        <v>859</v>
      </c>
      <c r="I6" s="1960">
        <f>ROUND(F31/D31,2)</f>
        <v>1.5</v>
      </c>
      <c r="J6" s="1968"/>
      <c r="K6" s="1968"/>
      <c r="L6" s="1968"/>
    </row>
    <row r="7" spans="1:16" ht="15">
      <c r="A7" s="3278"/>
      <c r="B7" s="3279"/>
      <c r="C7" s="3280"/>
      <c r="D7" s="108" t="s">
        <v>204</v>
      </c>
      <c r="E7" s="114" t="s">
        <v>231</v>
      </c>
      <c r="F7" s="1968"/>
      <c r="G7" s="1151" t="s">
        <v>1644</v>
      </c>
      <c r="H7" s="1152"/>
      <c r="I7" s="1830"/>
      <c r="J7" s="1968"/>
      <c r="K7" s="1968"/>
      <c r="L7" s="1968"/>
    </row>
    <row r="8" spans="1:16">
      <c r="A8" s="110" t="s">
        <v>209</v>
      </c>
      <c r="B8" s="115" t="s">
        <v>210</v>
      </c>
      <c r="C8" s="111" t="s">
        <v>211</v>
      </c>
      <c r="D8" s="111">
        <f t="shared" ref="D8:D15" si="0">ROUND($D$3*E8/$E$3,2)</f>
        <v>61815.58</v>
      </c>
      <c r="E8" s="116">
        <f>SUMIF('数据-基础表'!BB10:BK10,"地上",'数据-基础表'!BB5:BK5)</f>
        <v>92723.37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61815.58</v>
      </c>
      <c r="E16" s="120">
        <f>SUM(E8:E15)</f>
        <v>92723.37</v>
      </c>
      <c r="F16" s="1968"/>
      <c r="G16" s="1970"/>
      <c r="H16" s="967" t="s">
        <v>219</v>
      </c>
      <c r="I16" s="968"/>
      <c r="J16" s="1968"/>
      <c r="K16" s="3272" t="s">
        <v>2565</v>
      </c>
      <c r="L16" s="3273"/>
      <c r="M16" s="3273"/>
      <c r="N16" s="3273"/>
      <c r="O16" s="3273"/>
      <c r="P16" s="3274"/>
    </row>
    <row r="17" spans="1:19" ht="15">
      <c r="A17" s="121" t="s">
        <v>216</v>
      </c>
      <c r="B17" s="122" t="s">
        <v>217</v>
      </c>
      <c r="C17" s="2282" t="s">
        <v>2312</v>
      </c>
      <c r="D17" s="108" t="s">
        <v>204</v>
      </c>
      <c r="E17" s="124" t="s">
        <v>205</v>
      </c>
      <c r="F17" s="125"/>
      <c r="G17" s="1361"/>
      <c r="H17" s="969" t="s">
        <v>218</v>
      </c>
      <c r="I17" s="970" t="s">
        <v>2311</v>
      </c>
      <c r="J17" s="1968"/>
      <c r="K17" s="3275" t="s">
        <v>2566</v>
      </c>
      <c r="L17" s="3276"/>
      <c r="M17" s="3277"/>
      <c r="N17" s="3275" t="s">
        <v>2567</v>
      </c>
      <c r="O17" s="3276"/>
      <c r="P17" s="3277"/>
      <c r="R17" s="2283" t="s">
        <v>2310</v>
      </c>
      <c r="S17" s="144"/>
    </row>
    <row r="18" spans="1:19" ht="15">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6" t="s">
        <v>3002</v>
      </c>
      <c r="D19" s="111">
        <f t="shared" ref="D19:D26" si="1">ROUND($D$3*E19/$E$3,2)</f>
        <v>61815.58</v>
      </c>
      <c r="E19" s="134">
        <f t="shared" ref="E19:E26" si="2">SUM(F19:G19)</f>
        <v>92723.37</v>
      </c>
      <c r="F19" s="135">
        <f>'数据-基础表'!I13</f>
        <v>92723.37</v>
      </c>
      <c r="G19" s="1363"/>
      <c r="H19" s="973">
        <f>ROUND($D$3*I19/$E$3,2)</f>
        <v>0</v>
      </c>
      <c r="I19" s="116">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61815.58</v>
      </c>
      <c r="S19" s="2285">
        <f t="shared" si="5"/>
        <v>92723.37</v>
      </c>
    </row>
    <row r="20" spans="1:19">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8"/>
      <c r="B21" s="115" t="s">
        <v>226</v>
      </c>
      <c r="C21" s="2976"/>
      <c r="D21" s="111">
        <f t="shared" si="1"/>
        <v>0</v>
      </c>
      <c r="E21" s="134">
        <f t="shared" si="2"/>
        <v>0</v>
      </c>
      <c r="F21" s="135"/>
      <c r="G21" s="1363"/>
      <c r="H21" s="973">
        <f t="shared" si="6"/>
        <v>0</v>
      </c>
      <c r="I21" s="116">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75" thickBot="1">
      <c r="A27" s="138"/>
      <c r="B27" s="111"/>
      <c r="C27" s="127" t="s">
        <v>215</v>
      </c>
      <c r="D27" s="134">
        <f>SUM(D19:D26)</f>
        <v>61815.58</v>
      </c>
      <c r="E27" s="143">
        <f>IF(SUM(E19:E26)='数据-基础表'!BA5,SUM(E19:E26),IF(F27="地上面积有误","面积有误","地下面积有误"))</f>
        <v>92723.37</v>
      </c>
      <c r="F27" s="134">
        <f>IF(SUM(F19:F26)=E8,SUM(F19:F26),"地上面积有误")</f>
        <v>92723.37</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61815.58</v>
      </c>
      <c r="S27" s="274">
        <f>IF(SUM(S19:S26)=$E$3,SUM(S19:S26),SUM(S19:S26)&amp;"误差"&amp;ROUND(SUM(S19:S26)-E3,2))</f>
        <v>92723.37</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61815.58</v>
      </c>
      <c r="E31" s="1367">
        <f>E27+E30</f>
        <v>92723.37</v>
      </c>
      <c r="F31" s="1368">
        <f>F27+F30</f>
        <v>92723.37</v>
      </c>
      <c r="G31" s="1369">
        <f>G27+G30</f>
        <v>0</v>
      </c>
      <c r="H31" s="1968"/>
      <c r="I31" s="1968"/>
      <c r="J31" s="1968"/>
      <c r="K31" s="1968"/>
      <c r="L31" s="1968"/>
    </row>
    <row r="32" spans="1:19">
      <c r="A32" s="1968"/>
      <c r="B32" s="2326" t="s">
        <v>2320</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J26" sqref="J26"/>
    </sheetView>
  </sheetViews>
  <sheetFormatPr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9" style="1982"/>
    <col min="84" max="16384" width="9"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43734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商业</v>
      </c>
      <c r="B6" s="2321" t="str">
        <f>IF(A6=0,"","经营性")</f>
        <v>经营性</v>
      </c>
      <c r="C6" s="173" t="s">
        <v>2998</v>
      </c>
      <c r="D6" s="2292">
        <f>SUMIF(项目基本情况!D$15:I$15,C6,项目基本情况!D$18:I$18)</f>
        <v>40</v>
      </c>
      <c r="E6" s="2293">
        <f>IF(B6="","",SUMIF(项目基本情况!D$15:I$15,C6,项目基本情况!D$17:I$17))</f>
        <v>57435</v>
      </c>
      <c r="F6" s="174">
        <f>SUMIF(项目基本情况!D$15:I$15,C6,项目基本情况!D$19:I$19)</f>
        <v>37.53</v>
      </c>
      <c r="G6" s="175">
        <f>IF(ISERROR(ROUND(POWER(1+H6,D6-F6)*(POWER(1+H6,F6)-1)/(POWER(1+H6,D6)-1),3)),0,ROUND(POWER(1+H6,D6-F6)*(POWER(1+H6,F6)-1)/(POWER(1+H6,D6)-1),3))</f>
        <v>0.97899999999999998</v>
      </c>
      <c r="H6" s="2977">
        <v>0.05</v>
      </c>
      <c r="I6" s="2977">
        <v>5.5E-2</v>
      </c>
      <c r="J6" s="176">
        <v>8.5000000000000006E-2</v>
      </c>
      <c r="K6" s="179">
        <f>SUMIF('数据-汇总表'!C$19:C$33,'数据-取费表'!A6,'数据-汇总表'!E$19:E$33)</f>
        <v>92723.37</v>
      </c>
      <c r="L6" s="3197">
        <v>2800</v>
      </c>
      <c r="M6" s="177">
        <f t="shared" ref="M6:M14" si="0">ROUND(K6*L6/10000,0)</f>
        <v>25963</v>
      </c>
      <c r="N6" s="2979">
        <v>0</v>
      </c>
      <c r="O6" s="177">
        <f>IF($N$5="成新度","——",ROUND(M6*N6,0))</f>
        <v>0</v>
      </c>
      <c r="P6" s="178">
        <f>IF($N$5="成新度","——",M6-O6)</f>
        <v>25963</v>
      </c>
      <c r="Q6" s="3194">
        <v>0.25</v>
      </c>
      <c r="R6" s="179">
        <f>SUMIF('数据-汇总表'!C$19:C$33,A6,'数据-汇总表'!R$19:R$33)</f>
        <v>61815.58</v>
      </c>
      <c r="S6" s="132">
        <f>IF('数据-汇总表'!$I$17="按面积比例",SUMIF('数据-汇总表'!C$19:C$33,A6,'数据-汇总表'!K$19:K$33),SUMIF('数据-汇总表'!C$19:C$33,A6,'数据-汇总表'!N$19:N$33))</f>
        <v>0</v>
      </c>
      <c r="T6" s="2218" t="str">
        <f>IF($T$4="按面积比例",IF(ISERROR(ROUND($M$14*S6/S$16,0)),"0",ROUND($M$14*S6/S$16,0)),"需自行计算录入")</f>
        <v>0</v>
      </c>
      <c r="U6" s="3199">
        <v>1.4</v>
      </c>
      <c r="V6" s="3200">
        <v>2.5000000000000001E-2</v>
      </c>
      <c r="W6" s="3200">
        <v>0.15</v>
      </c>
      <c r="X6" s="2305"/>
      <c r="Y6" s="182">
        <v>1</v>
      </c>
      <c r="Z6" s="183"/>
      <c r="AA6" s="176"/>
      <c r="AB6" s="176"/>
      <c r="AC6" s="2308"/>
      <c r="AD6" s="184"/>
      <c r="AE6" s="971">
        <f ca="1">IF(AN6="",0,SUMIF(INDIRECT("'"&amp;AN6&amp;"'"&amp;"!E:E"),$AE$5,INDIRECT("'"&amp;AN6&amp;"'"&amp;"!F:F")))</f>
        <v>35.03</v>
      </c>
      <c r="AF6" s="141"/>
      <c r="AG6" s="1208">
        <f>IF(AF6="",0,AE6-AF6)</f>
        <v>0</v>
      </c>
      <c r="AH6" s="141"/>
      <c r="AI6" s="187">
        <v>365</v>
      </c>
      <c r="AJ6" s="188"/>
      <c r="AK6" s="189">
        <v>1.4999999999999999E-2</v>
      </c>
      <c r="AL6" s="190">
        <v>1.5E-3</v>
      </c>
      <c r="AM6" s="2991">
        <v>0.01</v>
      </c>
      <c r="AN6" s="2355" t="s">
        <v>3003</v>
      </c>
      <c r="AO6" s="1984"/>
      <c r="AP6" s="1199">
        <f>ROUND(1-1/(1+H6)^F6,3)</f>
        <v>0.84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92723.37</v>
      </c>
      <c r="L16" s="206">
        <f>ROUND(M16*10000/SUM(K6:K14),0)</f>
        <v>2800</v>
      </c>
      <c r="M16" s="206">
        <f>SUM(M6:M14)</f>
        <v>25963</v>
      </c>
      <c r="N16" s="207">
        <f>ROUND(SUMPRODUCT(M6:M14,N6:N14)/M16,3)</f>
        <v>0</v>
      </c>
      <c r="O16" s="206">
        <f>SUM(O6:O14)</f>
        <v>0</v>
      </c>
      <c r="P16" s="206">
        <f>SUM(P6:P14)</f>
        <v>25963</v>
      </c>
      <c r="Q16" s="208">
        <f>ROUND(SUMPRODUCT(Q6:Q13,K6:K13)/SUMPRODUCT((Q6:Q13&gt;0)*(K6:K13)),2)</f>
        <v>0.25</v>
      </c>
      <c r="R16" s="2295">
        <f>SUM(R6:R13)</f>
        <v>61815.58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2334</v>
      </c>
      <c r="D20" s="1977"/>
      <c r="E20" s="1976"/>
      <c r="F20" s="1976"/>
      <c r="G20" s="1976"/>
      <c r="H20" s="1976"/>
      <c r="I20" s="1976"/>
      <c r="J20" s="1976"/>
      <c r="K20" s="1975"/>
      <c r="L20" s="1975"/>
      <c r="M20" s="1973"/>
      <c r="N20" s="1973"/>
      <c r="O20" s="1973"/>
      <c r="P20" s="3188" t="s">
        <v>3257</v>
      </c>
      <c r="Q20" s="3188" t="s">
        <v>3260</v>
      </c>
      <c r="R20" s="1973"/>
      <c r="S20" s="1973"/>
      <c r="T20" s="3188" t="s">
        <v>3258</v>
      </c>
      <c r="U20" s="3188" t="s">
        <v>3260</v>
      </c>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3192">
        <v>1</v>
      </c>
      <c r="Q21" s="3192">
        <v>3.5</v>
      </c>
      <c r="R21" s="1973"/>
      <c r="S21" s="1973"/>
      <c r="T21" s="3190" t="s">
        <v>3259</v>
      </c>
      <c r="U21" s="1973">
        <v>1.5</v>
      </c>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3192">
        <v>2</v>
      </c>
      <c r="Q22" s="3192">
        <f>Q21*R22</f>
        <v>2.1</v>
      </c>
      <c r="R22" s="1973">
        <v>0.6</v>
      </c>
      <c r="S22" s="1973"/>
      <c r="T22" s="1973">
        <v>3</v>
      </c>
      <c r="U22" s="1973">
        <f>U21*V22</f>
        <v>0.89999999999999991</v>
      </c>
      <c r="V22" s="1973">
        <v>0.6</v>
      </c>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3"/>
      <c r="J23" s="1973"/>
      <c r="K23" s="1973"/>
      <c r="L23" s="1973"/>
      <c r="M23" s="1973"/>
      <c r="N23" s="1973"/>
      <c r="O23" s="1973"/>
      <c r="P23" s="3192">
        <v>3</v>
      </c>
      <c r="Q23" s="3192">
        <f>Q21*R23</f>
        <v>1.75</v>
      </c>
      <c r="R23" s="1973">
        <v>0.5</v>
      </c>
      <c r="S23" s="1973"/>
      <c r="T23" s="1973">
        <v>4</v>
      </c>
      <c r="U23" s="1973">
        <f>U21*V23</f>
        <v>0.75</v>
      </c>
      <c r="V23" s="1973">
        <v>0.5</v>
      </c>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3"/>
      <c r="J24" s="1973"/>
      <c r="K24" s="1973"/>
      <c r="L24" s="1973"/>
      <c r="M24" s="1973"/>
      <c r="N24" s="1973"/>
      <c r="O24" s="1973"/>
      <c r="P24" s="3192">
        <v>4</v>
      </c>
      <c r="Q24" s="3192">
        <f>Q21*R24</f>
        <v>1.4000000000000001</v>
      </c>
      <c r="R24" s="1973">
        <v>0.4</v>
      </c>
      <c r="S24" s="1973"/>
      <c r="T24" s="1973">
        <v>5</v>
      </c>
      <c r="U24" s="1973">
        <f>U21*V24</f>
        <v>0.75</v>
      </c>
      <c r="V24" s="1973">
        <v>0.5</v>
      </c>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v>5</v>
      </c>
      <c r="Q25" s="3192">
        <f>Q21*R25</f>
        <v>1.4000000000000001</v>
      </c>
      <c r="R25" s="1973">
        <v>0.4</v>
      </c>
      <c r="S25" s="1973"/>
      <c r="T25" s="1973"/>
      <c r="U25" s="1973">
        <f>(U21+U22+U23+U24)/5</f>
        <v>0.78</v>
      </c>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f>(Q21+Q22+Q23+Q24+Q25)/5</f>
        <v>2.0300000000000002</v>
      </c>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90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0.05</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3195">
        <v>1.4999999999999999E-2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3196">
        <v>2.5000000000000001E-2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285</v>
      </c>
      <c r="B44" s="241">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286</v>
      </c>
      <c r="B45" s="239">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287</v>
      </c>
      <c r="B46" s="239">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288</v>
      </c>
      <c r="B47" s="243"/>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289</v>
      </c>
      <c r="B48" s="245">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290</v>
      </c>
      <c r="B49" s="239">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291</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293</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0" t="s">
        <v>1325</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2906</v>
      </c>
      <c r="B54" s="3187">
        <v>15</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2907</v>
      </c>
      <c r="B55" s="3187">
        <v>9</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2908</v>
      </c>
      <c r="B56" s="3187">
        <v>5</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2" sqref="E22"/>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7" t="s">
        <v>1662</v>
      </c>
      <c r="B1" s="3288"/>
      <c r="C1" s="3288"/>
      <c r="D1" s="3288"/>
      <c r="E1" s="3288"/>
      <c r="F1" s="3288"/>
      <c r="G1" s="3288"/>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3032" t="s">
        <v>2922</v>
      </c>
      <c r="D3" s="1993"/>
      <c r="E3" s="1224" t="s">
        <v>1665</v>
      </c>
      <c r="F3" s="1225" t="s">
        <v>1653</v>
      </c>
      <c r="G3" s="3036" t="s">
        <v>2921</v>
      </c>
      <c r="H3" s="1992"/>
      <c r="I3" s="1992"/>
      <c r="J3" s="1992"/>
      <c r="K3" s="1992"/>
      <c r="L3" s="1992"/>
      <c r="M3" s="1992"/>
      <c r="N3" s="1992"/>
      <c r="O3" s="1992"/>
      <c r="P3" s="1992"/>
      <c r="Q3" s="1992"/>
      <c r="R3" s="1992"/>
    </row>
    <row r="4" spans="1:18" ht="41.25">
      <c r="A4" s="1224"/>
      <c r="B4" s="1226" t="s">
        <v>1666</v>
      </c>
      <c r="C4" s="3033" t="s">
        <v>2923</v>
      </c>
      <c r="D4" s="1993"/>
      <c r="E4" s="1227"/>
      <c r="F4" s="1228" t="s">
        <v>1667</v>
      </c>
      <c r="G4" s="3034" t="s">
        <v>2918</v>
      </c>
      <c r="H4" s="1992"/>
      <c r="I4" s="1992"/>
      <c r="J4" s="1992"/>
      <c r="K4" s="1992"/>
      <c r="L4" s="1992"/>
      <c r="M4" s="1992"/>
      <c r="N4" s="1992"/>
      <c r="O4" s="1992"/>
      <c r="P4" s="1992"/>
      <c r="Q4" s="1992"/>
      <c r="R4" s="1992"/>
    </row>
    <row r="5" spans="1:18" ht="41.25">
      <c r="A5" s="1224"/>
      <c r="B5" s="1226" t="s">
        <v>1668</v>
      </c>
      <c r="C5" s="3033" t="s">
        <v>2924</v>
      </c>
      <c r="D5" s="1993"/>
      <c r="E5" s="1227"/>
      <c r="F5" s="1226" t="s">
        <v>2545</v>
      </c>
      <c r="G5" s="3034" t="s">
        <v>2919</v>
      </c>
      <c r="H5" s="1992"/>
      <c r="I5" s="1992"/>
      <c r="J5" s="1992"/>
      <c r="K5" s="1992"/>
      <c r="L5" s="1992"/>
      <c r="M5" s="1992"/>
      <c r="N5" s="1992"/>
      <c r="O5" s="1992"/>
      <c r="P5" s="1992"/>
      <c r="Q5" s="1992"/>
      <c r="R5" s="1992"/>
    </row>
    <row r="6" spans="1:18" ht="54">
      <c r="A6" s="1224"/>
      <c r="B6" s="1226" t="s">
        <v>1654</v>
      </c>
      <c r="C6" s="3034" t="s">
        <v>2918</v>
      </c>
      <c r="D6" s="1993"/>
      <c r="E6" s="1227"/>
      <c r="F6" s="1226" t="s">
        <v>2546</v>
      </c>
      <c r="G6" s="3034" t="s">
        <v>2916</v>
      </c>
      <c r="H6" s="1992"/>
      <c r="I6" s="1992"/>
      <c r="J6" s="1992"/>
      <c r="K6" s="1992"/>
      <c r="L6" s="1992"/>
      <c r="M6" s="1992"/>
      <c r="N6" s="1992"/>
      <c r="O6" s="1992"/>
      <c r="P6" s="1992"/>
      <c r="Q6" s="1992"/>
      <c r="R6" s="1992"/>
    </row>
    <row r="7" spans="1:18" ht="41.25" thickBot="1">
      <c r="A7" s="1224"/>
      <c r="B7" s="1226" t="s">
        <v>2545</v>
      </c>
      <c r="C7" s="3034" t="s">
        <v>2919</v>
      </c>
      <c r="D7" s="1994"/>
      <c r="E7" s="1229"/>
      <c r="F7" s="1230" t="s">
        <v>1669</v>
      </c>
      <c r="G7" s="3037" t="s">
        <v>2920</v>
      </c>
      <c r="H7" s="1992"/>
      <c r="I7" s="1992"/>
      <c r="J7" s="1992"/>
      <c r="K7" s="1992"/>
      <c r="L7" s="1992"/>
      <c r="M7" s="1992"/>
      <c r="N7" s="1992"/>
      <c r="O7" s="1992"/>
      <c r="P7" s="1992"/>
      <c r="Q7" s="1992"/>
      <c r="R7" s="1992"/>
    </row>
    <row r="8" spans="1:18" ht="27">
      <c r="A8" s="1224"/>
      <c r="B8" s="1226" t="s">
        <v>2546</v>
      </c>
      <c r="C8" s="3034" t="s">
        <v>2916</v>
      </c>
      <c r="D8" s="1994"/>
      <c r="E8" s="1994"/>
      <c r="F8" s="1539"/>
      <c r="G8" s="1539"/>
      <c r="H8" s="1992"/>
      <c r="I8" s="1992"/>
      <c r="J8" s="1992"/>
      <c r="K8" s="1992"/>
      <c r="L8" s="1992"/>
      <c r="M8" s="1992"/>
      <c r="N8" s="1992"/>
      <c r="O8" s="1992"/>
      <c r="P8" s="1992"/>
      <c r="Q8" s="1992"/>
      <c r="R8" s="1992"/>
    </row>
    <row r="9" spans="1:18" ht="40.5">
      <c r="A9" s="1224"/>
      <c r="B9" s="1226" t="s">
        <v>1655</v>
      </c>
      <c r="C9" s="3033" t="s">
        <v>2917</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54">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0.5">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0.5">
      <c r="A17" s="2552"/>
      <c r="B17" s="1240" t="s">
        <v>1668</v>
      </c>
      <c r="C17" s="1241" t="str">
        <f>C5</f>
        <v>估价对象位于XX商圈，周边办公楼项目较多，入驻率高，办公集聚程度较好</v>
      </c>
      <c r="D17" s="1994"/>
      <c r="E17" s="2549"/>
      <c r="F17" s="1242" t="s">
        <v>1673</v>
      </c>
      <c r="G17" s="2749"/>
    </row>
    <row r="18" spans="1:7" ht="54">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7">
      <c r="A19" s="2552"/>
      <c r="B19" s="1242" t="s">
        <v>1658</v>
      </c>
      <c r="C19" s="2749"/>
      <c r="D19" s="1993"/>
      <c r="E19" s="2549"/>
      <c r="F19" s="1226" t="s">
        <v>2545</v>
      </c>
      <c r="G19" s="1004" t="str">
        <f>G5</f>
        <v>估价对象所在区域公共配套设施齐备情况</v>
      </c>
    </row>
    <row r="20" spans="1:7" ht="40.5">
      <c r="A20" s="2552"/>
      <c r="B20" s="1242" t="s">
        <v>1659</v>
      </c>
      <c r="C20" s="1241" t="str">
        <f>C9</f>
        <v>区域自然环境：；人文环境；综合评价环境状况一般</v>
      </c>
      <c r="D20" s="1994"/>
      <c r="E20" s="2549"/>
      <c r="F20" s="1226" t="s">
        <v>2546</v>
      </c>
      <c r="G20" s="1004" t="str">
        <f>G6</f>
        <v>估价对象所在区域基础设施水平</v>
      </c>
    </row>
    <row r="21" spans="1:7" ht="27">
      <c r="A21" s="2552"/>
      <c r="B21" s="1226" t="s">
        <v>2545</v>
      </c>
      <c r="C21" s="1004" t="str">
        <f>C7</f>
        <v>估价对象所在区域公共配套设施齐备情况</v>
      </c>
      <c r="D21" s="1993"/>
      <c r="E21" s="2549"/>
      <c r="F21" s="1242" t="s">
        <v>1660</v>
      </c>
      <c r="G21" s="3038"/>
    </row>
    <row r="22" spans="1:7" ht="27">
      <c r="A22" s="2552"/>
      <c r="B22" s="1226" t="s">
        <v>2546</v>
      </c>
      <c r="C22" s="1004" t="str">
        <f>C8</f>
        <v>估价对象所在区域基础设施水平</v>
      </c>
      <c r="D22" s="1993"/>
      <c r="E22" s="2549"/>
      <c r="F22" s="1242" t="s">
        <v>1670</v>
      </c>
      <c r="G22" s="2749"/>
    </row>
    <row r="23" spans="1:7" ht="15" thickBot="1">
      <c r="A23" s="2552"/>
      <c r="B23" s="1242" t="s">
        <v>1660</v>
      </c>
      <c r="C23" s="3038"/>
      <c r="E23" s="2550"/>
      <c r="F23" s="1243" t="s">
        <v>1674</v>
      </c>
      <c r="G23" s="3039"/>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2996" t="s">
        <v>2843</v>
      </c>
      <c r="B1" s="2996">
        <f>SUM(B14:B23)</f>
        <v>269891.46999999997</v>
      </c>
      <c r="C1" s="2997"/>
      <c r="D1" s="2997"/>
      <c r="E1" s="2997"/>
      <c r="F1" s="2997"/>
    </row>
    <row r="2" spans="1:9" ht="16.5">
      <c r="A2" s="2996" t="s">
        <v>2844</v>
      </c>
      <c r="B2" s="2996">
        <f>SUM(C14:C23)</f>
        <v>179927.65</v>
      </c>
      <c r="C2" s="2997"/>
      <c r="D2" s="2997"/>
      <c r="E2" s="2997"/>
      <c r="F2" s="2997"/>
    </row>
    <row r="3" spans="1:9" ht="16.5">
      <c r="A3" s="2996" t="s">
        <v>2845</v>
      </c>
      <c r="B3" s="2998">
        <f>项目基本情况!D3</f>
        <v>43734</v>
      </c>
      <c r="C3" s="2997"/>
      <c r="D3" s="2997"/>
      <c r="E3" s="2997"/>
      <c r="F3" s="2997"/>
    </row>
    <row r="4" spans="1:9" ht="33">
      <c r="A4" s="2996" t="s">
        <v>2846</v>
      </c>
      <c r="B4" s="2996" t="s">
        <v>2847</v>
      </c>
      <c r="C4" s="2996" t="s">
        <v>2848</v>
      </c>
      <c r="D4" s="2996" t="s">
        <v>2849</v>
      </c>
      <c r="E4" s="2997"/>
      <c r="F4" s="2997"/>
    </row>
    <row r="5" spans="1:9" ht="16.5">
      <c r="A5" s="2996" t="s">
        <v>2850</v>
      </c>
      <c r="B5" s="2996">
        <f ca="1">SUM(D14:D23)</f>
        <v>18244</v>
      </c>
      <c r="C5" s="2996">
        <f ca="1">ROUND(B5*10000/$B$1,0)</f>
        <v>676</v>
      </c>
      <c r="D5" s="2996">
        <f ca="1">ROUND(B5*10000/$B$2,0)</f>
        <v>1014</v>
      </c>
      <c r="E5" s="2997"/>
      <c r="F5" s="2997"/>
    </row>
    <row r="6" spans="1:9" ht="16.5">
      <c r="A6" s="2996" t="s">
        <v>2851</v>
      </c>
      <c r="B6" s="2996">
        <f ca="1">SUM(G14:G23)</f>
        <v>18244</v>
      </c>
      <c r="C6" s="2996">
        <f t="shared" ref="C6:C8" ca="1" si="0">ROUND(B6*10000/$B$1,0)</f>
        <v>676</v>
      </c>
      <c r="D6" s="2996">
        <f t="shared" ref="D6:D8" ca="1" si="1">ROUND(B6*10000/$B$2,0)</f>
        <v>1014</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典型户型修正!B22</f>
        <v>269891.46999999997</v>
      </c>
      <c r="C14" s="3000">
        <v>179927.65</v>
      </c>
      <c r="D14" s="3000">
        <f ca="1">典型户型修正!S22</f>
        <v>18244</v>
      </c>
      <c r="E14" s="3000">
        <f ca="1">ROUND(D14*10000/B14,0)</f>
        <v>676</v>
      </c>
      <c r="F14" s="3000">
        <f ca="1">ROUND(D14*10000/C14,0)</f>
        <v>1014</v>
      </c>
      <c r="G14" s="3000">
        <f ca="1">D14</f>
        <v>18244</v>
      </c>
      <c r="H14" s="3000" t="str">
        <f>结果表!C45</f>
        <v>——</v>
      </c>
      <c r="I14" s="3000" t="str">
        <f>结果表!C46</f>
        <v>——</v>
      </c>
    </row>
    <row r="15" spans="1:9" ht="16.5">
      <c r="A15" s="3003" t="s">
        <v>2860</v>
      </c>
      <c r="B15" s="3004"/>
      <c r="C15" s="3004"/>
      <c r="D15" s="3004"/>
      <c r="E15" s="3000" t="e">
        <f t="shared" ref="E15:E23" si="2">ROUND(D15*10000/B15,0)</f>
        <v>#DIV/0!</v>
      </c>
      <c r="F15" s="3000" t="e">
        <f t="shared" ref="F15:F23" si="3">ROUND(D15*10000/C15,0)</f>
        <v>#DIV/0!</v>
      </c>
      <c r="G15" s="3001"/>
      <c r="H15" s="3001"/>
      <c r="I15" s="3004"/>
    </row>
    <row r="16" spans="1:9" ht="16.5">
      <c r="A16" s="3003" t="s">
        <v>2861</v>
      </c>
      <c r="B16" s="3004"/>
      <c r="C16" s="3004"/>
      <c r="D16" s="3004"/>
      <c r="E16" s="3000" t="e">
        <f t="shared" si="2"/>
        <v>#DIV/0!</v>
      </c>
      <c r="F16" s="3000" t="e">
        <f t="shared" si="3"/>
        <v>#DIV/0!</v>
      </c>
      <c r="G16" s="3001"/>
      <c r="H16" s="3001"/>
      <c r="I16" s="3004"/>
    </row>
    <row r="17" spans="1:9" ht="16.5">
      <c r="A17" s="3003" t="s">
        <v>2862</v>
      </c>
      <c r="B17" s="3004"/>
      <c r="C17" s="3004"/>
      <c r="D17" s="3004"/>
      <c r="E17" s="3000" t="e">
        <f t="shared" si="2"/>
        <v>#DIV/0!</v>
      </c>
      <c r="F17" s="3000" t="e">
        <f t="shared" si="3"/>
        <v>#DIV/0!</v>
      </c>
      <c r="G17" s="3001"/>
      <c r="H17" s="3001"/>
      <c r="I17" s="3004"/>
    </row>
    <row r="18" spans="1:9" ht="16.5">
      <c r="A18" s="3003" t="s">
        <v>2863</v>
      </c>
      <c r="B18" s="3004"/>
      <c r="C18" s="3004"/>
      <c r="D18" s="3004"/>
      <c r="E18" s="3000" t="e">
        <f t="shared" si="2"/>
        <v>#DIV/0!</v>
      </c>
      <c r="F18" s="3000" t="e">
        <f t="shared" si="3"/>
        <v>#DIV/0!</v>
      </c>
      <c r="G18" s="3004"/>
      <c r="H18" s="3004"/>
      <c r="I18" s="3004"/>
    </row>
    <row r="19" spans="1:9" ht="16.5">
      <c r="A19" s="3003" t="s">
        <v>2864</v>
      </c>
      <c r="B19" s="3004"/>
      <c r="C19" s="3004"/>
      <c r="D19" s="3004"/>
      <c r="E19" s="3000" t="e">
        <f t="shared" si="2"/>
        <v>#DIV/0!</v>
      </c>
      <c r="F19" s="3000" t="e">
        <f t="shared" si="3"/>
        <v>#DIV/0!</v>
      </c>
      <c r="G19" s="3004"/>
      <c r="H19" s="3004"/>
      <c r="I19" s="3004"/>
    </row>
    <row r="20" spans="1:9" ht="16.5">
      <c r="A20" s="3003" t="s">
        <v>2865</v>
      </c>
      <c r="B20" s="3004"/>
      <c r="C20" s="3004"/>
      <c r="D20" s="3004"/>
      <c r="E20" s="3000" t="e">
        <f t="shared" si="2"/>
        <v>#DIV/0!</v>
      </c>
      <c r="F20" s="3000" t="e">
        <f t="shared" si="3"/>
        <v>#DIV/0!</v>
      </c>
      <c r="G20" s="3004"/>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25" sqref="H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2054</v>
      </c>
      <c r="B1" s="1761"/>
      <c r="C1" s="1789" t="s">
        <v>2055</v>
      </c>
      <c r="D1" s="1790"/>
      <c r="E1" s="1789" t="s">
        <v>2056</v>
      </c>
      <c r="F1" s="1791"/>
      <c r="G1" s="310"/>
      <c r="H1" s="310"/>
      <c r="I1" s="310"/>
      <c r="J1" s="2013"/>
      <c r="K1" s="2013"/>
      <c r="L1" s="2013"/>
      <c r="M1" s="2013"/>
      <c r="N1" s="2013"/>
      <c r="O1" s="2013"/>
      <c r="P1" s="2013"/>
      <c r="Q1" s="2013"/>
      <c r="R1" s="2013"/>
      <c r="S1" s="2013"/>
      <c r="T1" s="2013"/>
      <c r="U1" s="2013"/>
      <c r="V1" s="2013"/>
    </row>
    <row r="2" spans="1:22" ht="21.75" customHeight="1" thickBot="1">
      <c r="A2" s="3334" t="str">
        <f>项目基本情况!K2</f>
        <v>出让国有建设用地使用权</v>
      </c>
      <c r="B2" s="3335"/>
      <c r="C2" s="3336"/>
      <c r="D2" s="3336"/>
      <c r="E2" s="3336"/>
      <c r="F2" s="3336"/>
      <c r="G2" s="3335"/>
      <c r="H2" s="3335"/>
      <c r="I2" s="3337"/>
      <c r="J2" s="2014"/>
      <c r="K2" s="2013"/>
      <c r="L2" s="2013"/>
      <c r="M2" s="2013"/>
      <c r="N2" s="2013"/>
      <c r="O2" s="2013"/>
      <c r="P2" s="2013"/>
      <c r="Q2" s="2013"/>
      <c r="R2" s="2013"/>
      <c r="S2" s="2013"/>
      <c r="T2" s="2013"/>
      <c r="U2" s="2013"/>
      <c r="V2" s="2013"/>
    </row>
    <row r="3" spans="1:22" ht="14.25">
      <c r="A3" s="3345" t="s">
        <v>298</v>
      </c>
      <c r="B3" s="3346"/>
      <c r="C3" s="3346"/>
      <c r="D3" s="3346"/>
      <c r="E3" s="3346"/>
      <c r="F3" s="3346"/>
      <c r="G3" s="3346"/>
      <c r="H3" s="3346"/>
      <c r="I3" s="3346"/>
      <c r="J3" s="2014"/>
      <c r="K3" s="2013"/>
      <c r="L3" s="2013"/>
      <c r="M3" s="2013"/>
      <c r="N3" s="2013"/>
      <c r="O3" s="2013"/>
      <c r="P3" s="2013"/>
      <c r="Q3" s="2013"/>
      <c r="R3" s="2013"/>
      <c r="S3" s="2013"/>
      <c r="T3" s="2013"/>
      <c r="U3" s="2013"/>
      <c r="V3" s="2013"/>
    </row>
    <row r="4" spans="1:22" ht="14.25">
      <c r="A4" s="257" t="s">
        <v>299</v>
      </c>
      <c r="B4" s="258" t="s">
        <v>300</v>
      </c>
      <c r="C4" s="259" t="s">
        <v>3004</v>
      </c>
      <c r="D4" s="259" t="s">
        <v>3005</v>
      </c>
      <c r="E4" s="3309" t="s">
        <v>301</v>
      </c>
      <c r="F4" s="3351"/>
      <c r="G4" s="3351"/>
      <c r="H4" s="3351"/>
      <c r="I4" s="3310"/>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38" t="s">
        <v>302</v>
      </c>
      <c r="B5" s="3339">
        <v>25</v>
      </c>
      <c r="C5" s="3347"/>
      <c r="D5" s="3350"/>
      <c r="E5" s="260" t="s">
        <v>303</v>
      </c>
      <c r="F5" s="261"/>
      <c r="G5" s="261"/>
      <c r="H5" s="261"/>
      <c r="I5" s="262"/>
      <c r="J5" s="2014"/>
      <c r="K5" s="2013"/>
      <c r="L5" s="2013"/>
      <c r="M5" s="2013"/>
      <c r="N5" s="2013"/>
      <c r="O5" s="2013"/>
      <c r="P5" s="2013"/>
      <c r="Q5" s="2013"/>
      <c r="R5" s="2013"/>
      <c r="S5" s="2013"/>
      <c r="T5" s="2013"/>
      <c r="U5" s="2013"/>
      <c r="V5" s="2013"/>
    </row>
    <row r="6" spans="1:22" ht="14.25">
      <c r="A6" s="3338"/>
      <c r="B6" s="3339"/>
      <c r="C6" s="3348"/>
      <c r="D6" s="3350"/>
      <c r="E6" s="260" t="s">
        <v>304</v>
      </c>
      <c r="F6" s="261"/>
      <c r="G6" s="261"/>
      <c r="H6" s="261"/>
      <c r="I6" s="262"/>
      <c r="J6" s="2014"/>
      <c r="K6" s="2013"/>
      <c r="L6" s="2013"/>
      <c r="M6" s="2013"/>
      <c r="N6" s="2013"/>
      <c r="O6" s="2013"/>
      <c r="P6" s="2013"/>
      <c r="Q6" s="2013"/>
      <c r="R6" s="2013"/>
      <c r="S6" s="2013"/>
      <c r="T6" s="2013"/>
      <c r="U6" s="2013"/>
      <c r="V6" s="2013"/>
    </row>
    <row r="7" spans="1:22" ht="14.25">
      <c r="A7" s="3338"/>
      <c r="B7" s="3339"/>
      <c r="C7" s="3349"/>
      <c r="D7" s="3350"/>
      <c r="E7" s="260" t="s">
        <v>305</v>
      </c>
      <c r="F7" s="261"/>
      <c r="G7" s="261"/>
      <c r="H7" s="261"/>
      <c r="I7" s="262"/>
      <c r="J7" s="2014"/>
      <c r="K7" s="2013"/>
      <c r="L7" s="2013"/>
      <c r="M7" s="2013"/>
      <c r="N7" s="2013"/>
      <c r="O7" s="2013"/>
      <c r="P7" s="2013"/>
      <c r="Q7" s="2013"/>
      <c r="R7" s="2013"/>
      <c r="S7" s="2013"/>
      <c r="T7" s="2013"/>
      <c r="U7" s="2013"/>
      <c r="V7" s="2013"/>
    </row>
    <row r="8" spans="1:22" ht="14.25">
      <c r="A8" s="3338" t="s">
        <v>306</v>
      </c>
      <c r="B8" s="3339">
        <v>15</v>
      </c>
      <c r="C8" s="3347"/>
      <c r="D8" s="3350"/>
      <c r="E8" s="260" t="s">
        <v>307</v>
      </c>
      <c r="F8" s="261"/>
      <c r="G8" s="261"/>
      <c r="H8" s="261"/>
      <c r="I8" s="262"/>
      <c r="J8" s="2014"/>
      <c r="K8" s="2013"/>
      <c r="L8" s="2013"/>
      <c r="M8" s="2013"/>
      <c r="N8" s="2013"/>
      <c r="O8" s="2013"/>
      <c r="P8" s="2013"/>
      <c r="Q8" s="2013"/>
      <c r="R8" s="2013"/>
      <c r="S8" s="2013"/>
      <c r="T8" s="2013"/>
      <c r="U8" s="2013"/>
      <c r="V8" s="2013"/>
    </row>
    <row r="9" spans="1:22" ht="14.25">
      <c r="A9" s="3338"/>
      <c r="B9" s="3339"/>
      <c r="C9" s="3349"/>
      <c r="D9" s="3350"/>
      <c r="E9" s="260" t="s">
        <v>308</v>
      </c>
      <c r="F9" s="261"/>
      <c r="G9" s="261"/>
      <c r="H9" s="261"/>
      <c r="I9" s="262"/>
      <c r="J9" s="2014"/>
      <c r="K9" s="2013"/>
      <c r="L9" s="2013"/>
      <c r="M9" s="2013"/>
      <c r="N9" s="2013"/>
      <c r="O9" s="2013"/>
      <c r="P9" s="2013"/>
      <c r="Q9" s="2013"/>
      <c r="R9" s="2013"/>
      <c r="S9" s="2013"/>
      <c r="T9" s="2013"/>
      <c r="U9" s="2013"/>
      <c r="V9" s="2013"/>
    </row>
    <row r="10" spans="1:22" ht="14.25">
      <c r="A10" s="3338" t="s">
        <v>309</v>
      </c>
      <c r="B10" s="3339">
        <v>15</v>
      </c>
      <c r="C10" s="3347"/>
      <c r="D10" s="3350"/>
      <c r="E10" s="260" t="s">
        <v>310</v>
      </c>
      <c r="F10" s="261"/>
      <c r="G10" s="261"/>
      <c r="H10" s="261"/>
      <c r="I10" s="262"/>
      <c r="J10" s="2014"/>
      <c r="K10" s="2013"/>
      <c r="L10" s="2013"/>
      <c r="M10" s="2013"/>
      <c r="N10" s="2013"/>
      <c r="O10" s="2013"/>
      <c r="P10" s="2013"/>
      <c r="Q10" s="2013"/>
      <c r="R10" s="2013"/>
      <c r="S10" s="2013"/>
      <c r="T10" s="2013"/>
      <c r="U10" s="2013"/>
      <c r="V10" s="2013"/>
    </row>
    <row r="11" spans="1:22" ht="14.25">
      <c r="A11" s="3338"/>
      <c r="B11" s="3339"/>
      <c r="C11" s="3349"/>
      <c r="D11" s="3350"/>
      <c r="E11" s="260" t="s">
        <v>311</v>
      </c>
      <c r="F11" s="261"/>
      <c r="G11" s="261"/>
      <c r="H11" s="261"/>
      <c r="I11" s="262"/>
      <c r="J11" s="2014"/>
      <c r="K11" s="2013"/>
      <c r="L11" s="2013"/>
      <c r="M11" s="2013"/>
      <c r="N11" s="2013"/>
      <c r="O11" s="2013"/>
      <c r="P11" s="2013"/>
      <c r="Q11" s="2013"/>
      <c r="R11" s="2013"/>
      <c r="S11" s="2013"/>
      <c r="T11" s="2013"/>
      <c r="U11" s="2013"/>
      <c r="V11" s="2013"/>
    </row>
    <row r="12" spans="1:22" ht="14.25">
      <c r="A12" s="3338" t="s">
        <v>312</v>
      </c>
      <c r="B12" s="3339">
        <v>15</v>
      </c>
      <c r="C12" s="3347"/>
      <c r="D12" s="3350"/>
      <c r="E12" s="260" t="s">
        <v>313</v>
      </c>
      <c r="F12" s="261"/>
      <c r="G12" s="261"/>
      <c r="H12" s="261"/>
      <c r="I12" s="262"/>
      <c r="J12" s="2014"/>
      <c r="K12" s="2013"/>
      <c r="L12" s="2013"/>
      <c r="M12" s="2013"/>
      <c r="N12" s="2013"/>
      <c r="O12" s="2013"/>
      <c r="P12" s="2013"/>
      <c r="Q12" s="2013"/>
      <c r="R12" s="2013"/>
      <c r="S12" s="2013"/>
      <c r="T12" s="2013"/>
      <c r="U12" s="2013"/>
      <c r="V12" s="2013"/>
    </row>
    <row r="13" spans="1:22" ht="14.25">
      <c r="A13" s="3338"/>
      <c r="B13" s="3339"/>
      <c r="C13" s="3349"/>
      <c r="D13" s="3350"/>
      <c r="E13" s="260" t="s">
        <v>314</v>
      </c>
      <c r="F13" s="261"/>
      <c r="G13" s="261"/>
      <c r="H13" s="261"/>
      <c r="I13" s="262"/>
      <c r="J13" s="2014"/>
      <c r="K13" s="2013"/>
      <c r="L13" s="2013"/>
      <c r="M13" s="2013"/>
      <c r="N13" s="2013"/>
      <c r="O13" s="2013"/>
      <c r="P13" s="2013"/>
      <c r="Q13" s="2013"/>
      <c r="R13" s="2013"/>
      <c r="S13" s="2013"/>
      <c r="T13" s="2013"/>
      <c r="U13" s="2013"/>
      <c r="V13" s="2013"/>
    </row>
    <row r="14" spans="1:22" ht="14.25">
      <c r="A14" s="3338" t="s">
        <v>315</v>
      </c>
      <c r="B14" s="3339">
        <v>30</v>
      </c>
      <c r="C14" s="3352">
        <v>5</v>
      </c>
      <c r="D14" s="3355">
        <v>5</v>
      </c>
      <c r="E14" s="260" t="s">
        <v>316</v>
      </c>
      <c r="F14" s="261"/>
      <c r="G14" s="261"/>
      <c r="H14" s="261"/>
      <c r="I14" s="262"/>
      <c r="J14" s="2014"/>
      <c r="K14" s="2013"/>
      <c r="L14" s="2013"/>
      <c r="M14" s="2013"/>
      <c r="N14" s="2013"/>
      <c r="O14" s="2013"/>
      <c r="P14" s="2013"/>
      <c r="Q14" s="2013"/>
      <c r="R14" s="2013"/>
      <c r="S14" s="2013"/>
      <c r="T14" s="2013"/>
      <c r="U14" s="2013"/>
      <c r="V14" s="2013"/>
    </row>
    <row r="15" spans="1:22" ht="14.25">
      <c r="A15" s="3338"/>
      <c r="B15" s="3339"/>
      <c r="C15" s="3353"/>
      <c r="D15" s="3355"/>
      <c r="E15" s="260" t="s">
        <v>317</v>
      </c>
      <c r="F15" s="261"/>
      <c r="G15" s="261"/>
      <c r="H15" s="261"/>
      <c r="I15" s="262"/>
      <c r="J15" s="2014"/>
      <c r="K15" s="2013"/>
      <c r="L15" s="2013"/>
      <c r="M15" s="2013"/>
      <c r="N15" s="2013"/>
      <c r="O15" s="2013"/>
      <c r="P15" s="2013"/>
      <c r="Q15" s="2013"/>
      <c r="R15" s="2013"/>
      <c r="S15" s="2013"/>
      <c r="T15" s="2013"/>
      <c r="U15" s="2013"/>
      <c r="V15" s="2013"/>
    </row>
    <row r="16" spans="1:22" ht="14.25">
      <c r="A16" s="3338"/>
      <c r="B16" s="3339"/>
      <c r="C16" s="3354"/>
      <c r="D16" s="3355"/>
      <c r="E16" s="260" t="s">
        <v>318</v>
      </c>
      <c r="F16" s="261"/>
      <c r="G16" s="261"/>
      <c r="H16" s="261"/>
      <c r="I16" s="262"/>
      <c r="J16" s="2014"/>
      <c r="K16" s="2013"/>
      <c r="L16" s="2013"/>
      <c r="M16" s="2013"/>
      <c r="N16" s="2013"/>
      <c r="O16" s="2013"/>
      <c r="P16" s="2013"/>
      <c r="Q16" s="2013"/>
      <c r="R16" s="2013"/>
      <c r="S16" s="2013"/>
      <c r="T16" s="2013"/>
      <c r="U16" s="2013"/>
      <c r="V16" s="2013"/>
    </row>
    <row r="17" spans="1:26" ht="15">
      <c r="A17" s="263" t="s">
        <v>319</v>
      </c>
      <c r="B17" s="144"/>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320</v>
      </c>
      <c r="B18" s="105"/>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321</v>
      </c>
      <c r="B19" s="268" t="s">
        <v>322</v>
      </c>
      <c r="C19" s="269">
        <f ca="1">SUMIF(INDIRECT("'"&amp;C4&amp;"'"&amp;"!A:A"),结果表!B19,INDIRECT("'"&amp;C4&amp;"'"&amp;"!B:B"))</f>
        <v>6685</v>
      </c>
      <c r="D19" s="270">
        <f ca="1">SUMIF(INDIRECT("'"&amp;D4&amp;"'"&amp;"!A:A"),结果表!B19,INDIRECT("'"&amp;D4&amp;"'"&amp;"!B:B"))</f>
        <v>6218</v>
      </c>
      <c r="E19" s="267" t="s">
        <v>323</v>
      </c>
      <c r="F19" s="268" t="s">
        <v>322</v>
      </c>
      <c r="G19" s="271">
        <f ca="1">ROUND(C19*$C$18+D19*$D$18,0)</f>
        <v>6452</v>
      </c>
      <c r="H19" s="272" t="s">
        <v>324</v>
      </c>
      <c r="I19" s="310"/>
      <c r="J19" s="2013"/>
      <c r="K19" s="2013"/>
      <c r="L19" s="2013"/>
      <c r="M19" s="2013"/>
      <c r="N19" s="2013"/>
      <c r="O19" s="2013"/>
      <c r="P19" s="2013"/>
      <c r="Q19" s="2013"/>
      <c r="R19" s="2013"/>
      <c r="S19" s="2013"/>
      <c r="T19" s="2013"/>
      <c r="U19" s="2013"/>
      <c r="V19" s="2013"/>
    </row>
    <row r="20" spans="1:26" ht="15">
      <c r="A20" s="273"/>
      <c r="B20" s="274" t="s">
        <v>325</v>
      </c>
      <c r="C20" s="275">
        <f ca="1">SUMIF(INDIRECT("'"&amp;C4&amp;"'"&amp;"!A:A"),结果表!B20,INDIRECT("'"&amp;C4&amp;"'"&amp;"!B:B"))</f>
        <v>721</v>
      </c>
      <c r="D20" s="276">
        <f ca="1">SUMIF(INDIRECT("'"&amp;D4&amp;"'"&amp;"!A:A"),结果表!B20,INDIRECT("'"&amp;D4&amp;"'"&amp;"!B:B"))</f>
        <v>671</v>
      </c>
      <c r="E20" s="273"/>
      <c r="F20" s="274" t="s">
        <v>325</v>
      </c>
      <c r="G20" s="277">
        <f ca="1">ROUND(C20*$C$18+D20*$D$18,0)</f>
        <v>696</v>
      </c>
      <c r="H20" s="278" t="s">
        <v>326</v>
      </c>
      <c r="I20" s="310"/>
      <c r="J20" s="2013"/>
      <c r="K20" s="2013"/>
      <c r="L20" s="2013"/>
      <c r="M20" s="2013"/>
      <c r="N20" s="2013"/>
      <c r="O20" s="2013"/>
      <c r="P20" s="2013"/>
      <c r="Q20" s="2013"/>
      <c r="R20" s="2013"/>
      <c r="S20" s="2013"/>
      <c r="T20" s="2013"/>
      <c r="U20" s="2013"/>
      <c r="V20" s="2013"/>
    </row>
    <row r="21" spans="1:26" ht="15" customHeight="1">
      <c r="A21" s="273"/>
      <c r="B21" s="279" t="s">
        <v>327</v>
      </c>
      <c r="C21" s="280">
        <f ca="1">SUMIF(INDIRECT("'"&amp;C4&amp;"'"&amp;"!A:A"),结果表!B21,INDIRECT("'"&amp;C4&amp;"'"&amp;"!B:B"))</f>
        <v>1081</v>
      </c>
      <c r="D21" s="151">
        <f ca="1">SUMIF(INDIRECT("'"&amp;D4&amp;"'"&amp;"!A:A"),结果表!B21,INDIRECT("'"&amp;D4&amp;"'"&amp;"!B:B"))</f>
        <v>1006</v>
      </c>
      <c r="E21" s="273"/>
      <c r="F21" s="279" t="s">
        <v>327</v>
      </c>
      <c r="G21" s="281">
        <f ca="1">ROUND(C21*$C$18+D21*$D$18,0)</f>
        <v>1044</v>
      </c>
      <c r="H21" s="1246" t="s">
        <v>326</v>
      </c>
      <c r="I21" s="310"/>
      <c r="J21" s="2013"/>
      <c r="K21" s="2013"/>
      <c r="L21" s="2013"/>
      <c r="M21" s="2013"/>
      <c r="N21" s="2013"/>
      <c r="O21" s="2013"/>
      <c r="P21" s="2013"/>
      <c r="Q21" s="2013"/>
      <c r="R21" s="2013"/>
      <c r="S21" s="2013"/>
      <c r="T21" s="2013"/>
      <c r="U21" s="2013"/>
      <c r="V21" s="2013"/>
    </row>
    <row r="22" spans="1:26" ht="15.75" thickBot="1">
      <c r="A22" s="126" t="s">
        <v>328</v>
      </c>
      <c r="B22" s="1247"/>
      <c r="C22" s="1248"/>
      <c r="D22" s="282">
        <f ca="1">IF(C19&lt;D19,D19/C19-1,C19/D19-1)</f>
        <v>7.5104535220328117E-2</v>
      </c>
      <c r="E22" s="283"/>
      <c r="F22" s="284"/>
      <c r="G22" s="285">
        <f ca="1">ROUND(G19/('数据-汇总表'!D3/666.67),0)</f>
        <v>70</v>
      </c>
      <c r="H22" s="286" t="s">
        <v>329</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11" t="s">
        <v>330</v>
      </c>
      <c r="B24" s="268" t="s">
        <v>322</v>
      </c>
      <c r="C24" s="287">
        <f>IF(B30=0,0,D30)</f>
        <v>185</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57"/>
      <c r="B25" s="1316" t="s">
        <v>331</v>
      </c>
      <c r="C25" s="289">
        <f>IF(B30=0,0,C30)</f>
        <v>30</v>
      </c>
      <c r="D25" s="290"/>
      <c r="E25" s="310"/>
      <c r="F25" s="310"/>
      <c r="G25" s="310"/>
      <c r="H25" s="310"/>
      <c r="I25" s="310"/>
      <c r="J25" s="2013"/>
      <c r="K25" s="1250" t="str">
        <f ca="1">项目基本情况!B16&amp;"国有建设用地使用权价格："&amp;O38&amp;"万元"</f>
        <v>出让国有建设用地使用权价格：6267万元</v>
      </c>
      <c r="L25" s="1251"/>
      <c r="M25" s="1251"/>
      <c r="N25" s="1251"/>
      <c r="O25" s="1252"/>
      <c r="P25" s="2013"/>
      <c r="Q25" s="2013"/>
      <c r="R25" s="2013"/>
      <c r="S25" s="2013"/>
      <c r="T25" s="2013"/>
      <c r="U25" s="2013"/>
      <c r="V25" s="2013"/>
    </row>
    <row r="26" spans="1:26" s="1249" customFormat="1" ht="18">
      <c r="A26" s="292" t="s">
        <v>332</v>
      </c>
      <c r="B26" s="293" t="s">
        <v>333</v>
      </c>
      <c r="C26" s="293" t="s">
        <v>334</v>
      </c>
      <c r="D26" s="294" t="s">
        <v>335</v>
      </c>
      <c r="E26" s="310"/>
      <c r="F26" s="310"/>
      <c r="G26" s="310"/>
      <c r="H26" s="310"/>
      <c r="I26" s="310"/>
      <c r="J26" s="2013"/>
      <c r="K26" s="1253" t="str">
        <f ca="1">"大写金额：人民币"&amp;NUMBERSTRING(INT(O38*10000),2)&amp;"元整"</f>
        <v>大写金额：人民币陆仟贰佰陆拾柒万元整</v>
      </c>
      <c r="L26" s="1247"/>
      <c r="M26" s="1247"/>
      <c r="N26" s="1247"/>
      <c r="O26" s="1246"/>
      <c r="P26" s="2013"/>
      <c r="Q26" s="2013"/>
      <c r="R26" s="2013"/>
      <c r="S26" s="2013"/>
      <c r="T26" s="2013"/>
      <c r="U26" s="2013"/>
      <c r="V26" s="2013"/>
      <c r="W26" s="291"/>
      <c r="X26" s="291"/>
      <c r="Y26" s="291"/>
      <c r="Z26" s="291"/>
    </row>
    <row r="27" spans="1:26" ht="18">
      <c r="A27" s="3189" t="s">
        <v>3261</v>
      </c>
      <c r="B27" s="293">
        <f>'数据-基础表'!A3</f>
        <v>61815.58</v>
      </c>
      <c r="C27" s="293">
        <v>30</v>
      </c>
      <c r="D27" s="294">
        <f>ROUND((B27*C27)/10000,0)</f>
        <v>185</v>
      </c>
      <c r="E27" s="310"/>
      <c r="F27" s="310"/>
      <c r="G27" s="310"/>
      <c r="H27" s="310"/>
      <c r="I27" s="310"/>
      <c r="J27" s="2013"/>
      <c r="K27" s="1253" t="str">
        <f ca="1">"单位面积地价："&amp;M38&amp;"元/平方米"</f>
        <v>单位面积地价：1014元/平方米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楼面地价：676元/平方米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抵押价格：6267万元</v>
      </c>
      <c r="L29" s="1247"/>
      <c r="M29" s="1247"/>
      <c r="N29" s="1247"/>
      <c r="O29" s="1246"/>
      <c r="P29" s="2013"/>
      <c r="V29" s="2013"/>
    </row>
    <row r="30" spans="1:26" ht="18.75" thickBot="1">
      <c r="A30" s="3081" t="s">
        <v>336</v>
      </c>
      <c r="B30" s="308">
        <f>B27</f>
        <v>61815.58</v>
      </c>
      <c r="C30" s="308">
        <f>C27</f>
        <v>30</v>
      </c>
      <c r="D30" s="309">
        <f>D27</f>
        <v>185</v>
      </c>
      <c r="E30" s="3082" t="s">
        <v>2968</v>
      </c>
      <c r="F30" s="310"/>
      <c r="G30" s="310"/>
      <c r="H30" s="310"/>
      <c r="I30" s="310"/>
      <c r="J30" s="2013"/>
      <c r="K30" s="1253" t="str">
        <f ca="1">IF(K29="——","——","大写金额：人民币"&amp;NUMBERSTRING(INT(O39*10000),2)&amp;"元整")</f>
        <v>大写金额：人民币陆仟贰佰陆拾柒万元整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337</v>
      </c>
      <c r="B32" s="1377" t="s">
        <v>1687</v>
      </c>
      <c r="C32" s="1378">
        <f ca="1">G19-C24</f>
        <v>6267</v>
      </c>
      <c r="D32" s="1379" t="s">
        <v>1688</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340</v>
      </c>
      <c r="B33" s="1380" t="s">
        <v>1689</v>
      </c>
      <c r="C33" s="263">
        <f ca="1">ROUND(C32*10000/'数据-汇总表'!E3,0)</f>
        <v>676</v>
      </c>
      <c r="D33" s="1381" t="s">
        <v>1690</v>
      </c>
      <c r="E33" s="3311" t="s">
        <v>338</v>
      </c>
      <c r="F33" s="295" t="s">
        <v>339</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1691</v>
      </c>
      <c r="C34" s="263">
        <f ca="1">ROUND(C32*10000/'数据-汇总表'!D3,0)</f>
        <v>1014</v>
      </c>
      <c r="D34" s="1383" t="s">
        <v>1690</v>
      </c>
      <c r="E34" s="3312"/>
      <c r="F34" s="127" t="s">
        <v>341</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68</v>
      </c>
      <c r="D35" s="1386" t="s">
        <v>1692</v>
      </c>
      <c r="E35" s="3313"/>
      <c r="F35" s="300" t="s">
        <v>342</v>
      </c>
      <c r="G35" s="981"/>
      <c r="H35" s="980" t="s">
        <v>343</v>
      </c>
      <c r="I35" s="310"/>
      <c r="J35" s="2013"/>
      <c r="K35" s="3317" t="s">
        <v>350</v>
      </c>
      <c r="L35" s="3317" t="s">
        <v>351</v>
      </c>
      <c r="M35" s="1259" t="s">
        <v>352</v>
      </c>
      <c r="N35" s="3317" t="s">
        <v>353</v>
      </c>
      <c r="O35" s="3317" t="s">
        <v>354</v>
      </c>
      <c r="P35" s="2013"/>
      <c r="V35" s="2013"/>
    </row>
    <row r="36" spans="1:26" ht="16.5" customHeight="1">
      <c r="A36" s="302" t="s">
        <v>344</v>
      </c>
      <c r="B36" s="303" t="s">
        <v>333</v>
      </c>
      <c r="C36" s="304" t="s">
        <v>345</v>
      </c>
      <c r="D36" s="304" t="s">
        <v>346</v>
      </c>
      <c r="E36" s="305" t="s">
        <v>347</v>
      </c>
      <c r="F36" s="310"/>
      <c r="G36" s="310"/>
      <c r="H36" s="310"/>
      <c r="I36" s="310"/>
      <c r="J36" s="2015"/>
      <c r="K36" s="3318"/>
      <c r="L36" s="3318"/>
      <c r="M36" s="1261" t="s">
        <v>355</v>
      </c>
      <c r="N36" s="3318"/>
      <c r="O36" s="3318"/>
      <c r="P36" s="2013"/>
      <c r="V36" s="2013"/>
    </row>
    <row r="37" spans="1:26" ht="16.5" customHeight="1" thickBot="1">
      <c r="A37" s="1255" t="s">
        <v>348</v>
      </c>
      <c r="B37" s="306"/>
      <c r="C37" s="293"/>
      <c r="D37" s="293"/>
      <c r="E37" s="294"/>
      <c r="F37" s="310"/>
      <c r="G37" s="310"/>
      <c r="H37" s="310"/>
      <c r="I37" s="310"/>
      <c r="J37" s="2015"/>
      <c r="K37" s="3319"/>
      <c r="L37" s="3319"/>
      <c r="M37" s="1262"/>
      <c r="N37" s="3319"/>
      <c r="O37" s="3319"/>
      <c r="P37" s="2013"/>
      <c r="V37" s="2013"/>
    </row>
    <row r="38" spans="1:26" ht="16.5" customHeight="1" thickBot="1">
      <c r="A38" s="1255" t="s">
        <v>349</v>
      </c>
      <c r="B38" s="306"/>
      <c r="C38" s="293"/>
      <c r="D38" s="293"/>
      <c r="E38" s="294"/>
      <c r="F38" s="310"/>
      <c r="G38" s="310"/>
      <c r="H38" s="310"/>
      <c r="I38" s="310"/>
      <c r="J38" s="2015"/>
      <c r="K38" s="1263">
        <f>'数据-汇总表'!D3</f>
        <v>61815.58</v>
      </c>
      <c r="L38" s="1264">
        <f>'数据-汇总表'!E3</f>
        <v>92723.37</v>
      </c>
      <c r="M38" s="1264">
        <f ca="1">C34</f>
        <v>1014</v>
      </c>
      <c r="N38" s="1264">
        <f ca="1">C33</f>
        <v>676</v>
      </c>
      <c r="O38" s="1265">
        <f ca="1">C32</f>
        <v>6267</v>
      </c>
      <c r="P38" s="2013"/>
      <c r="V38" s="2013"/>
    </row>
    <row r="39" spans="1:26" ht="16.5" customHeight="1" thickBot="1">
      <c r="A39" s="1260"/>
      <c r="B39" s="307"/>
      <c r="C39" s="308"/>
      <c r="D39" s="308"/>
      <c r="E39" s="309"/>
      <c r="F39" s="310"/>
      <c r="G39" s="310"/>
      <c r="H39" s="310"/>
      <c r="I39" s="310"/>
      <c r="J39" s="2015"/>
      <c r="K39" s="3294" t="str">
        <f>MID(A44,3,LEN(A44)-2)</f>
        <v>抵押价格</v>
      </c>
      <c r="L39" s="3295"/>
      <c r="M39" s="3295"/>
      <c r="N39" s="3296"/>
      <c r="O39" s="1388">
        <f ca="1">C44</f>
        <v>6267</v>
      </c>
      <c r="P39" s="2013"/>
      <c r="V39" s="2013"/>
    </row>
    <row r="40" spans="1:26" ht="19.5" thickBot="1">
      <c r="A40" s="104" t="s">
        <v>872</v>
      </c>
      <c r="B40" s="310"/>
      <c r="C40" s="310"/>
      <c r="D40" s="310"/>
      <c r="E40" s="310"/>
      <c r="F40" s="310"/>
      <c r="G40" s="310"/>
      <c r="H40" s="310"/>
      <c r="I40" s="310"/>
      <c r="J40" s="2015"/>
      <c r="K40" s="3294" t="str">
        <f t="shared" ref="K40:K41" si="0">MID(A45,3,LEN(A45)-2)</f>
        <v/>
      </c>
      <c r="L40" s="3295"/>
      <c r="M40" s="3295"/>
      <c r="N40" s="3296"/>
      <c r="O40" s="1388" t="str">
        <f>C45</f>
        <v>——</v>
      </c>
      <c r="P40" s="2013"/>
      <c r="V40" s="2013"/>
    </row>
    <row r="41" spans="1:26" ht="16.5" thickBot="1">
      <c r="A41" s="311" t="s">
        <v>356</v>
      </c>
      <c r="B41" s="312"/>
      <c r="C41" s="313" t="s">
        <v>357</v>
      </c>
      <c r="D41" s="314" t="s">
        <v>358</v>
      </c>
      <c r="E41" s="314" t="s">
        <v>359</v>
      </c>
      <c r="F41" s="315" t="s">
        <v>360</v>
      </c>
      <c r="G41" s="310"/>
      <c r="H41" s="310"/>
      <c r="I41" s="310"/>
      <c r="J41" s="2015"/>
      <c r="K41" s="3294" t="str">
        <f t="shared" si="0"/>
        <v/>
      </c>
      <c r="L41" s="3295"/>
      <c r="M41" s="3295"/>
      <c r="N41" s="3296"/>
      <c r="O41" s="1388" t="str">
        <f>C46</f>
        <v>——</v>
      </c>
      <c r="P41" s="2013"/>
      <c r="V41" s="2013"/>
    </row>
    <row r="42" spans="1:26" ht="29.25">
      <c r="A42" s="3358" t="s">
        <v>2066</v>
      </c>
      <c r="B42" s="3359"/>
      <c r="C42" s="263">
        <f ca="1">C32</f>
        <v>6267</v>
      </c>
      <c r="D42" s="316">
        <f ca="1">C33</f>
        <v>676</v>
      </c>
      <c r="E42" s="316">
        <f ca="1">C34</f>
        <v>1014</v>
      </c>
      <c r="F42" s="317">
        <f ca="1">C35</f>
        <v>68</v>
      </c>
      <c r="G42" s="310"/>
      <c r="H42" s="310"/>
      <c r="I42" s="318"/>
      <c r="J42" s="2015"/>
      <c r="K42" s="1266" t="s">
        <v>361</v>
      </c>
      <c r="L42" s="2032" t="s">
        <v>362</v>
      </c>
      <c r="M42" s="1267" t="s">
        <v>363</v>
      </c>
      <c r="N42" s="2033" t="s">
        <v>364</v>
      </c>
      <c r="O42" s="2034" t="s">
        <v>365</v>
      </c>
      <c r="P42" s="2013"/>
      <c r="V42" s="2013"/>
    </row>
    <row r="43" spans="1:26" ht="30">
      <c r="A43" s="3368" t="s">
        <v>2729</v>
      </c>
      <c r="B43" s="3369"/>
      <c r="C43" s="263">
        <f>IF(H33="正常操作",G33+G34+G35,G34+G35)</f>
        <v>0</v>
      </c>
      <c r="D43" s="316" t="s">
        <v>43</v>
      </c>
      <c r="E43" s="316" t="s">
        <v>44</v>
      </c>
      <c r="F43" s="317" t="s">
        <v>44</v>
      </c>
      <c r="G43" s="2821" t="s">
        <v>951</v>
      </c>
      <c r="H43" s="310"/>
      <c r="I43" s="318"/>
      <c r="J43" s="2015"/>
      <c r="K43" s="1268" t="str">
        <f>C4</f>
        <v>比较法-住宅、综合</v>
      </c>
      <c r="L43" s="1269">
        <f ca="1">IF(L42="估价结果/万元",C19,C20)</f>
        <v>6685</v>
      </c>
      <c r="M43" s="1270">
        <f>C18</f>
        <v>0.5</v>
      </c>
      <c r="N43" s="1271">
        <f ca="1">IF(N42="测算结果/万元",G19,G20)</f>
        <v>6452</v>
      </c>
      <c r="O43" s="1272">
        <f ca="1">IF(O42="最终结果/万元",C32,C33)</f>
        <v>6267</v>
      </c>
      <c r="P43" s="2013"/>
      <c r="V43" s="2013"/>
    </row>
    <row r="44" spans="1:26" ht="30.75" thickBot="1">
      <c r="A44" s="3358" t="str">
        <f>IF(OR(项目基本情况!E8="抵押价格",项目基本情况!E8="已注销及未注销"),"3.抵押价格","——")</f>
        <v>3.抵押价格</v>
      </c>
      <c r="B44" s="3359"/>
      <c r="C44" s="263">
        <f ca="1">IF(A44="——","——",C42-C43)</f>
        <v>6267</v>
      </c>
      <c r="D44" s="316">
        <f ca="1">ROUND(C44*10000/'数据-汇总表'!E3,0)</f>
        <v>676</v>
      </c>
      <c r="E44" s="316">
        <f ca="1">ROUND(C44*10000/'数据-汇总表'!D3,0)</f>
        <v>1014</v>
      </c>
      <c r="F44" s="317">
        <f ca="1">ROUND(C44/('数据-汇总表'!D3/666.67),0)</f>
        <v>68</v>
      </c>
      <c r="G44" s="310"/>
      <c r="H44" s="310"/>
      <c r="I44" s="318"/>
      <c r="J44" s="2015"/>
      <c r="K44" s="1273" t="str">
        <f>D4</f>
        <v>剩余法-待开发</v>
      </c>
      <c r="L44" s="1274">
        <f ca="1">IF(L42="估价结果/万元",D19,D20)</f>
        <v>6218</v>
      </c>
      <c r="M44" s="1275">
        <f>D18</f>
        <v>0.5</v>
      </c>
      <c r="N44" s="1276"/>
      <c r="O44" s="1277"/>
      <c r="P44" s="2013"/>
      <c r="V44" s="2013"/>
    </row>
    <row r="45" spans="1:26" ht="15">
      <c r="A45" s="3363" t="str">
        <f>IF(项目基本情况!E8="已注销及未注销","4.抵押担保权已注销时的抵押价格",IF(项目基本情况!E8="已注销","3.抵押担保权已注销时的抵押价格","——"))</f>
        <v>——</v>
      </c>
      <c r="B45" s="3364"/>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60" t="str">
        <f>IF(项目基本情况!E9="抵押净值",IF(A45="——","4.抵押净值","5.抵押净值"),"——")</f>
        <v>——</v>
      </c>
      <c r="B46" s="3361"/>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366</v>
      </c>
      <c r="B47" s="1278"/>
      <c r="C47" s="321" t="s">
        <v>367</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368</v>
      </c>
      <c r="G53" s="336"/>
      <c r="H53" s="336"/>
      <c r="I53" s="337" t="s">
        <v>369</v>
      </c>
      <c r="J53" s="2016"/>
      <c r="K53" s="2013"/>
      <c r="L53" s="2013"/>
      <c r="M53" s="2013"/>
      <c r="N53" s="2013"/>
      <c r="O53" s="2013"/>
      <c r="P53" s="2013"/>
      <c r="Q53" s="2013"/>
      <c r="R53" s="2013"/>
      <c r="S53" s="2013"/>
      <c r="T53" s="2013"/>
      <c r="U53" s="2013"/>
      <c r="V53" s="2013"/>
    </row>
    <row r="54" spans="1:22" ht="12.75">
      <c r="A54" s="256"/>
      <c r="B54" s="338" t="s">
        <v>370</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371</v>
      </c>
      <c r="J56" s="2016"/>
      <c r="K56" s="2013"/>
      <c r="L56" s="2013"/>
      <c r="M56" s="2013"/>
      <c r="N56" s="2013"/>
      <c r="O56" s="2013"/>
      <c r="P56" s="2013"/>
      <c r="Q56" s="2013"/>
      <c r="R56" s="2013"/>
      <c r="S56" s="2013"/>
      <c r="T56" s="2013"/>
      <c r="U56" s="2013"/>
      <c r="V56" s="2013"/>
    </row>
    <row r="57" spans="1:22" ht="12.75">
      <c r="A57" s="256"/>
      <c r="B57" s="338" t="s">
        <v>372</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371</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2" t="s">
        <v>374</v>
      </c>
      <c r="B63" s="3323"/>
      <c r="C63" s="3324"/>
      <c r="D63" s="340">
        <f ca="1">ROUND(C42*F63,0)</f>
        <v>3760</v>
      </c>
      <c r="E63" s="301" t="s">
        <v>375</v>
      </c>
      <c r="F63" s="341">
        <v>0.6</v>
      </c>
      <c r="G63" s="342" t="s">
        <v>376</v>
      </c>
      <c r="H63" s="310"/>
      <c r="I63" s="310"/>
      <c r="J63" s="2013"/>
      <c r="K63" s="2013"/>
      <c r="L63" s="2013"/>
      <c r="M63" s="2013"/>
      <c r="N63" s="2013"/>
      <c r="O63" s="2013"/>
      <c r="P63" s="310"/>
      <c r="Q63" s="2013"/>
      <c r="R63" s="2013"/>
      <c r="S63" s="2013"/>
      <c r="T63" s="2013"/>
      <c r="U63" s="2013"/>
      <c r="V63" s="2013"/>
    </row>
    <row r="64" spans="1:22" ht="14.25" customHeight="1">
      <c r="A64" s="3365" t="s">
        <v>378</v>
      </c>
      <c r="B64" s="3366"/>
      <c r="C64" s="3366"/>
      <c r="D64" s="3366"/>
      <c r="E64" s="3366"/>
      <c r="F64" s="3366"/>
      <c r="G64" s="3367"/>
      <c r="H64" s="1283"/>
      <c r="I64" s="947"/>
      <c r="J64" s="1975"/>
      <c r="K64" s="1547" t="s">
        <v>377</v>
      </c>
      <c r="L64" s="11"/>
      <c r="M64" s="11"/>
      <c r="N64" s="11"/>
      <c r="O64" s="11"/>
      <c r="P64" s="310"/>
      <c r="Q64" s="2013"/>
      <c r="R64" s="2013"/>
      <c r="S64" s="2013"/>
      <c r="T64" s="2013"/>
      <c r="U64" s="2013"/>
      <c r="V64" s="2013"/>
    </row>
    <row r="65" spans="1:22" ht="12" customHeight="1">
      <c r="A65" s="343" t="s">
        <v>380</v>
      </c>
      <c r="B65" s="344"/>
      <c r="C65" s="345"/>
      <c r="D65" s="346" t="s">
        <v>381</v>
      </c>
      <c r="E65" s="53" t="s">
        <v>382</v>
      </c>
      <c r="F65" s="347" t="s">
        <v>383</v>
      </c>
      <c r="G65" s="348" t="s">
        <v>384</v>
      </c>
      <c r="H65" s="1283"/>
      <c r="I65" s="947"/>
      <c r="J65" s="1975"/>
      <c r="K65" s="1284"/>
      <c r="L65" s="1285"/>
      <c r="M65" s="1285"/>
      <c r="N65" s="1317" t="s">
        <v>379</v>
      </c>
      <c r="O65" s="1318"/>
      <c r="P65" s="1319"/>
      <c r="Q65" s="2013"/>
      <c r="R65" s="2013"/>
      <c r="S65" s="2013"/>
      <c r="T65" s="2013"/>
      <c r="U65" s="2013"/>
      <c r="V65" s="2013"/>
    </row>
    <row r="66" spans="1:22" ht="25.5">
      <c r="A66" s="3362" t="s">
        <v>386</v>
      </c>
      <c r="B66" s="3329"/>
      <c r="C66" s="3329"/>
      <c r="D66" s="260">
        <f ca="1">IF(H66="情况1",0,IF(H66="情况2",D70,IF(H66="情况3",D71,IF(H66="情况4",D72))))</f>
        <v>197</v>
      </c>
      <c r="E66" s="992" t="str">
        <f>IF(H66="情况4","(销售额-原购置价)×税（费）率","销售额×税（费）率")</f>
        <v>销售额×税（费）率</v>
      </c>
      <c r="F66" s="349">
        <f>IF(H66="情况1","免征",'数据-取费表'!B41)</f>
        <v>5.5000000000000007E-2</v>
      </c>
      <c r="G66" s="350" t="s">
        <v>387</v>
      </c>
      <c r="H66" s="191" t="s">
        <v>388</v>
      </c>
      <c r="I66" s="1283"/>
      <c r="J66" s="2019"/>
      <c r="K66" s="1286">
        <v>1</v>
      </c>
      <c r="L66" s="3298" t="s">
        <v>385</v>
      </c>
      <c r="M66" s="3299"/>
      <c r="N66" s="2422"/>
      <c r="O66" s="2423"/>
      <c r="P66" s="2424"/>
      <c r="Q66" s="2013"/>
      <c r="R66" s="2013"/>
      <c r="S66" s="2013"/>
      <c r="T66" s="2013"/>
      <c r="U66" s="2013"/>
      <c r="V66" s="2013"/>
    </row>
    <row r="67" spans="1:22" ht="25.5" customHeight="1">
      <c r="A67" s="351" t="s">
        <v>390</v>
      </c>
      <c r="B67" s="3341" t="s">
        <v>391</v>
      </c>
      <c r="C67" s="3341"/>
      <c r="D67" s="352">
        <v>0</v>
      </c>
      <c r="E67" s="41" t="s">
        <v>392</v>
      </c>
      <c r="F67" s="62" t="s">
        <v>21</v>
      </c>
      <c r="G67" s="3325"/>
      <c r="H67" s="310"/>
      <c r="I67" s="1287"/>
      <c r="J67" s="2020"/>
      <c r="K67" s="1961">
        <v>2</v>
      </c>
      <c r="L67" s="3297" t="s">
        <v>389</v>
      </c>
      <c r="M67" s="3297"/>
      <c r="N67" s="1320">
        <f>'数据-取费表'!B2</f>
        <v>43734</v>
      </c>
      <c r="O67" s="1320"/>
      <c r="P67" s="1320"/>
      <c r="Q67" s="2013"/>
      <c r="R67" s="2013"/>
      <c r="S67" s="2013"/>
      <c r="T67" s="2013"/>
      <c r="U67" s="2013"/>
      <c r="V67" s="2013"/>
    </row>
    <row r="68" spans="1:22" ht="25.5" customHeight="1">
      <c r="A68" s="353"/>
      <c r="B68" s="3341" t="s">
        <v>394</v>
      </c>
      <c r="C68" s="3341"/>
      <c r="D68" s="354"/>
      <c r="E68" s="77"/>
      <c r="F68" s="355"/>
      <c r="G68" s="3326"/>
      <c r="H68" s="310"/>
      <c r="I68" s="1287"/>
      <c r="J68" s="2020"/>
      <c r="K68" s="1961">
        <v>3</v>
      </c>
      <c r="L68" s="3297" t="s">
        <v>393</v>
      </c>
      <c r="M68" s="3297"/>
      <c r="N68" s="1288">
        <f ca="1">C42</f>
        <v>6267</v>
      </c>
      <c r="O68" s="1288"/>
      <c r="P68" s="1288"/>
      <c r="Q68" s="2013"/>
      <c r="R68" s="2013"/>
      <c r="S68" s="2013"/>
      <c r="T68" s="2013"/>
      <c r="U68" s="2013"/>
      <c r="V68" s="2013"/>
    </row>
    <row r="69" spans="1:22" ht="12" customHeight="1">
      <c r="A69" s="356"/>
      <c r="B69" s="3341" t="s">
        <v>395</v>
      </c>
      <c r="C69" s="3341"/>
      <c r="D69" s="357"/>
      <c r="E69" s="73"/>
      <c r="F69" s="355"/>
      <c r="G69" s="3327"/>
      <c r="H69" s="310"/>
      <c r="I69" s="1287"/>
      <c r="J69" s="2020"/>
      <c r="K69" s="1289">
        <v>4</v>
      </c>
      <c r="L69" s="3303" t="s">
        <v>2882</v>
      </c>
      <c r="M69" s="3304"/>
      <c r="N69" s="1290">
        <f ca="1">C44</f>
        <v>6267</v>
      </c>
      <c r="O69" s="1290"/>
      <c r="P69" s="1290"/>
      <c r="Q69" s="2013"/>
      <c r="R69" s="2013"/>
      <c r="S69" s="2013"/>
      <c r="T69" s="2013"/>
      <c r="U69" s="2013"/>
      <c r="V69" s="2013"/>
    </row>
    <row r="70" spans="1:22" ht="24" customHeight="1">
      <c r="A70" s="358" t="s">
        <v>396</v>
      </c>
      <c r="B70" s="3341" t="s">
        <v>397</v>
      </c>
      <c r="C70" s="3341"/>
      <c r="D70" s="357">
        <f ca="1">ROUND(D63*'数据-取费表'!B41/(1+'数据-取费表'!C42),0)</f>
        <v>197</v>
      </c>
      <c r="E70" s="17" t="s">
        <v>398</v>
      </c>
      <c r="F70" s="359">
        <f>'数据-取费表'!B41</f>
        <v>5.5000000000000007E-2</v>
      </c>
      <c r="G70" s="360"/>
      <c r="H70" s="310"/>
      <c r="I70" s="1287"/>
      <c r="J70" s="2020"/>
      <c r="K70" s="3013"/>
      <c r="L70" s="3014"/>
      <c r="M70" s="3014"/>
      <c r="N70" s="3015" t="s">
        <v>2887</v>
      </c>
      <c r="O70" s="3014"/>
      <c r="P70" s="3016"/>
      <c r="Q70" s="2013"/>
      <c r="R70" s="2013"/>
      <c r="S70" s="2013"/>
      <c r="T70" s="2013"/>
      <c r="U70" s="2013"/>
      <c r="V70" s="2013"/>
    </row>
    <row r="71" spans="1:22" ht="12" customHeight="1">
      <c r="A71" s="358" t="s">
        <v>404</v>
      </c>
      <c r="B71" s="3340" t="s">
        <v>405</v>
      </c>
      <c r="C71" s="3356"/>
      <c r="D71" s="357">
        <f ca="1">ROUND(D63*'数据-取费表'!B41/(1+'数据-取费表'!C42),0)</f>
        <v>197</v>
      </c>
      <c r="E71" s="17" t="s">
        <v>398</v>
      </c>
      <c r="F71" s="359">
        <f>'数据-取费表'!B41</f>
        <v>5.5000000000000007E-2</v>
      </c>
      <c r="G71" s="360"/>
      <c r="H71" s="310"/>
      <c r="I71" s="1287"/>
      <c r="J71" s="2020"/>
      <c r="K71" s="3012" t="s">
        <v>399</v>
      </c>
      <c r="L71" s="3305" t="s">
        <v>400</v>
      </c>
      <c r="M71" s="3305"/>
      <c r="N71" s="3012" t="s">
        <v>401</v>
      </c>
      <c r="O71" s="3012" t="s">
        <v>402</v>
      </c>
      <c r="P71" s="3012" t="s">
        <v>403</v>
      </c>
      <c r="Q71" s="2013"/>
      <c r="R71" s="2013"/>
      <c r="S71" s="2013"/>
      <c r="T71" s="2013"/>
      <c r="U71" s="2013"/>
      <c r="V71" s="2013"/>
    </row>
    <row r="72" spans="1:22" ht="12" customHeight="1">
      <c r="A72" s="358" t="s">
        <v>407</v>
      </c>
      <c r="B72" s="3340" t="s">
        <v>408</v>
      </c>
      <c r="C72" s="3356"/>
      <c r="D72" s="357">
        <f ca="1">C86</f>
        <v>87</v>
      </c>
      <c r="E72" s="73" t="s">
        <v>409</v>
      </c>
      <c r="F72" s="359">
        <f>'数据-取费表'!B41</f>
        <v>5.5000000000000007E-2</v>
      </c>
      <c r="G72" s="360"/>
      <c r="H72" s="1293"/>
      <c r="I72" s="1287"/>
      <c r="J72" s="2020"/>
      <c r="K72" s="1961">
        <v>1</v>
      </c>
      <c r="L72" s="3302" t="s">
        <v>406</v>
      </c>
      <c r="M72" s="3302"/>
      <c r="N72" s="1291">
        <f ca="1">D66</f>
        <v>197</v>
      </c>
      <c r="O72" s="1844" t="str">
        <f>E66</f>
        <v>销售额×税（费）率</v>
      </c>
      <c r="P72" s="1292">
        <f>F66</f>
        <v>5.5000000000000007E-2</v>
      </c>
      <c r="Q72" s="2013"/>
      <c r="R72" s="2013"/>
      <c r="S72" s="2013"/>
      <c r="T72" s="2013"/>
      <c r="U72" s="2013"/>
      <c r="V72" s="2013"/>
    </row>
    <row r="73" spans="1:22" ht="24" customHeight="1">
      <c r="A73" s="3328" t="s">
        <v>411</v>
      </c>
      <c r="B73" s="3329"/>
      <c r="C73" s="3329"/>
      <c r="D73" s="361">
        <f>IF(H73="个人住宅",0,ROUND(D63*I73,0))</f>
        <v>0</v>
      </c>
      <c r="E73" s="17" t="s">
        <v>412</v>
      </c>
      <c r="F73" s="359" t="str">
        <f>IF(H73="正常",I73,"免征")</f>
        <v>免征</v>
      </c>
      <c r="G73" s="360"/>
      <c r="H73" s="191" t="s">
        <v>2454</v>
      </c>
      <c r="I73" s="359">
        <f>'数据-取费表'!B49</f>
        <v>5.0000000000000001E-4</v>
      </c>
      <c r="J73" s="2020"/>
      <c r="K73" s="1961">
        <v>2</v>
      </c>
      <c r="L73" s="3302" t="s">
        <v>410</v>
      </c>
      <c r="M73" s="3302"/>
      <c r="N73" s="1291">
        <f t="shared" ref="N73:P74" si="1">D73</f>
        <v>0</v>
      </c>
      <c r="O73" s="1844" t="str">
        <f t="shared" si="1"/>
        <v>销售额×税（费）率</v>
      </c>
      <c r="P73" s="1292" t="str">
        <f t="shared" si="1"/>
        <v>免征</v>
      </c>
      <c r="Q73" s="2013"/>
      <c r="R73" s="2013"/>
      <c r="S73" s="2013"/>
      <c r="T73" s="2013"/>
      <c r="U73" s="2013"/>
      <c r="V73" s="2013"/>
    </row>
    <row r="74" spans="1:22" ht="24.75">
      <c r="A74" s="3328" t="s">
        <v>415</v>
      </c>
      <c r="B74" s="3329"/>
      <c r="C74" s="3329"/>
      <c r="D74" s="361">
        <f ca="1">IF(H74="个人住宅",D75,D76)</f>
        <v>1476</v>
      </c>
      <c r="E74" s="17" t="s">
        <v>416</v>
      </c>
      <c r="F74" s="359" t="str">
        <f>IF(H74="正常",F76,"免征")</f>
        <v>——</v>
      </c>
      <c r="G74" s="982" t="s">
        <v>417</v>
      </c>
      <c r="H74" s="362" t="s">
        <v>413</v>
      </c>
      <c r="I74" s="42"/>
      <c r="J74" s="2020"/>
      <c r="K74" s="1961">
        <v>3</v>
      </c>
      <c r="L74" s="3302" t="s">
        <v>414</v>
      </c>
      <c r="M74" s="3302"/>
      <c r="N74" s="1291">
        <f t="shared" ca="1" si="1"/>
        <v>1476</v>
      </c>
      <c r="O74" s="1844" t="str">
        <f t="shared" si="1"/>
        <v>增值额×税（费）率</v>
      </c>
      <c r="P74" s="1294" t="str">
        <f t="shared" si="1"/>
        <v>——</v>
      </c>
      <c r="Q74" s="2013"/>
      <c r="R74" s="2013"/>
      <c r="S74" s="2013"/>
      <c r="T74" s="2013"/>
      <c r="U74" s="2013"/>
      <c r="V74" s="2013"/>
    </row>
    <row r="75" spans="1:22" ht="24">
      <c r="A75" s="358" t="s">
        <v>418</v>
      </c>
      <c r="B75" s="3309" t="s">
        <v>419</v>
      </c>
      <c r="C75" s="3310"/>
      <c r="D75" s="363">
        <v>0</v>
      </c>
      <c r="E75" s="41" t="s">
        <v>420</v>
      </c>
      <c r="F75" s="364"/>
      <c r="G75" s="360"/>
      <c r="H75" s="42"/>
      <c r="I75" s="42"/>
      <c r="J75" s="2020"/>
      <c r="K75" s="3005">
        <f>IF(H77="非个人房产","",4)</f>
        <v>4</v>
      </c>
      <c r="L75" s="3302" t="str">
        <f>IF(H77="非个人房产","——","个人所得税")</f>
        <v>个人所得税</v>
      </c>
      <c r="M75" s="3302"/>
      <c r="N75" s="1295">
        <f ca="1">D77</f>
        <v>38</v>
      </c>
      <c r="O75" s="1857" t="str">
        <f>E77</f>
        <v>销售额×税（费）率</v>
      </c>
      <c r="P75" s="1296">
        <f>F77</f>
        <v>0.01</v>
      </c>
      <c r="Q75" s="2013"/>
      <c r="R75" s="2013"/>
      <c r="S75" s="2013"/>
      <c r="T75" s="2013"/>
      <c r="U75" s="2013"/>
      <c r="V75" s="2013"/>
    </row>
    <row r="76" spans="1:22" ht="24.75">
      <c r="A76" s="358" t="s">
        <v>396</v>
      </c>
      <c r="B76" s="3309" t="s">
        <v>422</v>
      </c>
      <c r="C76" s="3351"/>
      <c r="D76" s="361">
        <f ca="1">IF(H76="转让取得",C99,C115)</f>
        <v>1476</v>
      </c>
      <c r="E76" s="17" t="s">
        <v>423</v>
      </c>
      <c r="F76" s="53" t="s">
        <v>21</v>
      </c>
      <c r="G76" s="360"/>
      <c r="H76" s="362" t="s">
        <v>424</v>
      </c>
      <c r="I76" s="42"/>
      <c r="J76" s="2020"/>
      <c r="K76" s="3005" t="str">
        <f>IF(项目基本情况!K6="上海银行",IF(K75="",4,K75+1),"")</f>
        <v/>
      </c>
      <c r="L76" s="3290" t="str">
        <f>IF(项目基本情况!K6="上海银行","其他处置费用","")</f>
        <v/>
      </c>
      <c r="M76" s="3291"/>
      <c r="N76" s="1291" t="str">
        <f>IF(项目基本情况!K6="上海银行",N89,"")</f>
        <v/>
      </c>
      <c r="O76" s="3292" t="str">
        <f>IF(项目基本情况!K6="上海银行","包含处置中涉及的律师、诉讼、拍卖、评估等费用","")</f>
        <v/>
      </c>
      <c r="P76" s="3293"/>
      <c r="Q76" s="2013"/>
      <c r="R76" s="2013"/>
      <c r="S76" s="2013"/>
      <c r="T76" s="2013"/>
      <c r="U76" s="2013"/>
      <c r="V76" s="2013"/>
    </row>
    <row r="77" spans="1:22" ht="26.25" thickBot="1">
      <c r="A77" s="3320" t="s">
        <v>426</v>
      </c>
      <c r="B77" s="3321"/>
      <c r="C77" s="3321"/>
      <c r="D77" s="365">
        <f ca="1">IF(H77="非个人房产","——",IF(H77="个人住宅",0,ROUND(D63*I77,0)))</f>
        <v>38</v>
      </c>
      <c r="E77" s="366" t="str">
        <f>IF(H77="非个人房产","——","销售额×税（费）率")</f>
        <v>销售额×税（费）率</v>
      </c>
      <c r="F77" s="367">
        <f>IF(H77="非个人房产","——",IF(H77="个人住宅","免征",I77))</f>
        <v>0.01</v>
      </c>
      <c r="G77" s="983" t="s">
        <v>417</v>
      </c>
      <c r="H77" s="362" t="s">
        <v>2883</v>
      </c>
      <c r="I77" s="368">
        <v>0.01</v>
      </c>
      <c r="J77" s="2020"/>
      <c r="K77" s="3316">
        <f>IF(AND(K75="",K76=""),4,IF(项目基本情况!K6="上海银行",K76+1,K75+1))</f>
        <v>5</v>
      </c>
      <c r="L77" s="3302" t="s">
        <v>2884</v>
      </c>
      <c r="M77" s="3011" t="s">
        <v>421</v>
      </c>
      <c r="N77" s="1297"/>
      <c r="O77" s="1298">
        <f ca="1">SUMIF(N72:N76,"&lt;9e307")</f>
        <v>1711</v>
      </c>
      <c r="P77" s="1299"/>
      <c r="Q77" s="3009">
        <f ca="1">O77/N69</f>
        <v>0.27301739269187808</v>
      </c>
      <c r="R77" s="2013"/>
      <c r="S77" s="2013"/>
      <c r="T77" s="2013"/>
      <c r="U77" s="2013"/>
      <c r="V77" s="2013"/>
    </row>
    <row r="78" spans="1:22" ht="12" customHeight="1">
      <c r="A78" s="1300"/>
      <c r="B78" s="310"/>
      <c r="C78" s="310"/>
      <c r="D78" s="310"/>
      <c r="E78" s="42"/>
      <c r="F78" s="42"/>
      <c r="G78" s="42"/>
      <c r="H78" s="1002"/>
      <c r="I78" s="310"/>
      <c r="J78" s="2020"/>
      <c r="K78" s="3316"/>
      <c r="L78" s="3302"/>
      <c r="M78" s="3011" t="s">
        <v>425</v>
      </c>
      <c r="N78" s="1297"/>
      <c r="O78" s="1298" t="str">
        <f ca="1">NUMBERSTRING(INT(O77*10000),2)&amp;"元整"</f>
        <v>壹仟柒佰壹拾壹万元整</v>
      </c>
      <c r="P78" s="1299"/>
      <c r="Q78" s="2013"/>
      <c r="R78" s="2013"/>
      <c r="S78" s="2013"/>
      <c r="T78" s="2013"/>
      <c r="U78" s="2013"/>
      <c r="V78" s="2013"/>
    </row>
    <row r="79" spans="1:22" ht="13.5" thickBot="1">
      <c r="A79" s="3306" t="s">
        <v>427</v>
      </c>
      <c r="B79" s="3306"/>
      <c r="C79" s="3306"/>
      <c r="D79" s="3306"/>
      <c r="E79" s="3306"/>
      <c r="F79" s="42"/>
      <c r="G79" s="42"/>
      <c r="H79" s="1002"/>
      <c r="I79" s="310"/>
      <c r="J79" s="2020"/>
      <c r="K79" s="3300">
        <f>K77+1</f>
        <v>6</v>
      </c>
      <c r="L79" s="3302" t="s">
        <v>2885</v>
      </c>
      <c r="M79" s="3011" t="s">
        <v>421</v>
      </c>
      <c r="N79" s="1297"/>
      <c r="O79" s="1298">
        <f ca="1">N69-O77</f>
        <v>4556</v>
      </c>
      <c r="P79" s="1299"/>
      <c r="Q79" s="2013"/>
      <c r="R79" s="2013"/>
      <c r="S79" s="2013"/>
      <c r="T79" s="2013"/>
      <c r="U79" s="2013"/>
      <c r="V79" s="2013"/>
    </row>
    <row r="80" spans="1:22" ht="25.5">
      <c r="A80" s="3307" t="s">
        <v>428</v>
      </c>
      <c r="B80" s="3308"/>
      <c r="C80" s="993"/>
      <c r="D80" s="993" t="s">
        <v>429</v>
      </c>
      <c r="E80" s="369" t="s">
        <v>430</v>
      </c>
      <c r="F80" s="42"/>
      <c r="G80" s="42"/>
      <c r="H80" s="1002"/>
      <c r="I80" s="310"/>
      <c r="J80" s="2013"/>
      <c r="K80" s="3301"/>
      <c r="L80" s="3302"/>
      <c r="M80" s="3011" t="s">
        <v>425</v>
      </c>
      <c r="N80" s="1297"/>
      <c r="O80" s="1298" t="str">
        <f ca="1">NUMBERSTRING(INT(O79*10000),2)&amp;"元整"</f>
        <v>肆仟伍佰伍拾陆万元整</v>
      </c>
      <c r="P80" s="1299"/>
      <c r="Q80" s="2013"/>
      <c r="R80" s="2013"/>
      <c r="S80" s="2013"/>
      <c r="T80" s="2013"/>
      <c r="U80" s="2013"/>
      <c r="V80" s="2013"/>
    </row>
    <row r="81" spans="1:26" ht="13.5" thickBot="1">
      <c r="A81" s="380" t="s">
        <v>1822</v>
      </c>
      <c r="B81" s="370" t="s">
        <v>431</v>
      </c>
      <c r="C81" s="371">
        <f ca="1">ROUND((C82+C83)/(1+'数据-取费表'!C42),0)</f>
        <v>3581</v>
      </c>
      <c r="D81" s="372"/>
      <c r="E81" s="373"/>
      <c r="F81" s="42"/>
      <c r="G81" s="42"/>
      <c r="H81" s="1002"/>
      <c r="I81" s="310"/>
      <c r="J81" s="2013"/>
      <c r="K81" s="3005">
        <f>K79+1</f>
        <v>7</v>
      </c>
      <c r="L81" s="3314" t="s">
        <v>2886</v>
      </c>
      <c r="M81" s="3315"/>
      <c r="N81" s="1301"/>
      <c r="O81" s="1302">
        <f ca="1">ROUND(O79*10000/'数据-汇总表'!E3,0)</f>
        <v>491</v>
      </c>
      <c r="P81" s="1303"/>
      <c r="Q81" s="2013"/>
      <c r="R81" s="2013"/>
      <c r="S81" s="2013"/>
      <c r="T81" s="2013"/>
      <c r="U81" s="2013"/>
      <c r="V81" s="2013"/>
    </row>
    <row r="82" spans="1:26" ht="13.5" thickTop="1">
      <c r="A82" s="374" t="s">
        <v>1823</v>
      </c>
      <c r="B82" s="375" t="s">
        <v>432</v>
      </c>
      <c r="C82" s="376">
        <f ca="1">D63</f>
        <v>3760</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1824</v>
      </c>
      <c r="B83" s="375" t="s">
        <v>433</v>
      </c>
      <c r="C83" s="379">
        <v>0</v>
      </c>
      <c r="D83" s="377"/>
      <c r="E83" s="378"/>
      <c r="F83" s="42"/>
      <c r="G83" s="42"/>
      <c r="H83" s="1002"/>
      <c r="I83" s="310"/>
      <c r="J83" s="2013"/>
      <c r="K83" s="3289" t="s">
        <v>2873</v>
      </c>
      <c r="L83" s="3017" t="s">
        <v>2874</v>
      </c>
      <c r="M83" s="3007">
        <f ca="1">IF(N69&gt;10000,N69*0.5%,IF(AND(N69&gt;1000,N69&lt;=10000),N69*1%,IF(AND(N69&gt;100,N69&lt;=1000),N69*3%,IF(AND(N69&gt;10,N69&lt;=100),N69*5%,N69*8%))))</f>
        <v>62.67</v>
      </c>
      <c r="N83" s="53">
        <f ca="1">ROUND(M83,1)</f>
        <v>62.7</v>
      </c>
      <c r="O83" s="3010"/>
      <c r="P83" s="2013"/>
      <c r="Q83" s="2013"/>
      <c r="R83" s="2013"/>
      <c r="S83" s="2013"/>
      <c r="T83" s="2013"/>
      <c r="U83" s="2013"/>
      <c r="V83" s="2013"/>
    </row>
    <row r="84" spans="1:26" ht="12.75">
      <c r="A84" s="380" t="s">
        <v>1825</v>
      </c>
      <c r="B84" s="381" t="s">
        <v>434</v>
      </c>
      <c r="C84" s="382">
        <v>2000</v>
      </c>
      <c r="D84" s="383" t="s">
        <v>19</v>
      </c>
      <c r="E84" s="3052" t="s">
        <v>2941</v>
      </c>
      <c r="F84" s="42"/>
      <c r="G84" s="42"/>
      <c r="H84" s="1002"/>
      <c r="I84" s="310"/>
      <c r="J84" s="2013"/>
      <c r="K84" s="3289"/>
      <c r="L84" s="3017" t="s">
        <v>2875</v>
      </c>
      <c r="M84" s="3007">
        <f ca="1">IF(N69&gt;2000,N69*0.5%,IF(AND(N69&gt;1000,N69&lt;=2000),N69*0.6%,IF(AND(N69&gt;500,N69&lt;=1000),N69*0.7%,IF(AND(N69&gt;200,N69&lt;=500),N69*0.8%,IF(AND(N69&gt;100,N69&lt;=200),N69*0.9%,IF(AND(N69&gt;50,N69&lt;=100),N69*1%,IF(AND(N69&gt;20,N69&lt;=50),N69*1.5%,IF(AND(N69&gt;10,N69&lt;=20),N69*2%,IF(AND(N69&gt;1,N69&lt;=10),N69*2.5%)))))))))</f>
        <v>31.335000000000001</v>
      </c>
      <c r="N84" s="53">
        <f t="shared" ref="N84:N85" ca="1" si="2">ROUND(M84,1)</f>
        <v>31.3</v>
      </c>
      <c r="O84" s="2013" t="s">
        <v>2876</v>
      </c>
      <c r="P84" s="2013"/>
      <c r="Q84" s="2013"/>
      <c r="R84" s="2013"/>
      <c r="S84" s="2013"/>
      <c r="T84" s="2013"/>
      <c r="U84" s="2013"/>
      <c r="V84" s="2013"/>
    </row>
    <row r="85" spans="1:26" ht="12.75">
      <c r="A85" s="380" t="s">
        <v>1826</v>
      </c>
      <c r="B85" s="381" t="s">
        <v>435</v>
      </c>
      <c r="C85" s="384">
        <f ca="1">C81-C84</f>
        <v>1581</v>
      </c>
      <c r="D85" s="377" t="s">
        <v>19</v>
      </c>
      <c r="E85" s="378"/>
      <c r="F85" s="42"/>
      <c r="G85" s="42"/>
      <c r="H85" s="1002"/>
      <c r="I85" s="310"/>
      <c r="J85" s="2013"/>
      <c r="K85" s="3289"/>
      <c r="L85" s="3017" t="s">
        <v>2877</v>
      </c>
      <c r="M85" s="3007">
        <f ca="1">IF(N69&gt;1000,N69*0.1%,IF(AND(N69&gt;500,N69&lt;=1000),N69*0.5%,IF(AND(N69&gt;50,N69&lt;=500),N69*1%,IF(AND(N69&gt;1,N69&lt;=50),N69*1.5%))))</f>
        <v>6.2670000000000003</v>
      </c>
      <c r="N85" s="53">
        <f t="shared" ca="1" si="2"/>
        <v>6.3</v>
      </c>
      <c r="O85" s="2013" t="s">
        <v>2876</v>
      </c>
      <c r="P85" s="2013"/>
      <c r="Q85" s="2013"/>
      <c r="R85" s="2013"/>
      <c r="S85" s="2013"/>
      <c r="T85" s="2013"/>
      <c r="U85" s="2013"/>
      <c r="V85" s="2013"/>
    </row>
    <row r="86" spans="1:26" ht="13.5" thickBot="1">
      <c r="A86" s="385" t="s">
        <v>1827</v>
      </c>
      <c r="B86" s="386" t="s">
        <v>436</v>
      </c>
      <c r="C86" s="387">
        <f ca="1">IF(C85&lt;=0,0,ROUND(C85*D86,0))</f>
        <v>87</v>
      </c>
      <c r="D86" s="388">
        <f>'数据-取费表'!B41</f>
        <v>5.5000000000000007E-2</v>
      </c>
      <c r="E86" s="389"/>
      <c r="F86" s="42"/>
      <c r="G86" s="42"/>
      <c r="H86" s="1002"/>
      <c r="I86" s="310"/>
      <c r="J86" s="2013"/>
      <c r="K86" s="3289"/>
      <c r="L86" s="3017" t="s">
        <v>2878</v>
      </c>
      <c r="M86" s="3007">
        <f ca="1">N69*0.5%</f>
        <v>31.335000000000001</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289"/>
      <c r="L87" s="3017" t="s">
        <v>2880</v>
      </c>
      <c r="M87" s="3007">
        <f ca="1">IF(N69&gt;=10000,(8.25+(N69-10000)*0.01%),IF(AND(N69&gt;=8000,N69&lt;10000),(7.85+(N69-8000)*0.02%),IF(AND(N69&gt;=5000,N69&lt;8000),(6.65+(N69-5000)*0.04%),IF(AND(N69&gt;=2000,N69&lt;5000),(4.25+(PN69-2000)*0.08%),IF(AND(N69&gt;=1000,N69&lt;2000),(2.75+(N69-1000)*0.15%),IF(AND(N69&gt;=100,N69&lt;1000),(0.5+(N69-100)*0.25%),IF(AND(N69&gt;0,N69&lt;100),N69*0.5%)))))))</f>
        <v>7.1568000000000005</v>
      </c>
      <c r="N87" s="53">
        <f ca="1">ROUND(M87*0.9,1)</f>
        <v>6.4</v>
      </c>
      <c r="O87" s="3010"/>
      <c r="P87" s="310"/>
      <c r="Q87" s="2013"/>
      <c r="R87" s="2013"/>
      <c r="S87" s="2013"/>
      <c r="T87" s="2013"/>
      <c r="U87" s="2013"/>
      <c r="V87" s="2013"/>
      <c r="W87" s="291"/>
      <c r="X87" s="291"/>
      <c r="Y87" s="291"/>
      <c r="Z87" s="291"/>
    </row>
    <row r="88" spans="1:26" s="1309" customFormat="1" ht="15" thickBot="1">
      <c r="A88" s="3343" t="s">
        <v>437</v>
      </c>
      <c r="B88" s="3344"/>
      <c r="C88" s="3344"/>
      <c r="D88" s="3344"/>
      <c r="E88" s="3344"/>
      <c r="F88" s="3344"/>
      <c r="G88" s="3344"/>
      <c r="H88" s="3344"/>
      <c r="I88" s="1310"/>
      <c r="J88" s="2021"/>
      <c r="K88" s="3289"/>
      <c r="L88" s="3017" t="s">
        <v>2881</v>
      </c>
      <c r="M88" s="3007">
        <f ca="1">IF(N69&gt;10000,N69*0.5%,IF(AND(N69&gt;5000,N69&lt;=10000),N69*1%,IF(AND(N69&gt;1000,N69&lt;=5000),N69*2%,IF(AND(N69&gt;200,N69&lt;=1000),N69*3%,N69*5%))))</f>
        <v>62.67</v>
      </c>
      <c r="N88" s="53">
        <f ca="1">ROUND(M88,1)</f>
        <v>62.7</v>
      </c>
      <c r="O88" s="3010"/>
      <c r="P88" s="11"/>
      <c r="Q88" s="2018"/>
      <c r="R88" s="2018"/>
      <c r="S88" s="2018"/>
      <c r="T88" s="2018"/>
      <c r="U88" s="2018"/>
      <c r="V88" s="2018"/>
      <c r="W88" s="2022"/>
      <c r="X88" s="2022"/>
      <c r="Y88" s="2022"/>
      <c r="Z88" s="2022"/>
    </row>
    <row r="89" spans="1:26" s="1309" customFormat="1" ht="14.25">
      <c r="A89" s="3307" t="s">
        <v>428</v>
      </c>
      <c r="B89" s="3308"/>
      <c r="C89" s="993"/>
      <c r="D89" s="993" t="s">
        <v>429</v>
      </c>
      <c r="E89" s="390" t="s">
        <v>438</v>
      </c>
      <c r="F89" s="391"/>
      <c r="G89" s="391"/>
      <c r="H89" s="392"/>
      <c r="I89" s="1311"/>
      <c r="J89" s="2023"/>
      <c r="K89" s="3289"/>
      <c r="L89" s="3017" t="s">
        <v>27</v>
      </c>
      <c r="M89" s="3008"/>
      <c r="N89" s="53">
        <f ca="1">ROUND(SUM(N83:N88),0)</f>
        <v>170</v>
      </c>
      <c r="O89" s="3018">
        <f ca="1">N89/N69</f>
        <v>2.7126216690601564E-2</v>
      </c>
      <c r="P89" s="2018"/>
      <c r="Q89" s="2018"/>
      <c r="R89" s="2018"/>
      <c r="S89" s="2018"/>
      <c r="T89" s="2018"/>
      <c r="U89" s="2018"/>
      <c r="V89" s="2018"/>
      <c r="W89" s="2022"/>
      <c r="X89" s="2022"/>
      <c r="Y89" s="2022"/>
      <c r="Z89" s="2022"/>
    </row>
    <row r="90" spans="1:26" s="1309" customFormat="1" ht="14.25">
      <c r="A90" s="380" t="s">
        <v>1822</v>
      </c>
      <c r="B90" s="381" t="s">
        <v>439</v>
      </c>
      <c r="C90" s="384">
        <f ca="1">ROUND(D63/(1+'数据-取费表'!C42),0)</f>
        <v>3581</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1828</v>
      </c>
      <c r="B91" s="347" t="s">
        <v>440</v>
      </c>
      <c r="C91" s="384">
        <f ca="1">C92+C96</f>
        <v>2579</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1829</v>
      </c>
      <c r="B92" s="375" t="s">
        <v>441</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1830</v>
      </c>
      <c r="B93" s="375" t="s">
        <v>442</v>
      </c>
      <c r="C93" s="395">
        <v>2000</v>
      </c>
      <c r="D93" s="377" t="s">
        <v>19</v>
      </c>
      <c r="E93" s="396" t="s">
        <v>443</v>
      </c>
      <c r="F93" s="397" t="s">
        <v>444</v>
      </c>
      <c r="G93" s="396" t="s">
        <v>445</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1831</v>
      </c>
      <c r="B94" s="399" t="s">
        <v>446</v>
      </c>
      <c r="C94" s="377">
        <f>IF(F93="购房发票",ROUND(C93*H93*5%,0),0)</f>
        <v>500</v>
      </c>
      <c r="D94" s="400">
        <v>0.05</v>
      </c>
      <c r="E94" s="3340" t="s">
        <v>447</v>
      </c>
      <c r="F94" s="3341"/>
      <c r="G94" s="3341"/>
      <c r="H94" s="3342"/>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1833</v>
      </c>
      <c r="B96" s="375" t="s">
        <v>450</v>
      </c>
      <c r="C96" s="404">
        <f ca="1">ROUND(D63*D96/(1+'数据-取费表'!C42),0)</f>
        <v>18</v>
      </c>
      <c r="D96" s="405">
        <f>'数据-取费表'!B43</f>
        <v>5.000000000000001E-3</v>
      </c>
      <c r="E96" s="3330" t="s">
        <v>2427</v>
      </c>
      <c r="F96" s="3331"/>
      <c r="G96" s="3331"/>
      <c r="H96" s="3332"/>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1" t="s">
        <v>451</v>
      </c>
      <c r="C97" s="384">
        <f ca="1">C90-C91</f>
        <v>1002</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1" t="s">
        <v>452</v>
      </c>
      <c r="C98" s="406">
        <f ca="1">IF(C97&lt;=0,0,C97/C91)</f>
        <v>0.38852268321054673</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6" t="s">
        <v>453</v>
      </c>
      <c r="C99" s="407">
        <f ca="1">ROUND(IF(C97&lt;=0,0,IF(C98&gt;=200%,C97*60%-C91*35%,IF(C98&gt;=100%,C97*50%-C91*15%,IF(C98&gt;=50%,C97*40%-C91*5%,IF(C98&lt;50%,C97*30%,0))))),0)</f>
        <v>301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3" t="s">
        <v>454</v>
      </c>
      <c r="B101" s="3344"/>
      <c r="C101" s="3344"/>
      <c r="D101" s="3344"/>
      <c r="E101" s="3344"/>
      <c r="F101" s="3344"/>
      <c r="G101" s="3344"/>
      <c r="H101" s="3344"/>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7" t="s">
        <v>428</v>
      </c>
      <c r="B102" s="3308"/>
      <c r="C102" s="993"/>
      <c r="D102" s="993" t="s">
        <v>429</v>
      </c>
      <c r="E102" s="390" t="s">
        <v>438</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1822</v>
      </c>
      <c r="B103" s="381" t="s">
        <v>439</v>
      </c>
      <c r="C103" s="384">
        <f ca="1">ROUND(D63/(1+'数据-取费表'!C42),0)</f>
        <v>3581</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1828</v>
      </c>
      <c r="B104" s="347" t="s">
        <v>440</v>
      </c>
      <c r="C104" s="384">
        <f ca="1">IF(H106="仅含出让金",C105+C108+C109+C110+C111+C112,C105+C109+C110+C111+C112)</f>
        <v>708</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1829</v>
      </c>
      <c r="B105" s="375" t="s">
        <v>455</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1830</v>
      </c>
      <c r="B106" s="375" t="s">
        <v>456</v>
      </c>
      <c r="C106" s="415">
        <v>555</v>
      </c>
      <c r="D106" s="405"/>
      <c r="E106" s="416" t="s">
        <v>457</v>
      </c>
      <c r="F106" s="985"/>
      <c r="G106" s="417" t="s">
        <v>458</v>
      </c>
      <c r="H106" s="418"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1831</v>
      </c>
      <c r="B107" s="375" t="s">
        <v>448</v>
      </c>
      <c r="C107" s="404">
        <f>ROUND(C106*D107,0)</f>
        <v>17</v>
      </c>
      <c r="D107" s="405">
        <f>'数据-取费表'!B48+'数据-取费表'!B49</f>
        <v>3.0499999999999999E-2</v>
      </c>
      <c r="E107" s="416"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1833</v>
      </c>
      <c r="B108" s="375" t="s">
        <v>460</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5" t="s">
        <v>461</v>
      </c>
      <c r="C109" s="404">
        <f>IF(H109="——",IF(F1="现房",'剩余法-现房'!C18,'剩余法-待开发'!C18),I109)</f>
        <v>55</v>
      </c>
      <c r="D109" s="405"/>
      <c r="E109" s="3333" t="s">
        <v>462</v>
      </c>
      <c r="F109" s="3331"/>
      <c r="G109" s="3331"/>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5" t="s">
        <v>463</v>
      </c>
      <c r="C110" s="404">
        <f>ROUND((C105+C108+C109)*D110,0)</f>
        <v>63</v>
      </c>
      <c r="D110" s="405">
        <v>0.1</v>
      </c>
      <c r="E110" s="3333" t="s">
        <v>464</v>
      </c>
      <c r="F110" s="3331"/>
      <c r="G110" s="3331"/>
      <c r="H110" s="3332"/>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5" t="s">
        <v>450</v>
      </c>
      <c r="C111" s="404">
        <f ca="1">ROUND(D63*D111/(1+'数据-取费表'!C42),0)</f>
        <v>18</v>
      </c>
      <c r="D111" s="405">
        <f>'数据-取费表'!B43</f>
        <v>5.000000000000001E-3</v>
      </c>
      <c r="E111" s="3330" t="s">
        <v>2427</v>
      </c>
      <c r="F111" s="3331"/>
      <c r="G111" s="3331"/>
      <c r="H111" s="3332"/>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5" t="s">
        <v>465</v>
      </c>
      <c r="C112" s="404">
        <f>ROUND(C108*D112,0)</f>
        <v>0</v>
      </c>
      <c r="D112" s="405">
        <v>0.2</v>
      </c>
      <c r="E112" s="3333" t="s">
        <v>2452</v>
      </c>
      <c r="F112" s="3331"/>
      <c r="G112" s="3331"/>
      <c r="H112" s="3332"/>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1" t="s">
        <v>451</v>
      </c>
      <c r="C113" s="384">
        <f ca="1">ROUND(C103-C104,0)</f>
        <v>2873</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1" t="s">
        <v>452</v>
      </c>
      <c r="C114" s="406">
        <f ca="1">IF(C113&lt;=0,0,C113/C104)</f>
        <v>4.0579096045197742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6" t="s">
        <v>453</v>
      </c>
      <c r="C115" s="407">
        <f ca="1">ROUND(IF(C113&lt;=0,0,IF(C114&gt;=200%,C113*60%-C104*35%,IF(C114&gt;=100%,C113*50%-C104*15%,IF(C114&gt;=50%,C113*40%-C104*5%,IF(C114&lt;50%,C113*30%,0))))),0)</f>
        <v>1476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48" sqref="L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6685</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09">
        <f>ROUND(B2*10000/'数据-汇总表'!E3,0)</f>
        <v>721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1081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72</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521</v>
      </c>
      <c r="B6" s="512"/>
      <c r="C6" s="3392" t="s">
        <v>522</v>
      </c>
      <c r="D6" s="3393"/>
      <c r="E6" s="3392" t="s">
        <v>523</v>
      </c>
      <c r="F6" s="3393"/>
      <c r="G6" s="3392" t="s">
        <v>524</v>
      </c>
      <c r="H6" s="3393"/>
      <c r="I6" s="3392" t="s">
        <v>525</v>
      </c>
      <c r="J6" s="3393"/>
      <c r="K6" s="513" t="s">
        <v>526</v>
      </c>
      <c r="L6" s="2118"/>
      <c r="M6" s="2117"/>
      <c r="N6" s="2117"/>
      <c r="O6" s="2119"/>
      <c r="P6" s="3394" t="s">
        <v>527</v>
      </c>
      <c r="Q6" s="3395"/>
      <c r="R6" s="3380" t="s">
        <v>523</v>
      </c>
      <c r="S6" s="3381"/>
      <c r="T6" s="3380" t="s">
        <v>524</v>
      </c>
      <c r="U6" s="3381"/>
      <c r="V6" s="3400" t="s">
        <v>525</v>
      </c>
      <c r="W6" s="3400"/>
      <c r="X6" s="1553"/>
      <c r="Y6" s="3380" t="s">
        <v>527</v>
      </c>
      <c r="Z6" s="3381"/>
      <c r="AA6" s="3375" t="s">
        <v>523</v>
      </c>
      <c r="AB6" s="3376" t="s">
        <v>524</v>
      </c>
      <c r="AC6" s="3375" t="s">
        <v>525</v>
      </c>
    </row>
    <row r="7" spans="1:30" ht="20.25">
      <c r="A7" s="514"/>
      <c r="B7" s="515"/>
      <c r="C7" s="3403" t="s">
        <v>2930</v>
      </c>
      <c r="D7" s="3404"/>
      <c r="E7" s="3403" t="str">
        <f>土地案例!A3</f>
        <v>曹妃甸新城东海路以西,渤海大道以北</v>
      </c>
      <c r="F7" s="3404"/>
      <c r="G7" s="3403" t="str">
        <f>土地案例!A6</f>
        <v>曹妃甸新城东海路以西,科教大道以北</v>
      </c>
      <c r="H7" s="3404"/>
      <c r="I7" s="3403" t="str">
        <f>土地案例!A8</f>
        <v>曹妃甸新城东海路以西,科教北道以北</v>
      </c>
      <c r="J7" s="3404"/>
      <c r="K7" s="513"/>
      <c r="L7" s="2118"/>
      <c r="M7" s="2117"/>
      <c r="N7" s="2117"/>
      <c r="O7" s="2119"/>
      <c r="P7" s="3396"/>
      <c r="Q7" s="3397"/>
      <c r="R7" s="3382"/>
      <c r="S7" s="3383"/>
      <c r="T7" s="3382"/>
      <c r="U7" s="3383"/>
      <c r="V7" s="3400"/>
      <c r="W7" s="3400"/>
      <c r="X7" s="1553"/>
      <c r="Y7" s="3382"/>
      <c r="Z7" s="3383"/>
      <c r="AA7" s="3376"/>
      <c r="AB7" s="3376"/>
      <c r="AC7" s="3376"/>
    </row>
    <row r="8" spans="1:30" ht="21" thickBot="1">
      <c r="A8" s="514"/>
      <c r="B8" s="515"/>
      <c r="C8" s="3405" t="s">
        <v>2934</v>
      </c>
      <c r="D8" s="3406"/>
      <c r="E8" s="3405" t="s">
        <v>2934</v>
      </c>
      <c r="F8" s="3406"/>
      <c r="G8" s="3401" t="s">
        <v>2934</v>
      </c>
      <c r="H8" s="3402"/>
      <c r="I8" s="3401" t="s">
        <v>2934</v>
      </c>
      <c r="J8" s="3402"/>
      <c r="K8" s="513" t="s">
        <v>528</v>
      </c>
      <c r="L8" s="2118"/>
      <c r="M8" s="2117"/>
      <c r="N8" s="2117"/>
      <c r="O8" s="2119"/>
      <c r="P8" s="3398"/>
      <c r="Q8" s="3399"/>
      <c r="R8" s="3382"/>
      <c r="S8" s="3383"/>
      <c r="T8" s="3384"/>
      <c r="U8" s="3385"/>
      <c r="V8" s="3400"/>
      <c r="W8" s="3400"/>
      <c r="X8" s="1553"/>
      <c r="Y8" s="3384"/>
      <c r="Z8" s="3385"/>
      <c r="AA8" s="3377"/>
      <c r="AB8" s="3377"/>
      <c r="AC8" s="3377"/>
    </row>
    <row r="9" spans="1:30" s="1215" customFormat="1" ht="21" thickBot="1">
      <c r="A9" s="2867"/>
      <c r="B9" s="2874" t="s">
        <v>529</v>
      </c>
      <c r="C9" s="2866">
        <f>'数据-取费表'!B2</f>
        <v>43734</v>
      </c>
      <c r="D9" s="519">
        <v>100</v>
      </c>
      <c r="E9" s="520" t="str">
        <f>土地案例!H3</f>
        <v>2019-09-12</v>
      </c>
      <c r="F9" s="521">
        <f>SUMIF(72:72,YEAR(E9)&amp;"-"&amp;INT((MONTH(E9)+2)/3),73:73)</f>
        <v>100</v>
      </c>
      <c r="G9" s="522" t="str">
        <f>土地案例!H6</f>
        <v>2019-09-12</v>
      </c>
      <c r="H9" s="519">
        <f>SUMIF(72:72,YEAR(G9)&amp;"-"&amp;INT((MONTH(G9)+2)/3),73:73)</f>
        <v>100</v>
      </c>
      <c r="I9" s="520" t="str">
        <f>土地案例!H8</f>
        <v>2019-09-12</v>
      </c>
      <c r="J9" s="519">
        <f>SUMIF(72:72,YEAR(I9)&amp;"-"&amp;INT((MONTH(I9)+2)/3),73:73)</f>
        <v>100</v>
      </c>
      <c r="K9" s="523"/>
      <c r="L9" s="2120"/>
      <c r="M9" s="2117"/>
      <c r="N9" s="2117"/>
      <c r="O9" s="2121"/>
      <c r="P9" s="3378" t="s">
        <v>530</v>
      </c>
      <c r="Q9" s="3387"/>
      <c r="R9" s="1554" t="s">
        <v>8</v>
      </c>
      <c r="S9" s="1555">
        <f t="shared" ref="S9:S17" si="0">F9</f>
        <v>100</v>
      </c>
      <c r="T9" s="1554" t="s">
        <v>8</v>
      </c>
      <c r="U9" s="1555">
        <f t="shared" ref="U9:U17" si="1">H9</f>
        <v>100</v>
      </c>
      <c r="V9" s="1554" t="s">
        <v>8</v>
      </c>
      <c r="W9" s="1555">
        <f t="shared" ref="W9:W17" si="2">J9</f>
        <v>100</v>
      </c>
      <c r="X9" s="1556"/>
      <c r="Y9" s="3378" t="s">
        <v>530</v>
      </c>
      <c r="Z9" s="3379"/>
      <c r="AA9" s="1557">
        <f>D9/F9</f>
        <v>1</v>
      </c>
      <c r="AB9" s="1557">
        <f>D9/H9</f>
        <v>1</v>
      </c>
      <c r="AC9" s="1557">
        <f>D9/J9</f>
        <v>1</v>
      </c>
    </row>
    <row r="10" spans="1:30" s="1215" customFormat="1" ht="21" thickBot="1">
      <c r="A10" s="2868"/>
      <c r="B10" s="2875" t="s">
        <v>531</v>
      </c>
      <c r="C10" s="855" t="s">
        <v>532</v>
      </c>
      <c r="D10" s="519">
        <v>100</v>
      </c>
      <c r="E10" s="524" t="s">
        <v>3246</v>
      </c>
      <c r="F10" s="521">
        <f>SUMIF(75:75,E10,76:76)-SUMIF(75:75,C10,76:76)+100</f>
        <v>100</v>
      </c>
      <c r="G10" s="524" t="s">
        <v>3246</v>
      </c>
      <c r="H10" s="519">
        <f>SUMIF(75:75,G10,76:76)-SUMIF(75:75,C10,76:76)+100</f>
        <v>100</v>
      </c>
      <c r="I10" s="524" t="s">
        <v>3246</v>
      </c>
      <c r="J10" s="519">
        <f>SUMIF(75:75,I10,76:76)-SUMIF(75:75,C10,76:76)+100</f>
        <v>100</v>
      </c>
      <c r="K10" s="523"/>
      <c r="L10" s="2120"/>
      <c r="M10" s="2117"/>
      <c r="N10" s="2117"/>
      <c r="O10" s="2121"/>
      <c r="P10" s="3378" t="s">
        <v>533</v>
      </c>
      <c r="Q10" s="3379"/>
      <c r="R10" s="1554" t="s">
        <v>8</v>
      </c>
      <c r="S10" s="1555">
        <f t="shared" si="0"/>
        <v>100</v>
      </c>
      <c r="T10" s="1554" t="s">
        <v>8</v>
      </c>
      <c r="U10" s="1555">
        <f t="shared" si="1"/>
        <v>100</v>
      </c>
      <c r="V10" s="1554" t="s">
        <v>8</v>
      </c>
      <c r="W10" s="1555">
        <f t="shared" si="2"/>
        <v>100</v>
      </c>
      <c r="X10" s="1556"/>
      <c r="Y10" s="3378" t="s">
        <v>533</v>
      </c>
      <c r="Z10" s="3379"/>
      <c r="AA10" s="1557">
        <f t="shared" ref="AA10:AA47" si="3">D10/F10</f>
        <v>1</v>
      </c>
      <c r="AB10" s="1557">
        <f t="shared" ref="AB10:AB47" si="4">D10/H10</f>
        <v>1</v>
      </c>
      <c r="AC10" s="1557">
        <f t="shared" ref="AC10:AC47" si="5">D10/J10</f>
        <v>1</v>
      </c>
    </row>
    <row r="11" spans="1:30" s="1215" customFormat="1" ht="20.25">
      <c r="A11" s="2869"/>
      <c r="B11" s="2876" t="s">
        <v>2755</v>
      </c>
      <c r="C11" s="2863"/>
      <c r="D11" s="253">
        <v>100</v>
      </c>
      <c r="E11" s="525"/>
      <c r="F11" s="253">
        <f>SUMIF(77:77,E11,78:78)-SUMIF(77:77,C11,78:78)+100</f>
        <v>100</v>
      </c>
      <c r="G11" s="525"/>
      <c r="H11" s="253">
        <f>SUMIF(77:77,G11,78:78)-SUMIF(77:77,C11,78:78)+100</f>
        <v>100</v>
      </c>
      <c r="I11" s="525"/>
      <c r="J11" s="253">
        <f>SUMIF(77:77,I11,78:78)-SUMIF(77:77,C11,78:78)+100</f>
        <v>100</v>
      </c>
      <c r="K11" s="523"/>
      <c r="L11" s="2120"/>
      <c r="M11" s="2117"/>
      <c r="N11" s="2117"/>
      <c r="O11" s="2122"/>
      <c r="P11" s="3386"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30" s="1333" customFormat="1" ht="27">
      <c r="A12" s="2870"/>
      <c r="B12" s="2875" t="s">
        <v>2756</v>
      </c>
      <c r="C12" s="909"/>
      <c r="D12" s="254">
        <v>100</v>
      </c>
      <c r="E12" s="528"/>
      <c r="F12" s="254">
        <f>ROUND(100/'数据-取费表'!G16,0)</f>
        <v>102</v>
      </c>
      <c r="G12" s="529"/>
      <c r="H12" s="254">
        <f>ROUND(100/'数据-取费表'!G16,0)</f>
        <v>102</v>
      </c>
      <c r="I12" s="529"/>
      <c r="J12" s="254">
        <f>ROUND(100/'数据-取费表'!G16,0)</f>
        <v>102</v>
      </c>
      <c r="K12" s="530"/>
      <c r="L12" s="2123"/>
      <c r="M12" s="2117"/>
      <c r="N12" s="2117"/>
      <c r="O12" s="2124"/>
      <c r="P12" s="3386"/>
      <c r="Q12" s="1146" t="str">
        <f t="shared" si="6"/>
        <v>土地使用年限（年）</v>
      </c>
      <c r="R12" s="1554" t="s">
        <v>8</v>
      </c>
      <c r="S12" s="1555">
        <f t="shared" si="0"/>
        <v>102</v>
      </c>
      <c r="T12" s="1554" t="s">
        <v>8</v>
      </c>
      <c r="U12" s="1555">
        <f t="shared" si="1"/>
        <v>102</v>
      </c>
      <c r="V12" s="1554" t="s">
        <v>8</v>
      </c>
      <c r="W12" s="1555">
        <f t="shared" si="2"/>
        <v>102</v>
      </c>
      <c r="X12" s="1556"/>
      <c r="Y12" s="3339"/>
      <c r="Z12" s="1145" t="str">
        <f t="shared" si="7"/>
        <v>土地使用年限（年）</v>
      </c>
      <c r="AA12" s="1557">
        <f t="shared" si="3"/>
        <v>0.98039215686274506</v>
      </c>
      <c r="AB12" s="1557">
        <f t="shared" si="4"/>
        <v>0.98039215686274506</v>
      </c>
      <c r="AC12" s="1557">
        <f t="shared" si="5"/>
        <v>0.98039215686274506</v>
      </c>
    </row>
    <row r="13" spans="1:30" ht="20.25">
      <c r="A13" s="2871"/>
      <c r="B13" s="2875" t="s">
        <v>2757</v>
      </c>
      <c r="C13" s="533">
        <v>1.5</v>
      </c>
      <c r="D13" s="254">
        <v>100</v>
      </c>
      <c r="E13" s="532">
        <v>1.5</v>
      </c>
      <c r="F13" s="254">
        <f>LOOKUP(E13,82:82,83:83)-LOOKUP(C13,82:82,83:83)+100</f>
        <v>100</v>
      </c>
      <c r="G13" s="533">
        <v>1.5</v>
      </c>
      <c r="H13" s="254">
        <f>LOOKUP(G13,82:82,83:83)-LOOKUP(C13,82:82,83:83)+100</f>
        <v>100</v>
      </c>
      <c r="I13" s="532">
        <v>1.5</v>
      </c>
      <c r="J13" s="254">
        <f>LOOKUP(I13,82:82,83:83)-LOOKUP(C13,82:82,83:83)+100</f>
        <v>100</v>
      </c>
      <c r="K13" s="534">
        <v>1</v>
      </c>
      <c r="L13" s="2125"/>
      <c r="M13" s="2117"/>
      <c r="N13" s="2117"/>
      <c r="O13" s="2126"/>
      <c r="P13" s="3386"/>
      <c r="Q13" s="1146" t="str">
        <f t="shared" si="6"/>
        <v>容积率</v>
      </c>
      <c r="R13" s="1554" t="s">
        <v>8</v>
      </c>
      <c r="S13" s="1555">
        <f t="shared" si="0"/>
        <v>100</v>
      </c>
      <c r="T13" s="1554" t="s">
        <v>8</v>
      </c>
      <c r="U13" s="1555">
        <f t="shared" si="1"/>
        <v>100</v>
      </c>
      <c r="V13" s="1554" t="s">
        <v>8</v>
      </c>
      <c r="W13" s="1555">
        <f t="shared" si="2"/>
        <v>100</v>
      </c>
      <c r="X13" s="1556"/>
      <c r="Y13" s="3339"/>
      <c r="Z13" s="1145" t="str">
        <f t="shared" si="7"/>
        <v>容积率</v>
      </c>
      <c r="AA13" s="1557">
        <f t="shared" si="3"/>
        <v>1</v>
      </c>
      <c r="AB13" s="1557">
        <f t="shared" si="4"/>
        <v>1</v>
      </c>
      <c r="AC13" s="1557">
        <f t="shared" si="5"/>
        <v>1</v>
      </c>
    </row>
    <row r="14" spans="1:30" s="1215" customFormat="1" ht="20.25" hidden="1">
      <c r="A14" s="2868"/>
      <c r="B14" s="2877" t="s">
        <v>2758</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86"/>
      <c r="Q14" s="1146" t="str">
        <f t="shared" si="6"/>
        <v>配建</v>
      </c>
      <c r="R14" s="1554" t="s">
        <v>8</v>
      </c>
      <c r="S14" s="1555">
        <f t="shared" si="0"/>
        <v>100</v>
      </c>
      <c r="T14" s="1554" t="s">
        <v>8</v>
      </c>
      <c r="U14" s="1555">
        <f t="shared" si="1"/>
        <v>100</v>
      </c>
      <c r="V14" s="1554" t="s">
        <v>8</v>
      </c>
      <c r="W14" s="1555">
        <f t="shared" si="2"/>
        <v>100</v>
      </c>
      <c r="X14" s="1556"/>
      <c r="Y14" s="3339"/>
      <c r="Z14" s="1145" t="str">
        <f t="shared" si="7"/>
        <v>配建</v>
      </c>
      <c r="AA14" s="1557">
        <f>D14/F14</f>
        <v>1</v>
      </c>
      <c r="AB14" s="1557">
        <f>D14/H14</f>
        <v>1</v>
      </c>
      <c r="AC14" s="1557">
        <f>D14/J14</f>
        <v>1</v>
      </c>
    </row>
    <row r="15" spans="1:30" ht="20.25" hidden="1">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86"/>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D15/F15</f>
        <v>1</v>
      </c>
      <c r="AB15" s="1557">
        <f>D15/H15</f>
        <v>1</v>
      </c>
      <c r="AC15" s="1557">
        <f>D15/J15</f>
        <v>1</v>
      </c>
    </row>
    <row r="16" spans="1:30" ht="21" hidden="1"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86"/>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D16/F16</f>
        <v>1</v>
      </c>
      <c r="AB16" s="1557">
        <f>D16/H16</f>
        <v>1</v>
      </c>
      <c r="AC16" s="1557">
        <f>D16/J16</f>
        <v>1</v>
      </c>
    </row>
    <row r="17" spans="1:29" ht="99.75" hidden="1">
      <c r="A17" s="2865" t="s">
        <v>2753</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388" t="s">
        <v>540</v>
      </c>
      <c r="Q17" s="1558" t="str">
        <f t="shared" si="6"/>
        <v>居住社区成熟度</v>
      </c>
      <c r="R17" s="1559" t="s">
        <v>8</v>
      </c>
      <c r="S17" s="1560">
        <f t="shared" si="0"/>
        <v>100</v>
      </c>
      <c r="T17" s="1559" t="s">
        <v>8</v>
      </c>
      <c r="U17" s="1560">
        <f t="shared" si="1"/>
        <v>100</v>
      </c>
      <c r="V17" s="1559" t="s">
        <v>8</v>
      </c>
      <c r="W17" s="1560">
        <f t="shared" si="2"/>
        <v>100</v>
      </c>
      <c r="X17" s="1553"/>
      <c r="Y17" s="3388" t="s">
        <v>540</v>
      </c>
      <c r="Z17" s="1561" t="str">
        <f t="shared" si="7"/>
        <v>居住社区成熟度</v>
      </c>
      <c r="AA17" s="1562">
        <f t="shared" si="3"/>
        <v>1</v>
      </c>
      <c r="AB17" s="1562">
        <f t="shared" si="4"/>
        <v>1</v>
      </c>
      <c r="AC17" s="1562">
        <f t="shared" si="5"/>
        <v>1</v>
      </c>
    </row>
    <row r="18" spans="1:29" ht="20.25" hidden="1">
      <c r="A18" s="531"/>
      <c r="B18" s="552"/>
      <c r="C18" s="553"/>
      <c r="D18" s="556"/>
      <c r="E18" s="557"/>
      <c r="F18" s="554"/>
      <c r="G18" s="555"/>
      <c r="H18" s="558"/>
      <c r="I18" s="557"/>
      <c r="J18" s="554"/>
      <c r="K18" s="530"/>
      <c r="L18" s="2127"/>
      <c r="M18" s="2117"/>
      <c r="N18" s="2117"/>
      <c r="O18" s="2126"/>
      <c r="P18" s="3389"/>
      <c r="Q18" s="1558"/>
      <c r="R18" s="1559"/>
      <c r="S18" s="1560"/>
      <c r="T18" s="1559"/>
      <c r="U18" s="1560"/>
      <c r="V18" s="1559"/>
      <c r="W18" s="1560"/>
      <c r="X18" s="1553"/>
      <c r="Y18" s="3389"/>
      <c r="Z18" s="1561"/>
      <c r="AA18" s="1562">
        <v>1</v>
      </c>
      <c r="AB18" s="1562">
        <v>1</v>
      </c>
      <c r="AC18" s="1562">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27"/>
      <c r="M19" s="2117"/>
      <c r="N19" s="2117"/>
      <c r="O19" s="2126"/>
      <c r="P19" s="3389"/>
      <c r="Q19" s="1558" t="str">
        <f>B19</f>
        <v>商业繁华度</v>
      </c>
      <c r="R19" s="1559" t="s">
        <v>8</v>
      </c>
      <c r="S19" s="1560">
        <f>F19</f>
        <v>100</v>
      </c>
      <c r="T19" s="1559" t="s">
        <v>8</v>
      </c>
      <c r="U19" s="1560">
        <f>H19</f>
        <v>100</v>
      </c>
      <c r="V19" s="1559" t="s">
        <v>8</v>
      </c>
      <c r="W19" s="1560">
        <f>J19</f>
        <v>100</v>
      </c>
      <c r="X19" s="1553"/>
      <c r="Y19" s="3389"/>
      <c r="Z19" s="1561" t="str">
        <f>Q19</f>
        <v>商业繁华度</v>
      </c>
      <c r="AA19" s="1562">
        <f t="shared" si="3"/>
        <v>1</v>
      </c>
      <c r="AB19" s="1562">
        <f t="shared" si="4"/>
        <v>1</v>
      </c>
      <c r="AC19" s="1562">
        <f t="shared" si="5"/>
        <v>1</v>
      </c>
    </row>
    <row r="20" spans="1:29" ht="20.25">
      <c r="A20" s="531"/>
      <c r="B20" s="565"/>
      <c r="C20" s="566" t="s">
        <v>3250</v>
      </c>
      <c r="D20" s="562"/>
      <c r="E20" s="568" t="s">
        <v>3250</v>
      </c>
      <c r="F20" s="558"/>
      <c r="G20" s="567" t="s">
        <v>3250</v>
      </c>
      <c r="H20" s="554"/>
      <c r="I20" s="568" t="s">
        <v>3250</v>
      </c>
      <c r="J20" s="554"/>
      <c r="K20" s="530"/>
      <c r="L20" s="2127"/>
      <c r="M20" s="2117"/>
      <c r="N20" s="2117"/>
      <c r="O20" s="2126"/>
      <c r="P20" s="3389"/>
      <c r="Q20" s="1558"/>
      <c r="R20" s="1559"/>
      <c r="S20" s="1560"/>
      <c r="T20" s="1559"/>
      <c r="U20" s="1560"/>
      <c r="V20" s="1559"/>
      <c r="W20" s="1560"/>
      <c r="X20" s="1553"/>
      <c r="Y20" s="3389"/>
      <c r="Z20" s="1561"/>
      <c r="AA20" s="1562">
        <v>1</v>
      </c>
      <c r="AB20" s="1562">
        <v>1</v>
      </c>
      <c r="AC20" s="1562">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3</v>
      </c>
      <c r="L21" s="2127"/>
      <c r="M21" s="2117"/>
      <c r="N21" s="2117"/>
      <c r="O21" s="2126"/>
      <c r="P21" s="3389"/>
      <c r="Q21" s="1558" t="str">
        <f>B21</f>
        <v>办公集聚程度</v>
      </c>
      <c r="R21" s="1559" t="s">
        <v>8</v>
      </c>
      <c r="S21" s="1560">
        <f>F21</f>
        <v>100</v>
      </c>
      <c r="T21" s="1559" t="s">
        <v>8</v>
      </c>
      <c r="U21" s="1560">
        <f>H21</f>
        <v>100</v>
      </c>
      <c r="V21" s="1559" t="s">
        <v>8</v>
      </c>
      <c r="W21" s="1560">
        <f>J21</f>
        <v>100</v>
      </c>
      <c r="X21" s="1553"/>
      <c r="Y21" s="3389"/>
      <c r="Z21" s="1561" t="str">
        <f>Q21</f>
        <v>办公集聚程度</v>
      </c>
      <c r="AA21" s="1562">
        <f t="shared" si="3"/>
        <v>1</v>
      </c>
      <c r="AB21" s="1562">
        <f t="shared" si="4"/>
        <v>1</v>
      </c>
      <c r="AC21" s="1562">
        <f t="shared" si="5"/>
        <v>1</v>
      </c>
    </row>
    <row r="22" spans="1:29" ht="20.25">
      <c r="A22" s="531"/>
      <c r="B22" s="565"/>
      <c r="C22" s="553" t="s">
        <v>3250</v>
      </c>
      <c r="D22" s="556"/>
      <c r="E22" s="557" t="s">
        <v>3250</v>
      </c>
      <c r="F22" s="554"/>
      <c r="G22" s="555" t="s">
        <v>3250</v>
      </c>
      <c r="H22" s="554"/>
      <c r="I22" s="557" t="s">
        <v>3250</v>
      </c>
      <c r="J22" s="554"/>
      <c r="K22" s="530"/>
      <c r="L22" s="2127"/>
      <c r="M22" s="2117"/>
      <c r="N22" s="2117"/>
      <c r="O22" s="2126"/>
      <c r="P22" s="3389"/>
      <c r="Q22" s="1558"/>
      <c r="R22" s="1559"/>
      <c r="S22" s="1560"/>
      <c r="T22" s="1559"/>
      <c r="U22" s="1560"/>
      <c r="V22" s="1559"/>
      <c r="W22" s="1560"/>
      <c r="X22" s="1553"/>
      <c r="Y22" s="3389"/>
      <c r="Z22" s="1561"/>
      <c r="AA22" s="1562">
        <v>1</v>
      </c>
      <c r="AB22" s="1562">
        <v>1</v>
      </c>
      <c r="AC22" s="1562">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7"/>
      <c r="M23" s="2117"/>
      <c r="N23" s="2117"/>
      <c r="O23" s="2126"/>
      <c r="P23" s="3389"/>
      <c r="Q23" s="1558" t="str">
        <f>B23</f>
        <v>交通便捷度</v>
      </c>
      <c r="R23" s="1559" t="s">
        <v>8</v>
      </c>
      <c r="S23" s="1560">
        <f>F23</f>
        <v>100</v>
      </c>
      <c r="T23" s="1559" t="s">
        <v>8</v>
      </c>
      <c r="U23" s="1560">
        <f>H23</f>
        <v>100</v>
      </c>
      <c r="V23" s="1559" t="s">
        <v>8</v>
      </c>
      <c r="W23" s="1560">
        <f>J23</f>
        <v>100</v>
      </c>
      <c r="X23" s="1553"/>
      <c r="Y23" s="3389"/>
      <c r="Z23" s="1561" t="str">
        <f>Q23</f>
        <v>交通便捷度</v>
      </c>
      <c r="AA23" s="1562">
        <f t="shared" si="3"/>
        <v>1</v>
      </c>
      <c r="AB23" s="1562">
        <f t="shared" si="4"/>
        <v>1</v>
      </c>
      <c r="AC23" s="1562">
        <f t="shared" si="5"/>
        <v>1</v>
      </c>
    </row>
    <row r="24" spans="1:29" ht="20.25">
      <c r="A24" s="531"/>
      <c r="B24" s="577"/>
      <c r="C24" s="553" t="s">
        <v>3247</v>
      </c>
      <c r="D24" s="556"/>
      <c r="E24" s="557" t="s">
        <v>3247</v>
      </c>
      <c r="F24" s="554"/>
      <c r="G24" s="555" t="s">
        <v>3247</v>
      </c>
      <c r="H24" s="554"/>
      <c r="I24" s="557" t="s">
        <v>3247</v>
      </c>
      <c r="J24" s="554"/>
      <c r="K24" s="530"/>
      <c r="L24" s="2127"/>
      <c r="M24" s="2117"/>
      <c r="N24" s="2117"/>
      <c r="O24" s="2126"/>
      <c r="P24" s="3389"/>
      <c r="Q24" s="1558"/>
      <c r="R24" s="1559"/>
      <c r="S24" s="1560"/>
      <c r="T24" s="1559"/>
      <c r="U24" s="1560"/>
      <c r="V24" s="1559"/>
      <c r="W24" s="1560"/>
      <c r="X24" s="1553"/>
      <c r="Y24" s="3389"/>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7"/>
      <c r="M25" s="2117"/>
      <c r="N25" s="2117"/>
      <c r="O25" s="2126"/>
      <c r="P25" s="3389"/>
      <c r="Q25" s="1558" t="str">
        <f t="shared" ref="Q25:Q39" si="8">B25</f>
        <v>区域土地利用方向</v>
      </c>
      <c r="R25" s="1559" t="s">
        <v>8</v>
      </c>
      <c r="S25" s="1560">
        <f>F25</f>
        <v>100</v>
      </c>
      <c r="T25" s="1559" t="s">
        <v>8</v>
      </c>
      <c r="U25" s="1560">
        <f>H25</f>
        <v>100</v>
      </c>
      <c r="V25" s="1559" t="s">
        <v>8</v>
      </c>
      <c r="W25" s="1560">
        <f>J25</f>
        <v>100</v>
      </c>
      <c r="X25" s="1553"/>
      <c r="Y25" s="3389"/>
      <c r="Z25" s="1561" t="str">
        <f>Q25</f>
        <v>区域土地利用方向</v>
      </c>
      <c r="AA25" s="1562">
        <f t="shared" si="3"/>
        <v>1</v>
      </c>
      <c r="AB25" s="1562">
        <f t="shared" si="4"/>
        <v>1</v>
      </c>
      <c r="AC25" s="1562">
        <f t="shared" si="5"/>
        <v>1</v>
      </c>
    </row>
    <row r="26" spans="1:29" ht="20.25">
      <c r="A26" s="514"/>
      <c r="B26" s="1006"/>
      <c r="C26" s="553" t="s">
        <v>3248</v>
      </c>
      <c r="D26" s="556"/>
      <c r="E26" s="557" t="s">
        <v>3248</v>
      </c>
      <c r="F26" s="554"/>
      <c r="G26" s="555" t="s">
        <v>3248</v>
      </c>
      <c r="H26" s="554"/>
      <c r="I26" s="557" t="s">
        <v>3248</v>
      </c>
      <c r="J26" s="554"/>
      <c r="K26" s="530"/>
      <c r="L26" s="2127"/>
      <c r="M26" s="2117"/>
      <c r="N26" s="2117"/>
      <c r="O26" s="2126"/>
      <c r="P26" s="3389"/>
      <c r="Q26" s="1558"/>
      <c r="R26" s="1559"/>
      <c r="S26" s="1560"/>
      <c r="T26" s="1559"/>
      <c r="U26" s="1560"/>
      <c r="V26" s="1559"/>
      <c r="W26" s="1560"/>
      <c r="X26" s="1553"/>
      <c r="Y26" s="3389"/>
      <c r="Z26" s="1561"/>
      <c r="AA26" s="1562"/>
      <c r="AB26" s="1562"/>
      <c r="AC26" s="1562"/>
    </row>
    <row r="27" spans="1:29" ht="57">
      <c r="A27" s="514"/>
      <c r="B27" s="577" t="s">
        <v>545</v>
      </c>
      <c r="C27" s="560" t="str">
        <f>估价对象房地状况!C20</f>
        <v>区域自然环境：；人文环境；综合评价环境状况一般</v>
      </c>
      <c r="D27" s="562">
        <v>100</v>
      </c>
      <c r="E27" s="563"/>
      <c r="F27" s="558">
        <f>SUMIF(100:100,E28,101:101)-SUMIF(100:100,C28,101:101)+100</f>
        <v>106</v>
      </c>
      <c r="G27" s="561"/>
      <c r="H27" s="558">
        <f>SUMIF(100:100,G28,101:101)-SUMIF(100:100,C28,101:101)+100</f>
        <v>106</v>
      </c>
      <c r="I27" s="563"/>
      <c r="J27" s="558">
        <f>SUMIF(100:100,I28,101:101)-SUMIF(100:100,C28,101:101)+100</f>
        <v>106</v>
      </c>
      <c r="K27" s="534">
        <v>3</v>
      </c>
      <c r="L27" s="2127"/>
      <c r="M27" s="2117"/>
      <c r="N27" s="2117"/>
      <c r="O27" s="2126"/>
      <c r="P27" s="3389"/>
      <c r="Q27" s="1558" t="str">
        <f t="shared" si="8"/>
        <v>自然及人文环境状况</v>
      </c>
      <c r="R27" s="1559" t="s">
        <v>8</v>
      </c>
      <c r="S27" s="1560">
        <f>F27</f>
        <v>106</v>
      </c>
      <c r="T27" s="1559" t="s">
        <v>8</v>
      </c>
      <c r="U27" s="1560">
        <f>H27</f>
        <v>106</v>
      </c>
      <c r="V27" s="1559" t="s">
        <v>8</v>
      </c>
      <c r="W27" s="1560">
        <f>J27</f>
        <v>106</v>
      </c>
      <c r="X27" s="1553"/>
      <c r="Y27" s="3389"/>
      <c r="Z27" s="1561" t="str">
        <f>Q27</f>
        <v>自然及人文环境状况</v>
      </c>
      <c r="AA27" s="1562">
        <f t="shared" si="3"/>
        <v>0.94339622641509435</v>
      </c>
      <c r="AB27" s="1562">
        <f t="shared" si="4"/>
        <v>0.94339622641509435</v>
      </c>
      <c r="AC27" s="1562">
        <f t="shared" si="5"/>
        <v>0.94339622641509435</v>
      </c>
    </row>
    <row r="28" spans="1:29" ht="20.25">
      <c r="A28" s="514"/>
      <c r="B28" s="565"/>
      <c r="C28" s="553" t="s">
        <v>3247</v>
      </c>
      <c r="D28" s="556"/>
      <c r="E28" s="575" t="s">
        <v>3248</v>
      </c>
      <c r="F28" s="554"/>
      <c r="G28" s="553" t="s">
        <v>3248</v>
      </c>
      <c r="H28" s="554"/>
      <c r="I28" s="575" t="s">
        <v>3248</v>
      </c>
      <c r="J28" s="554"/>
      <c r="K28" s="530"/>
      <c r="L28" s="2127"/>
      <c r="M28" s="2117"/>
      <c r="N28" s="2117"/>
      <c r="O28" s="2126"/>
      <c r="P28" s="3389"/>
      <c r="Q28" s="1558"/>
      <c r="R28" s="1559"/>
      <c r="S28" s="1560"/>
      <c r="T28" s="1559"/>
      <c r="U28" s="1560"/>
      <c r="V28" s="1559"/>
      <c r="W28" s="1560"/>
      <c r="X28" s="1553"/>
      <c r="Y28" s="3389"/>
      <c r="Z28" s="1561"/>
      <c r="AA28" s="1562">
        <v>1</v>
      </c>
      <c r="AB28" s="1562">
        <v>1</v>
      </c>
      <c r="AC28" s="1562">
        <v>1</v>
      </c>
    </row>
    <row r="29" spans="1:29" s="1215" customFormat="1" ht="42.75">
      <c r="A29" s="576"/>
      <c r="B29" s="2555"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20"/>
      <c r="M29" s="2117"/>
      <c r="N29" s="2117"/>
      <c r="O29" s="2122"/>
      <c r="P29" s="3389"/>
      <c r="Q29" s="1146" t="str">
        <f t="shared" si="8"/>
        <v>公共配套设施</v>
      </c>
      <c r="R29" s="1554" t="s">
        <v>8</v>
      </c>
      <c r="S29" s="1555">
        <f>F29</f>
        <v>100</v>
      </c>
      <c r="T29" s="1554" t="s">
        <v>8</v>
      </c>
      <c r="U29" s="1555">
        <f>H29</f>
        <v>100</v>
      </c>
      <c r="V29" s="1554" t="s">
        <v>8</v>
      </c>
      <c r="W29" s="1555">
        <f>J29</f>
        <v>100</v>
      </c>
      <c r="X29" s="1556"/>
      <c r="Y29" s="3389"/>
      <c r="Z29" s="1145" t="str">
        <f>Q29</f>
        <v>公共配套设施</v>
      </c>
      <c r="AA29" s="1562">
        <f>D29/F29</f>
        <v>1</v>
      </c>
      <c r="AB29" s="1562">
        <f>D29/H29</f>
        <v>1</v>
      </c>
      <c r="AC29" s="1562">
        <f>D29/J29</f>
        <v>1</v>
      </c>
    </row>
    <row r="30" spans="1:29" s="1215" customFormat="1" ht="20.25">
      <c r="A30" s="576"/>
      <c r="B30" s="565"/>
      <c r="C30" s="578" t="s">
        <v>3250</v>
      </c>
      <c r="D30" s="556"/>
      <c r="E30" s="575" t="s">
        <v>3250</v>
      </c>
      <c r="F30" s="554"/>
      <c r="G30" s="553" t="s">
        <v>3250</v>
      </c>
      <c r="H30" s="554"/>
      <c r="I30" s="575" t="s">
        <v>3250</v>
      </c>
      <c r="J30" s="554"/>
      <c r="K30" s="530"/>
      <c r="L30" s="2120"/>
      <c r="M30" s="2117"/>
      <c r="N30" s="2117"/>
      <c r="O30" s="2122"/>
      <c r="P30" s="3389"/>
      <c r="Q30" s="1146"/>
      <c r="R30" s="1554"/>
      <c r="S30" s="1555"/>
      <c r="T30" s="1554"/>
      <c r="U30" s="1555"/>
      <c r="V30" s="1554"/>
      <c r="W30" s="1555"/>
      <c r="X30" s="1556"/>
      <c r="Y30" s="3389"/>
      <c r="Z30" s="1145"/>
      <c r="AA30" s="1562">
        <v>1</v>
      </c>
      <c r="AB30" s="1562">
        <v>1</v>
      </c>
      <c r="AC30" s="1562">
        <v>1</v>
      </c>
    </row>
    <row r="31" spans="1:29" s="1215" customFormat="1" ht="28.5">
      <c r="A31" s="576"/>
      <c r="B31" s="2555"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20"/>
      <c r="M31" s="2117"/>
      <c r="N31" s="2117"/>
      <c r="O31" s="2122"/>
      <c r="P31" s="3389"/>
      <c r="Q31" s="2542" t="str">
        <f t="shared" ref="Q31" si="9">B31</f>
        <v>基础设施水平</v>
      </c>
      <c r="R31" s="1554" t="s">
        <v>8</v>
      </c>
      <c r="S31" s="1555">
        <f>F31</f>
        <v>100</v>
      </c>
      <c r="T31" s="1554" t="s">
        <v>8</v>
      </c>
      <c r="U31" s="1555">
        <f>H31</f>
        <v>100</v>
      </c>
      <c r="V31" s="1554" t="s">
        <v>8</v>
      </c>
      <c r="W31" s="1555">
        <f>J31</f>
        <v>100</v>
      </c>
      <c r="X31" s="1556"/>
      <c r="Y31" s="3389"/>
      <c r="Z31" s="2539" t="str">
        <f>Q31</f>
        <v>基础设施水平</v>
      </c>
      <c r="AA31" s="1562">
        <f>D31/F31</f>
        <v>1</v>
      </c>
      <c r="AB31" s="1562">
        <f>D31/H31</f>
        <v>1</v>
      </c>
      <c r="AC31" s="1562">
        <f>D31/J31</f>
        <v>1</v>
      </c>
    </row>
    <row r="32" spans="1:29" s="1215" customFormat="1" ht="21" thickBot="1">
      <c r="A32" s="576"/>
      <c r="B32" s="565"/>
      <c r="C32" s="578" t="s">
        <v>3249</v>
      </c>
      <c r="D32" s="556"/>
      <c r="E32" s="2556" t="s">
        <v>3249</v>
      </c>
      <c r="F32" s="554"/>
      <c r="G32" s="578" t="s">
        <v>3249</v>
      </c>
      <c r="H32" s="554"/>
      <c r="I32" s="578" t="s">
        <v>3249</v>
      </c>
      <c r="J32" s="554"/>
      <c r="K32" s="530"/>
      <c r="L32" s="2120"/>
      <c r="M32" s="2117"/>
      <c r="N32" s="2117"/>
      <c r="O32" s="2122"/>
      <c r="P32" s="3389"/>
      <c r="Q32" s="2542"/>
      <c r="R32" s="1554"/>
      <c r="S32" s="1555"/>
      <c r="T32" s="1554"/>
      <c r="U32" s="1555"/>
      <c r="V32" s="1554"/>
      <c r="W32" s="1555"/>
      <c r="X32" s="1556"/>
      <c r="Y32" s="3389"/>
      <c r="Z32" s="2539"/>
      <c r="AA32" s="1562">
        <v>1</v>
      </c>
      <c r="AB32" s="1562">
        <v>1</v>
      </c>
      <c r="AC32" s="1562">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38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9"/>
      <c r="Z33" s="1561" t="str">
        <f t="shared" ref="Z33:Z47" si="13">Q33</f>
        <v>临街状况</v>
      </c>
      <c r="AA33" s="1562">
        <f t="shared" si="3"/>
        <v>1</v>
      </c>
      <c r="AB33" s="1562">
        <f t="shared" si="4"/>
        <v>1</v>
      </c>
      <c r="AC33" s="1562">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389"/>
      <c r="Q34" s="1558" t="str">
        <f t="shared" si="8"/>
        <v>毗邻道路的类型与等级</v>
      </c>
      <c r="R34" s="1559" t="s">
        <v>8</v>
      </c>
      <c r="S34" s="1560">
        <f t="shared" si="10"/>
        <v>100</v>
      </c>
      <c r="T34" s="1559" t="s">
        <v>8</v>
      </c>
      <c r="U34" s="1560">
        <f t="shared" si="11"/>
        <v>100</v>
      </c>
      <c r="V34" s="1559" t="s">
        <v>8</v>
      </c>
      <c r="W34" s="1560">
        <f t="shared" si="12"/>
        <v>100</v>
      </c>
      <c r="X34" s="1553"/>
      <c r="Y34" s="3389"/>
      <c r="Z34" s="1561" t="str">
        <f t="shared" si="13"/>
        <v>毗邻道路的类型与等级</v>
      </c>
      <c r="AA34" s="1562">
        <f t="shared" si="3"/>
        <v>1</v>
      </c>
      <c r="AB34" s="1562">
        <f t="shared" si="4"/>
        <v>1</v>
      </c>
      <c r="AC34" s="1562">
        <f t="shared" si="5"/>
        <v>1</v>
      </c>
    </row>
    <row r="35" spans="1:29" ht="20.25" hidden="1">
      <c r="A35" s="531"/>
      <c r="B35" s="565"/>
      <c r="C35" s="553"/>
      <c r="D35" s="556"/>
      <c r="E35" s="575"/>
      <c r="F35" s="554"/>
      <c r="G35" s="553"/>
      <c r="H35" s="554"/>
      <c r="I35" s="575"/>
      <c r="J35" s="554"/>
      <c r="K35" s="580"/>
      <c r="L35" s="2127"/>
      <c r="M35" s="2117"/>
      <c r="N35" s="2117"/>
      <c r="O35" s="2126"/>
      <c r="P35" s="3389"/>
      <c r="Q35" s="1558"/>
      <c r="R35" s="1559"/>
      <c r="S35" s="1560"/>
      <c r="T35" s="1559"/>
      <c r="U35" s="1560"/>
      <c r="V35" s="1559"/>
      <c r="W35" s="1560"/>
      <c r="X35" s="1553"/>
      <c r="Y35" s="3389"/>
      <c r="Z35" s="1561"/>
      <c r="AA35" s="1562">
        <v>1</v>
      </c>
      <c r="AB35" s="1562">
        <v>1</v>
      </c>
      <c r="AC35" s="1562">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389"/>
      <c r="Q36" s="1558" t="str">
        <f t="shared" si="8"/>
        <v>土地级别</v>
      </c>
      <c r="R36" s="1559" t="s">
        <v>8</v>
      </c>
      <c r="S36" s="1560">
        <f t="shared" si="10"/>
        <v>100</v>
      </c>
      <c r="T36" s="1559" t="s">
        <v>8</v>
      </c>
      <c r="U36" s="1560">
        <f t="shared" si="11"/>
        <v>100</v>
      </c>
      <c r="V36" s="1559" t="s">
        <v>8</v>
      </c>
      <c r="W36" s="1560">
        <f t="shared" si="12"/>
        <v>100</v>
      </c>
      <c r="X36" s="1553"/>
      <c r="Y36" s="3389"/>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89"/>
      <c r="Q37" s="1558">
        <f t="shared" si="8"/>
        <v>111</v>
      </c>
      <c r="R37" s="1559" t="s">
        <v>8</v>
      </c>
      <c r="S37" s="1560">
        <f t="shared" si="10"/>
        <v>100</v>
      </c>
      <c r="T37" s="1559" t="s">
        <v>8</v>
      </c>
      <c r="U37" s="1560">
        <f t="shared" si="11"/>
        <v>100</v>
      </c>
      <c r="V37" s="1559" t="s">
        <v>8</v>
      </c>
      <c r="W37" s="1560">
        <f t="shared" si="12"/>
        <v>100</v>
      </c>
      <c r="X37" s="1553"/>
      <c r="Y37" s="3389"/>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90" t="s">
        <v>550</v>
      </c>
      <c r="Q38" s="1558">
        <f t="shared" si="8"/>
        <v>111</v>
      </c>
      <c r="R38" s="1559" t="s">
        <v>8</v>
      </c>
      <c r="S38" s="1560">
        <f t="shared" si="10"/>
        <v>100</v>
      </c>
      <c r="T38" s="1559" t="s">
        <v>8</v>
      </c>
      <c r="U38" s="1560">
        <f t="shared" si="11"/>
        <v>100</v>
      </c>
      <c r="V38" s="1559" t="s">
        <v>8</v>
      </c>
      <c r="W38" s="1560">
        <f t="shared" si="12"/>
        <v>100</v>
      </c>
      <c r="X38" s="1553"/>
      <c r="Y38" s="3391" t="s">
        <v>550</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391"/>
      <c r="Q39" s="1558">
        <f t="shared" si="8"/>
        <v>111</v>
      </c>
      <c r="R39" s="1563" t="s">
        <v>8</v>
      </c>
      <c r="S39" s="1564">
        <f t="shared" si="10"/>
        <v>100</v>
      </c>
      <c r="T39" s="1563" t="s">
        <v>8</v>
      </c>
      <c r="U39" s="1564">
        <f t="shared" si="11"/>
        <v>100</v>
      </c>
      <c r="V39" s="1563" t="s">
        <v>8</v>
      </c>
      <c r="W39" s="1564">
        <f t="shared" si="12"/>
        <v>100</v>
      </c>
      <c r="X39" s="1565"/>
      <c r="Y39" s="3391"/>
      <c r="Z39" s="1566">
        <f t="shared" si="13"/>
        <v>111</v>
      </c>
      <c r="AA39" s="1562">
        <f t="shared" si="3"/>
        <v>1</v>
      </c>
      <c r="AB39" s="1562">
        <f t="shared" si="4"/>
        <v>1</v>
      </c>
      <c r="AC39" s="1562">
        <f t="shared" si="5"/>
        <v>1</v>
      </c>
    </row>
    <row r="40" spans="1:29" ht="20.25">
      <c r="A40" s="2862" t="s">
        <v>2754</v>
      </c>
      <c r="B40" s="594" t="s">
        <v>552</v>
      </c>
      <c r="C40" s="595">
        <f>'数据-基础表'!A3</f>
        <v>61815.58</v>
      </c>
      <c r="D40" s="596">
        <v>100</v>
      </c>
      <c r="E40" s="595">
        <f>土地案例!D3</f>
        <v>48932.34</v>
      </c>
      <c r="F40" s="596">
        <f>LOOKUP(E40,119:119,120:120)-LOOKUP(C40,119:119,120:120)+100</f>
        <v>100</v>
      </c>
      <c r="G40" s="595">
        <f>土地案例!D6</f>
        <v>23862.66</v>
      </c>
      <c r="H40" s="596">
        <f>LOOKUP(G40,119:119,120:120)-LOOKUP(C40,119:119,120:120)+100</f>
        <v>100</v>
      </c>
      <c r="I40" s="597">
        <f>土地案例!D8</f>
        <v>35572.15</v>
      </c>
      <c r="J40" s="596">
        <f>LOOKUP(I40,119:119,120:120)-LOOKUP(C40,119:119,120:120)+100</f>
        <v>100</v>
      </c>
      <c r="K40" s="580"/>
      <c r="L40" s="2127"/>
      <c r="M40" s="2117"/>
      <c r="N40" s="2117"/>
      <c r="O40" s="2126"/>
      <c r="P40" s="3391"/>
      <c r="Q40" s="1558" t="str">
        <f>B40</f>
        <v>宗地面积</v>
      </c>
      <c r="R40" s="1559" t="s">
        <v>8</v>
      </c>
      <c r="S40" s="1560">
        <f t="shared" si="10"/>
        <v>100</v>
      </c>
      <c r="T40" s="1559" t="s">
        <v>8</v>
      </c>
      <c r="U40" s="1560">
        <f t="shared" si="11"/>
        <v>100</v>
      </c>
      <c r="V40" s="1559" t="s">
        <v>8</v>
      </c>
      <c r="W40" s="1560">
        <f t="shared" si="12"/>
        <v>100</v>
      </c>
      <c r="X40" s="1553"/>
      <c r="Y40" s="3391"/>
      <c r="Z40" s="1561" t="str">
        <f t="shared" si="13"/>
        <v>宗地面积</v>
      </c>
      <c r="AA40" s="1562">
        <f t="shared" si="3"/>
        <v>1</v>
      </c>
      <c r="AB40" s="1562">
        <f t="shared" si="4"/>
        <v>1</v>
      </c>
      <c r="AC40" s="1562">
        <f t="shared" si="5"/>
        <v>1</v>
      </c>
    </row>
    <row r="41" spans="1:29" ht="20.25">
      <c r="A41" s="593"/>
      <c r="B41" s="526" t="s">
        <v>553</v>
      </c>
      <c r="C41" s="598" t="s">
        <v>3251</v>
      </c>
      <c r="D41" s="539">
        <v>100</v>
      </c>
      <c r="E41" s="598" t="s">
        <v>3251</v>
      </c>
      <c r="F41" s="539">
        <f>SUMIF(121:121,E41,122:122)-SUMIF(121:121,C41,122:122)+100</f>
        <v>100</v>
      </c>
      <c r="G41" s="598" t="s">
        <v>3251</v>
      </c>
      <c r="H41" s="539">
        <f>SUMIF(121:121,G41,122:122)-SUMIF(121:121,C41,122:122)+100</f>
        <v>100</v>
      </c>
      <c r="I41" s="598" t="s">
        <v>3251</v>
      </c>
      <c r="J41" s="539">
        <f>SUMIF(121:121,I41,122:122)-SUMIF(121:121,C41,122:122)+100</f>
        <v>100</v>
      </c>
      <c r="K41" s="583"/>
      <c r="L41" s="2127"/>
      <c r="M41" s="2117"/>
      <c r="N41" s="2117"/>
      <c r="O41" s="2126"/>
      <c r="P41" s="3391"/>
      <c r="Q41" s="1558" t="str">
        <f t="shared" ref="Q41:Q47" si="14">B41</f>
        <v>宗地形状</v>
      </c>
      <c r="R41" s="1559" t="s">
        <v>8</v>
      </c>
      <c r="S41" s="1560">
        <f t="shared" si="10"/>
        <v>100</v>
      </c>
      <c r="T41" s="1559" t="s">
        <v>8</v>
      </c>
      <c r="U41" s="1560">
        <f t="shared" si="11"/>
        <v>100</v>
      </c>
      <c r="V41" s="1559" t="s">
        <v>8</v>
      </c>
      <c r="W41" s="1560">
        <f t="shared" si="12"/>
        <v>100</v>
      </c>
      <c r="X41" s="1553"/>
      <c r="Y41" s="3391"/>
      <c r="Z41" s="1561" t="str">
        <f t="shared" si="13"/>
        <v>宗地形状</v>
      </c>
      <c r="AA41" s="1562">
        <f t="shared" si="3"/>
        <v>1</v>
      </c>
      <c r="AB41" s="1562">
        <f t="shared" si="4"/>
        <v>1</v>
      </c>
      <c r="AC41" s="1562">
        <f t="shared" si="5"/>
        <v>1</v>
      </c>
    </row>
    <row r="42" spans="1:29" ht="20.25">
      <c r="A42" s="593"/>
      <c r="B42" s="526" t="s">
        <v>554</v>
      </c>
      <c r="C42" s="598" t="s">
        <v>3253</v>
      </c>
      <c r="D42" s="539">
        <v>100</v>
      </c>
      <c r="E42" s="598" t="s">
        <v>3253</v>
      </c>
      <c r="F42" s="539">
        <f>SUMIF(123:123,E42,124:124)-SUMIF(123:123,C42,124:124)+100</f>
        <v>100</v>
      </c>
      <c r="G42" s="598" t="s">
        <v>3253</v>
      </c>
      <c r="H42" s="539">
        <f>SUMIF(123:123,G42,124:124)-SUMIF(123:123,C42,124:124)+100</f>
        <v>100</v>
      </c>
      <c r="I42" s="598" t="s">
        <v>3253</v>
      </c>
      <c r="J42" s="539">
        <f>SUMIF(123:123,I42,124:124)-SUMIF(123:123,C42,124:124)+100</f>
        <v>100</v>
      </c>
      <c r="K42" s="583"/>
      <c r="L42" s="2127"/>
      <c r="M42" s="2117"/>
      <c r="N42" s="2117"/>
      <c r="O42" s="2126"/>
      <c r="P42" s="3391"/>
      <c r="Q42" s="1558" t="str">
        <f t="shared" si="14"/>
        <v>临街宽度及深度</v>
      </c>
      <c r="R42" s="1559" t="s">
        <v>8</v>
      </c>
      <c r="S42" s="1560">
        <f t="shared" si="10"/>
        <v>100</v>
      </c>
      <c r="T42" s="1559" t="s">
        <v>8</v>
      </c>
      <c r="U42" s="1560">
        <f t="shared" si="11"/>
        <v>100</v>
      </c>
      <c r="V42" s="1559" t="s">
        <v>8</v>
      </c>
      <c r="W42" s="1560">
        <f t="shared" si="12"/>
        <v>100</v>
      </c>
      <c r="X42" s="1553"/>
      <c r="Y42" s="3391"/>
      <c r="Z42" s="1561" t="str">
        <f t="shared" si="13"/>
        <v>临街宽度及深度</v>
      </c>
      <c r="AA42" s="1562">
        <f t="shared" si="3"/>
        <v>1</v>
      </c>
      <c r="AB42" s="1562">
        <f t="shared" si="4"/>
        <v>1</v>
      </c>
      <c r="AC42" s="1562">
        <f t="shared" si="5"/>
        <v>1</v>
      </c>
    </row>
    <row r="43" spans="1:29" s="1215" customFormat="1" ht="21" thickBot="1">
      <c r="A43" s="599"/>
      <c r="B43" s="1880" t="s">
        <v>2423</v>
      </c>
      <c r="C43" s="600" t="s">
        <v>3255</v>
      </c>
      <c r="D43" s="254">
        <v>100</v>
      </c>
      <c r="E43" s="600" t="s">
        <v>3255</v>
      </c>
      <c r="F43" s="539">
        <f>SUMIF(125:125,E43,126:126)-SUMIF(125:125,C43,126:126)+100</f>
        <v>100</v>
      </c>
      <c r="G43" s="600" t="s">
        <v>3255</v>
      </c>
      <c r="H43" s="539">
        <f>SUMIF(125:125,G43,126:126)-SUMIF(125:125,C43,126:126)+100</f>
        <v>100</v>
      </c>
      <c r="I43" s="600" t="s">
        <v>3255</v>
      </c>
      <c r="J43" s="539">
        <f>SUMIF(125:125,I43,126:126)-SUMIF(125:125,C43,126:126)+100</f>
        <v>100</v>
      </c>
      <c r="K43" s="583"/>
      <c r="L43" s="2120"/>
      <c r="M43" s="2117"/>
      <c r="N43" s="2117"/>
      <c r="O43" s="2122"/>
      <c r="P43" s="3391"/>
      <c r="Q43" s="1558" t="str">
        <f t="shared" si="14"/>
        <v>宗地开发程度</v>
      </c>
      <c r="R43" s="1554" t="s">
        <v>8</v>
      </c>
      <c r="S43" s="1555">
        <f t="shared" si="10"/>
        <v>100</v>
      </c>
      <c r="T43" s="1554" t="s">
        <v>8</v>
      </c>
      <c r="U43" s="1555">
        <f t="shared" si="11"/>
        <v>100</v>
      </c>
      <c r="V43" s="1554" t="s">
        <v>8</v>
      </c>
      <c r="W43" s="1555">
        <f t="shared" si="12"/>
        <v>100</v>
      </c>
      <c r="X43" s="1556"/>
      <c r="Y43" s="3391"/>
      <c r="Z43" s="1145" t="str">
        <f t="shared" si="13"/>
        <v>宗地开发程度</v>
      </c>
      <c r="AA43" s="1557">
        <f t="shared" si="3"/>
        <v>1</v>
      </c>
      <c r="AB43" s="1557">
        <f t="shared" si="4"/>
        <v>1</v>
      </c>
      <c r="AC43" s="1557">
        <f t="shared" si="5"/>
        <v>1</v>
      </c>
    </row>
    <row r="44" spans="1:29" ht="21" hidden="1" thickBot="1">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7"/>
      <c r="M44" s="2117"/>
      <c r="N44" s="2117"/>
      <c r="O44" s="2126"/>
      <c r="P44" s="3391" t="s">
        <v>550</v>
      </c>
      <c r="Q44" s="1558" t="str">
        <f t="shared" si="14"/>
        <v>工程地质条件</v>
      </c>
      <c r="R44" s="1559" t="s">
        <v>8</v>
      </c>
      <c r="S44" s="1560">
        <f t="shared" si="10"/>
        <v>100</v>
      </c>
      <c r="T44" s="1559" t="s">
        <v>8</v>
      </c>
      <c r="U44" s="1560">
        <f t="shared" si="11"/>
        <v>100</v>
      </c>
      <c r="V44" s="1559" t="s">
        <v>8</v>
      </c>
      <c r="W44" s="1560">
        <f t="shared" si="12"/>
        <v>100</v>
      </c>
      <c r="X44" s="1553"/>
      <c r="Y44" s="3391" t="s">
        <v>550</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91"/>
      <c r="Q45" s="1558">
        <f t="shared" si="14"/>
        <v>111</v>
      </c>
      <c r="R45" s="1559" t="s">
        <v>8</v>
      </c>
      <c r="S45" s="1560">
        <f t="shared" si="10"/>
        <v>100</v>
      </c>
      <c r="T45" s="1559" t="s">
        <v>8</v>
      </c>
      <c r="U45" s="1560">
        <f t="shared" si="11"/>
        <v>100</v>
      </c>
      <c r="V45" s="1559" t="s">
        <v>8</v>
      </c>
      <c r="W45" s="1560">
        <f t="shared" si="12"/>
        <v>100</v>
      </c>
      <c r="X45" s="1553"/>
      <c r="Y45" s="3391"/>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91"/>
      <c r="Q46" s="1558">
        <f t="shared" si="14"/>
        <v>111</v>
      </c>
      <c r="R46" s="1559" t="s">
        <v>8</v>
      </c>
      <c r="S46" s="1560">
        <f t="shared" si="10"/>
        <v>100</v>
      </c>
      <c r="T46" s="1559" t="s">
        <v>8</v>
      </c>
      <c r="U46" s="1560">
        <f t="shared" si="11"/>
        <v>100</v>
      </c>
      <c r="V46" s="1559" t="s">
        <v>8</v>
      </c>
      <c r="W46" s="1560">
        <f t="shared" si="12"/>
        <v>100</v>
      </c>
      <c r="X46" s="1553"/>
      <c r="Y46" s="3391"/>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91"/>
      <c r="Q47" s="1558">
        <f t="shared" si="14"/>
        <v>111</v>
      </c>
      <c r="R47" s="1563" t="s">
        <v>8</v>
      </c>
      <c r="S47" s="1564">
        <f t="shared" si="10"/>
        <v>100</v>
      </c>
      <c r="T47" s="1563" t="s">
        <v>8</v>
      </c>
      <c r="U47" s="1564">
        <f t="shared" si="11"/>
        <v>100</v>
      </c>
      <c r="V47" s="1563" t="s">
        <v>8</v>
      </c>
      <c r="W47" s="1564">
        <f t="shared" si="12"/>
        <v>100</v>
      </c>
      <c r="X47" s="1565"/>
      <c r="Y47" s="3391"/>
      <c r="Z47" s="1566">
        <f t="shared" si="13"/>
        <v>111</v>
      </c>
      <c r="AA47" s="1562">
        <f t="shared" si="3"/>
        <v>1</v>
      </c>
      <c r="AB47" s="1562">
        <f t="shared" si="4"/>
        <v>1</v>
      </c>
      <c r="AC47" s="1562">
        <f t="shared" si="5"/>
        <v>1</v>
      </c>
    </row>
    <row r="48" spans="1:29" ht="20.25">
      <c r="A48" s="606" t="s">
        <v>556</v>
      </c>
      <c r="B48" s="3193" t="s">
        <v>3262</v>
      </c>
      <c r="C48" s="608" t="s">
        <v>1</v>
      </c>
      <c r="D48" s="609"/>
      <c r="E48" s="610">
        <v>780</v>
      </c>
      <c r="F48" s="611"/>
      <c r="G48" s="612">
        <v>780</v>
      </c>
      <c r="H48" s="613"/>
      <c r="I48" s="610">
        <v>780</v>
      </c>
      <c r="J48" s="613"/>
      <c r="K48" s="1335"/>
      <c r="L48" s="2129"/>
      <c r="M48" s="2117"/>
      <c r="N48" s="2117"/>
      <c r="O48" s="2130"/>
      <c r="P48" s="3386" t="str">
        <f>A48</f>
        <v>成交单价</v>
      </c>
      <c r="Q48" s="3386"/>
      <c r="R48" s="3400">
        <f>E48</f>
        <v>780</v>
      </c>
      <c r="S48" s="3400"/>
      <c r="T48" s="3400">
        <f>G48</f>
        <v>780</v>
      </c>
      <c r="U48" s="3400"/>
      <c r="V48" s="3400">
        <f>I48</f>
        <v>780</v>
      </c>
      <c r="W48" s="3400"/>
      <c r="X48" s="1545"/>
      <c r="Y48" s="1567"/>
      <c r="Z48" s="1545"/>
      <c r="AA48" s="1545"/>
      <c r="AB48" s="1545"/>
      <c r="AC48" s="1545"/>
    </row>
    <row r="49" spans="1:29" ht="21" thickBot="1">
      <c r="A49" s="614" t="s">
        <v>2692</v>
      </c>
      <c r="B49" s="615"/>
      <c r="C49" s="616">
        <f>R50</f>
        <v>721</v>
      </c>
      <c r="D49" s="617"/>
      <c r="E49" s="616">
        <f>R49</f>
        <v>721</v>
      </c>
      <c r="F49" s="618"/>
      <c r="G49" s="619">
        <f>T49</f>
        <v>721</v>
      </c>
      <c r="H49" s="617"/>
      <c r="I49" s="616">
        <f>V49</f>
        <v>721</v>
      </c>
      <c r="J49" s="617"/>
      <c r="K49" s="1336"/>
      <c r="L49" s="2129"/>
      <c r="M49" s="2117"/>
      <c r="N49" s="2117"/>
      <c r="O49" s="2130"/>
      <c r="P49" s="3386" t="str">
        <f>A49</f>
        <v>比较价格（元/平方米）</v>
      </c>
      <c r="Q49" s="3386"/>
      <c r="R49" s="3410">
        <f>ROUND(PRODUCT(R48,AA9:AA47),0)</f>
        <v>721</v>
      </c>
      <c r="S49" s="3410"/>
      <c r="T49" s="3410">
        <f>ROUND(PRODUCT(T48,AB9:AB47),0)</f>
        <v>721</v>
      </c>
      <c r="U49" s="3410"/>
      <c r="V49" s="3410">
        <f>ROUND(PRODUCT(V48,AC9:AC47),0)</f>
        <v>721</v>
      </c>
      <c r="W49" s="3410"/>
      <c r="X49" s="1545"/>
      <c r="Y49" s="1545"/>
      <c r="Z49" s="1545"/>
      <c r="AA49" s="1545"/>
      <c r="AB49" s="1545"/>
      <c r="AC49" s="1545"/>
    </row>
    <row r="50" spans="1:29" ht="21" thickBot="1">
      <c r="A50" s="620" t="s">
        <v>2936</v>
      </c>
      <c r="B50" s="621"/>
      <c r="C50" s="622">
        <f>R50</f>
        <v>721</v>
      </c>
      <c r="D50" s="622"/>
      <c r="E50" s="622"/>
      <c r="F50" s="622"/>
      <c r="G50" s="622"/>
      <c r="H50" s="622"/>
      <c r="I50" s="622"/>
      <c r="J50" s="622"/>
      <c r="K50" s="1337"/>
      <c r="L50" s="2129"/>
      <c r="M50" s="2117"/>
      <c r="N50" s="2117"/>
      <c r="O50" s="2130"/>
      <c r="P50" s="3407" t="str">
        <f>A50</f>
        <v>估价对象XX用房的比较价格（楼面单价，元/平方米）</v>
      </c>
      <c r="Q50" s="3408"/>
      <c r="R50" s="3409">
        <f>ROUND(AVERAGE(R49:V49),0)</f>
        <v>721</v>
      </c>
      <c r="S50" s="3409"/>
      <c r="T50" s="3409"/>
      <c r="U50" s="3409"/>
      <c r="V50" s="3409"/>
      <c r="W50" s="3409"/>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f>IF(E48&lt;E49,E49/E48-1,E48/E49-1)</f>
        <v>8.183079056865461E-2</v>
      </c>
      <c r="F53" s="626" t="str">
        <f>IF(OR(E53&gt;=0.3,E53&lt;=-0.3),"超过30%","")</f>
        <v/>
      </c>
      <c r="G53" s="625">
        <f>IF(G48&lt;G49,G49/G48-1,G48/G49-1)</f>
        <v>8.183079056865461E-2</v>
      </c>
      <c r="H53" s="626" t="str">
        <f>IF(OR(G53&gt;=0.3,G53&lt;=-0.3),"超过30%","")</f>
        <v/>
      </c>
      <c r="I53" s="625">
        <f>IF(I48&lt;I49,I49/I48-1,I48/I49-1)</f>
        <v>8.183079056865461E-2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f>IF(E49&lt;G49,G49/E49-1,E49/G49-1)</f>
        <v>0</v>
      </c>
      <c r="F54" s="626" t="str">
        <f>IF(OR(E54&gt;=0.2,E54&lt;=-0.2),"超过20%","")</f>
        <v/>
      </c>
      <c r="G54" s="625">
        <f>IF(G49&lt;I49,I49/G49-1,G49/I49-1)</f>
        <v>0</v>
      </c>
      <c r="H54" s="626" t="str">
        <f>IF(OR(G54&gt;=0.2,G54&lt;=-0.2),"超过20%","")</f>
        <v/>
      </c>
      <c r="I54" s="625">
        <f>IF(I49&lt;E49,E49/I49-1,I49/E49-1)</f>
        <v>0</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f>IF(E48&lt;G48,G48/E48-1,E48/G48-1)</f>
        <v>0</v>
      </c>
      <c r="F55" s="626" t="str">
        <f>IF(OR(E55&gt;=0.3,E55&lt;=-0.3),"超过30%","")</f>
        <v/>
      </c>
      <c r="G55" s="625">
        <f>IF(G48&lt;I48,I48/G48-1,G48/I48-1)</f>
        <v>0</v>
      </c>
      <c r="H55" s="626" t="str">
        <f>IF(OR(G55&gt;=0.3,G55&lt;=-0.3),"超过30%","")</f>
        <v/>
      </c>
      <c r="I55" s="625">
        <f>IF(I48&lt;E48,E48/I48-1,I48/E48-1)</f>
        <v>0</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560</v>
      </c>
      <c r="B57" s="629" t="s">
        <v>561</v>
      </c>
      <c r="C57" s="1546" t="s">
        <v>1723</v>
      </c>
      <c r="D57" s="2212" t="s">
        <v>2292</v>
      </c>
      <c r="E57" s="630" t="s">
        <v>562</v>
      </c>
      <c r="F57" s="631" t="s">
        <v>563</v>
      </c>
      <c r="G57" s="3370" t="s">
        <v>2280</v>
      </c>
      <c r="H57" s="3371"/>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564</v>
      </c>
      <c r="B58" s="633">
        <f>C50</f>
        <v>721</v>
      </c>
      <c r="C58" s="634">
        <v>1</v>
      </c>
      <c r="D58" s="2213">
        <v>1</v>
      </c>
      <c r="E58" s="634">
        <f>'数据-汇总表'!E8+'数据-汇总表'!E9</f>
        <v>92723.37</v>
      </c>
      <c r="F58" s="635">
        <f t="shared" ref="F58:F67" si="15">ROUND(B58*E58/10000,0)</f>
        <v>6685</v>
      </c>
      <c r="G58" s="3372"/>
      <c r="H58" s="337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565</v>
      </c>
      <c r="B59" s="637">
        <f>ROUND($C$50*C59*D59,0)</f>
        <v>0</v>
      </c>
      <c r="C59" s="377">
        <f t="shared" ref="C59:C67" si="16">IF($C$57="北京市系数",I59,J59)</f>
        <v>0</v>
      </c>
      <c r="D59" s="2214">
        <v>0.25</v>
      </c>
      <c r="E59" s="638">
        <v>0</v>
      </c>
      <c r="F59" s="635">
        <f t="shared" si="15"/>
        <v>0</v>
      </c>
      <c r="G59" s="3374"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566</v>
      </c>
      <c r="B60" s="637">
        <f t="shared" ref="B60:B67" si="17">ROUND($C$50*C60*D60,0)</f>
        <v>0</v>
      </c>
      <c r="C60" s="377">
        <f t="shared" si="16"/>
        <v>0</v>
      </c>
      <c r="D60" s="2214">
        <v>0.25</v>
      </c>
      <c r="E60" s="638">
        <v>0</v>
      </c>
      <c r="F60" s="635">
        <f t="shared" si="15"/>
        <v>0</v>
      </c>
      <c r="G60" s="337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567</v>
      </c>
      <c r="B61" s="637">
        <f t="shared" si="17"/>
        <v>0</v>
      </c>
      <c r="C61" s="377">
        <f t="shared" si="16"/>
        <v>0</v>
      </c>
      <c r="D61" s="2214">
        <v>0.25</v>
      </c>
      <c r="E61" s="638">
        <v>0</v>
      </c>
      <c r="F61" s="635">
        <f t="shared" si="15"/>
        <v>0</v>
      </c>
      <c r="G61" s="337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568</v>
      </c>
      <c r="B62" s="637">
        <f t="shared" si="17"/>
        <v>0</v>
      </c>
      <c r="C62" s="377">
        <f t="shared" si="16"/>
        <v>0</v>
      </c>
      <c r="D62" s="2214">
        <v>0.25</v>
      </c>
      <c r="E62" s="638">
        <v>0</v>
      </c>
      <c r="F62" s="635">
        <f t="shared" si="15"/>
        <v>0</v>
      </c>
      <c r="G62" s="337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7">
        <f t="shared" si="17"/>
        <v>0</v>
      </c>
      <c r="C63" s="377">
        <f t="shared" si="16"/>
        <v>0</v>
      </c>
      <c r="D63" s="2214">
        <v>0.25</v>
      </c>
      <c r="E63" s="640">
        <f>'数据-汇总表'!E11</f>
        <v>0</v>
      </c>
      <c r="F63" s="635">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569</v>
      </c>
      <c r="B64" s="637">
        <f t="shared" si="17"/>
        <v>0</v>
      </c>
      <c r="C64" s="377">
        <f t="shared" si="16"/>
        <v>0</v>
      </c>
      <c r="D64" s="2214">
        <v>0.25</v>
      </c>
      <c r="E64" s="640">
        <f>'数据-汇总表'!E12</f>
        <v>0</v>
      </c>
      <c r="F64" s="635">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570</v>
      </c>
      <c r="B65" s="637">
        <f t="shared" si="17"/>
        <v>0</v>
      </c>
      <c r="C65" s="377">
        <f t="shared" si="16"/>
        <v>0</v>
      </c>
      <c r="D65" s="2214">
        <v>0.25</v>
      </c>
      <c r="E65" s="640">
        <f>'数据-汇总表'!E13</f>
        <v>0</v>
      </c>
      <c r="F65" s="635">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571</v>
      </c>
      <c r="B66" s="637">
        <f t="shared" si="17"/>
        <v>0</v>
      </c>
      <c r="C66" s="377">
        <f t="shared" si="16"/>
        <v>0</v>
      </c>
      <c r="D66" s="2214">
        <v>0.25</v>
      </c>
      <c r="E66" s="640">
        <f>'数据-汇总表'!E14</f>
        <v>0</v>
      </c>
      <c r="F66" s="635">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572</v>
      </c>
      <c r="B67" s="637">
        <f t="shared" si="17"/>
        <v>0</v>
      </c>
      <c r="C67" s="377">
        <f t="shared" si="16"/>
        <v>0</v>
      </c>
      <c r="D67" s="2214">
        <v>0.25</v>
      </c>
      <c r="E67" s="640">
        <f>'数据-汇总表'!E15</f>
        <v>0</v>
      </c>
      <c r="F67" s="635">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573</v>
      </c>
      <c r="B68" s="642" t="s">
        <v>17</v>
      </c>
      <c r="C68" s="642" t="s">
        <v>18</v>
      </c>
      <c r="D68" s="642" t="s">
        <v>2293</v>
      </c>
      <c r="E68" s="642">
        <f>IF(B48="楼面地价",SUM(E58:E67),'数据-汇总表'!D3)</f>
        <v>92723.37</v>
      </c>
      <c r="F68" s="643">
        <f>IF(B48="楼面地价",SUM(F58:F67),ROUND(C50*E68/10000,0))</f>
        <v>6685</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2019-9-1</v>
      </c>
      <c r="D70" s="2754">
        <f>EDATE(C70,-3)</f>
        <v>43617</v>
      </c>
      <c r="E70" s="2754">
        <f t="shared" ref="E70:N70" si="18">EDATE(D70,-3)</f>
        <v>43525</v>
      </c>
      <c r="F70" s="2754">
        <f t="shared" si="18"/>
        <v>43435</v>
      </c>
      <c r="G70" s="2754">
        <f t="shared" si="18"/>
        <v>43344</v>
      </c>
      <c r="H70" s="2754">
        <f t="shared" si="18"/>
        <v>43252</v>
      </c>
      <c r="I70" s="2754">
        <f t="shared" si="18"/>
        <v>43160</v>
      </c>
      <c r="J70" s="2754">
        <f t="shared" si="18"/>
        <v>43070</v>
      </c>
      <c r="K70" s="2754">
        <f t="shared" si="18"/>
        <v>42979</v>
      </c>
      <c r="L70" s="2754">
        <f t="shared" si="18"/>
        <v>42887</v>
      </c>
      <c r="M70" s="2754">
        <f t="shared" si="18"/>
        <v>42795</v>
      </c>
      <c r="N70" s="2754">
        <f t="shared" si="18"/>
        <v>42705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8" t="str">
        <f>"北京市平均增长率"&amp;TEXT(SUMIF(基准地价!N21:N25,A73,基准地价!P21:P25),"0.00%")</f>
        <v>北京市平均增长率2.04%</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531</v>
      </c>
      <c r="B75" s="647"/>
      <c r="C75" s="659" t="s">
        <v>576</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577</v>
      </c>
      <c r="B77" s="664" t="s">
        <v>534</v>
      </c>
      <c r="C77" s="597"/>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537</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538</v>
      </c>
      <c r="C81" s="681" t="str">
        <f>C82&amp;"（含）"&amp;"-"&amp;D82</f>
        <v>1（含）-2</v>
      </c>
      <c r="D81" s="681" t="str">
        <f t="shared" ref="D81:L81" si="21">D82&amp;"（含）"&amp;"-"&amp;E82</f>
        <v>2（含）-3</v>
      </c>
      <c r="E81" s="681" t="str">
        <f t="shared" si="21"/>
        <v>3（含）-4</v>
      </c>
      <c r="F81" s="681" t="str">
        <f t="shared" si="21"/>
        <v>4（含）-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1</v>
      </c>
      <c r="D82" s="540">
        <v>2</v>
      </c>
      <c r="E82" s="540">
        <v>3</v>
      </c>
      <c r="F82" s="540">
        <v>4</v>
      </c>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539</v>
      </c>
      <c r="B90" s="664" t="s">
        <v>578</v>
      </c>
      <c r="C90" s="702" t="s">
        <v>579</v>
      </c>
      <c r="D90" s="702" t="s">
        <v>580</v>
      </c>
      <c r="E90" s="702" t="s">
        <v>581</v>
      </c>
      <c r="F90" s="702" t="s">
        <v>582</v>
      </c>
      <c r="G90" s="702" t="s">
        <v>583</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584</v>
      </c>
      <c r="C92" s="707" t="s">
        <v>579</v>
      </c>
      <c r="D92" s="707" t="s">
        <v>580</v>
      </c>
      <c r="E92" s="707" t="s">
        <v>581</v>
      </c>
      <c r="F92" s="707" t="s">
        <v>582</v>
      </c>
      <c r="G92" s="707" t="s">
        <v>583</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98</v>
      </c>
      <c r="E93" s="678">
        <f>D93-$K19</f>
        <v>96</v>
      </c>
      <c r="F93" s="678">
        <f>E93-$K19</f>
        <v>94</v>
      </c>
      <c r="G93" s="678">
        <f>F93-$K19</f>
        <v>92</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585</v>
      </c>
      <c r="C94" s="707" t="s">
        <v>579</v>
      </c>
      <c r="D94" s="707" t="s">
        <v>580</v>
      </c>
      <c r="E94" s="707" t="s">
        <v>581</v>
      </c>
      <c r="F94" s="707" t="s">
        <v>582</v>
      </c>
      <c r="G94" s="707" t="s">
        <v>583</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97</v>
      </c>
      <c r="E95" s="678">
        <f>D95-$K21</f>
        <v>94</v>
      </c>
      <c r="F95" s="678">
        <f>E95-$K21</f>
        <v>91</v>
      </c>
      <c r="G95" s="678">
        <f>F95-$K21</f>
        <v>88</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586</v>
      </c>
      <c r="C96" s="707" t="s">
        <v>579</v>
      </c>
      <c r="D96" s="707" t="s">
        <v>580</v>
      </c>
      <c r="E96" s="707" t="s">
        <v>581</v>
      </c>
      <c r="F96" s="707" t="s">
        <v>582</v>
      </c>
      <c r="G96" s="707" t="s">
        <v>583</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98</v>
      </c>
      <c r="E97" s="678">
        <f>D97-$K23</f>
        <v>96</v>
      </c>
      <c r="F97" s="678">
        <f>E97-$K23</f>
        <v>94</v>
      </c>
      <c r="G97" s="678">
        <f>F97-$K23</f>
        <v>92</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2547</v>
      </c>
      <c r="C102" s="702" t="s">
        <v>579</v>
      </c>
      <c r="D102" s="702" t="s">
        <v>580</v>
      </c>
      <c r="E102" s="702" t="s">
        <v>581</v>
      </c>
      <c r="F102" s="702" t="s">
        <v>582</v>
      </c>
      <c r="G102" s="702" t="s">
        <v>583</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2549</v>
      </c>
      <c r="C104" s="2562" t="s">
        <v>2550</v>
      </c>
      <c r="D104" s="2562" t="s">
        <v>2551</v>
      </c>
      <c r="E104" s="2562" t="s">
        <v>2552</v>
      </c>
      <c r="F104" s="2562" t="s">
        <v>2553</v>
      </c>
      <c r="G104" s="2562" t="s">
        <v>2554</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548</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549</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551</v>
      </c>
      <c r="B118" s="664" t="s">
        <v>593</v>
      </c>
      <c r="C118" s="703" t="str">
        <f t="shared" ref="C118:L118" si="26">C119&amp;"(含)"&amp;"-"&amp;D119</f>
        <v>0(含)-100000</v>
      </c>
      <c r="D118" s="703" t="str">
        <f t="shared" si="26"/>
        <v>100000(含)-500000</v>
      </c>
      <c r="E118" s="703" t="str">
        <f t="shared" si="26"/>
        <v>500000(含)-</v>
      </c>
      <c r="F118" s="703" t="str">
        <f t="shared" si="26"/>
        <v>(含)-</v>
      </c>
      <c r="G118" s="703" t="str">
        <f t="shared" si="26"/>
        <v>(含)-</v>
      </c>
      <c r="H118" s="703" t="str">
        <f t="shared" si="26"/>
        <v>(含)-</v>
      </c>
      <c r="I118" s="703" t="str">
        <f t="shared" si="26"/>
        <v>(含)-</v>
      </c>
      <c r="J118" s="3044" t="str">
        <f t="shared" si="26"/>
        <v>(含)-</v>
      </c>
      <c r="K118" s="3044" t="str">
        <f t="shared" si="26"/>
        <v>(含)-</v>
      </c>
      <c r="L118" s="3045" t="str">
        <f t="shared" si="26"/>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100000</v>
      </c>
      <c r="E119" s="729">
        <v>500000</v>
      </c>
      <c r="F119" s="729"/>
      <c r="G119" s="729"/>
      <c r="H119" s="729"/>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102</v>
      </c>
      <c r="E120" s="725">
        <v>104</v>
      </c>
      <c r="F120" s="725"/>
      <c r="G120" s="725"/>
      <c r="H120" s="725"/>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594</v>
      </c>
      <c r="C121" s="3185" t="s">
        <v>3252</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595</v>
      </c>
      <c r="C123" s="3184" t="s">
        <v>3254</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2424</v>
      </c>
      <c r="C125" s="1371" t="s">
        <v>3256</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9">D126-$K43</f>
        <v>100</v>
      </c>
      <c r="F126" s="678">
        <f t="shared" si="29"/>
        <v>100</v>
      </c>
      <c r="G126" s="678">
        <f t="shared" si="29"/>
        <v>100</v>
      </c>
      <c r="H126" s="678">
        <f t="shared" si="29"/>
        <v>100</v>
      </c>
      <c r="I126" s="678">
        <f t="shared" si="29"/>
        <v>100</v>
      </c>
      <c r="J126" s="678">
        <f t="shared" si="29"/>
        <v>100</v>
      </c>
      <c r="K126" s="678">
        <f t="shared" si="29"/>
        <v>100</v>
      </c>
      <c r="L126" s="678">
        <f t="shared" si="29"/>
        <v>100</v>
      </c>
      <c r="M126" s="679">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596</v>
      </c>
      <c r="C127" s="687"/>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workbookViewId="0">
      <selection activeCell="A12" sqref="A12"/>
    </sheetView>
  </sheetViews>
  <sheetFormatPr defaultRowHeight="13.5"/>
  <cols>
    <col min="1" max="1" width="45.875" style="2894" customWidth="1"/>
    <col min="2" max="2" width="6.25" style="2894" customWidth="1"/>
    <col min="3" max="3" width="11.75" style="2894" customWidth="1"/>
    <col min="4" max="5" width="13.875" style="2894" customWidth="1"/>
    <col min="6" max="6" width="17.875" style="2894" customWidth="1"/>
    <col min="7" max="7" width="7.875" style="2894" customWidth="1"/>
    <col min="8" max="8" width="18.75" style="2894" customWidth="1"/>
    <col min="9" max="10" width="10.625" style="2894" customWidth="1"/>
    <col min="11" max="11" width="14.375" style="2894" customWidth="1"/>
    <col min="12" max="12" width="6.25" style="2894" customWidth="1"/>
    <col min="13" max="13" width="39.25" style="2894" customWidth="1"/>
    <col min="14" max="14" width="7.875" style="2894" customWidth="1"/>
    <col min="15" max="256" width="9" style="2894"/>
    <col min="257" max="257" width="45.875" style="2894" customWidth="1"/>
    <col min="258" max="258" width="6.25" style="2894" customWidth="1"/>
    <col min="259" max="259" width="11.75" style="2894" customWidth="1"/>
    <col min="260" max="261" width="13.875" style="2894" customWidth="1"/>
    <col min="262" max="262" width="17.87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39.25" style="2894" customWidth="1"/>
    <col min="270" max="270" width="7.875" style="2894" customWidth="1"/>
    <col min="271" max="512" width="9" style="2894"/>
    <col min="513" max="513" width="45.875" style="2894" customWidth="1"/>
    <col min="514" max="514" width="6.25" style="2894" customWidth="1"/>
    <col min="515" max="515" width="11.75" style="2894" customWidth="1"/>
    <col min="516" max="517" width="13.875" style="2894" customWidth="1"/>
    <col min="518" max="518" width="17.87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39.25" style="2894" customWidth="1"/>
    <col min="526" max="526" width="7.875" style="2894" customWidth="1"/>
    <col min="527" max="768" width="9" style="2894"/>
    <col min="769" max="769" width="45.875" style="2894" customWidth="1"/>
    <col min="770" max="770" width="6.25" style="2894" customWidth="1"/>
    <col min="771" max="771" width="11.75" style="2894" customWidth="1"/>
    <col min="772" max="773" width="13.875" style="2894" customWidth="1"/>
    <col min="774" max="774" width="17.87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39.25" style="2894" customWidth="1"/>
    <col min="782" max="782" width="7.875" style="2894" customWidth="1"/>
    <col min="783" max="1024" width="9" style="2894"/>
    <col min="1025" max="1025" width="45.875" style="2894" customWidth="1"/>
    <col min="1026" max="1026" width="6.25" style="2894" customWidth="1"/>
    <col min="1027" max="1027" width="11.75" style="2894" customWidth="1"/>
    <col min="1028" max="1029" width="13.875" style="2894" customWidth="1"/>
    <col min="1030" max="1030" width="17.87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39.25" style="2894" customWidth="1"/>
    <col min="1038" max="1038" width="7.875" style="2894" customWidth="1"/>
    <col min="1039" max="1280" width="9" style="2894"/>
    <col min="1281" max="1281" width="45.875" style="2894" customWidth="1"/>
    <col min="1282" max="1282" width="6.25" style="2894" customWidth="1"/>
    <col min="1283" max="1283" width="11.75" style="2894" customWidth="1"/>
    <col min="1284" max="1285" width="13.875" style="2894" customWidth="1"/>
    <col min="1286" max="1286" width="17.87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39.25" style="2894" customWidth="1"/>
    <col min="1294" max="1294" width="7.875" style="2894" customWidth="1"/>
    <col min="1295" max="1536" width="9" style="2894"/>
    <col min="1537" max="1537" width="45.875" style="2894" customWidth="1"/>
    <col min="1538" max="1538" width="6.25" style="2894" customWidth="1"/>
    <col min="1539" max="1539" width="11.75" style="2894" customWidth="1"/>
    <col min="1540" max="1541" width="13.875" style="2894" customWidth="1"/>
    <col min="1542" max="1542" width="17.87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39.25" style="2894" customWidth="1"/>
    <col min="1550" max="1550" width="7.875" style="2894" customWidth="1"/>
    <col min="1551" max="1792" width="9" style="2894"/>
    <col min="1793" max="1793" width="45.875" style="2894" customWidth="1"/>
    <col min="1794" max="1794" width="6.25" style="2894" customWidth="1"/>
    <col min="1795" max="1795" width="11.75" style="2894" customWidth="1"/>
    <col min="1796" max="1797" width="13.875" style="2894" customWidth="1"/>
    <col min="1798" max="1798" width="17.87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39.25" style="2894" customWidth="1"/>
    <col min="1806" max="1806" width="7.875" style="2894" customWidth="1"/>
    <col min="1807" max="2048" width="9" style="2894"/>
    <col min="2049" max="2049" width="45.875" style="2894" customWidth="1"/>
    <col min="2050" max="2050" width="6.25" style="2894" customWidth="1"/>
    <col min="2051" max="2051" width="11.75" style="2894" customWidth="1"/>
    <col min="2052" max="2053" width="13.875" style="2894" customWidth="1"/>
    <col min="2054" max="2054" width="17.87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39.25" style="2894" customWidth="1"/>
    <col min="2062" max="2062" width="7.875" style="2894" customWidth="1"/>
    <col min="2063" max="2304" width="9" style="2894"/>
    <col min="2305" max="2305" width="45.875" style="2894" customWidth="1"/>
    <col min="2306" max="2306" width="6.25" style="2894" customWidth="1"/>
    <col min="2307" max="2307" width="11.75" style="2894" customWidth="1"/>
    <col min="2308" max="2309" width="13.875" style="2894" customWidth="1"/>
    <col min="2310" max="2310" width="17.87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39.25" style="2894" customWidth="1"/>
    <col min="2318" max="2318" width="7.875" style="2894" customWidth="1"/>
    <col min="2319" max="2560" width="9" style="2894"/>
    <col min="2561" max="2561" width="45.875" style="2894" customWidth="1"/>
    <col min="2562" max="2562" width="6.25" style="2894" customWidth="1"/>
    <col min="2563" max="2563" width="11.75" style="2894" customWidth="1"/>
    <col min="2564" max="2565" width="13.875" style="2894" customWidth="1"/>
    <col min="2566" max="2566" width="17.87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39.25" style="2894" customWidth="1"/>
    <col min="2574" max="2574" width="7.875" style="2894" customWidth="1"/>
    <col min="2575" max="2816" width="9" style="2894"/>
    <col min="2817" max="2817" width="45.875" style="2894" customWidth="1"/>
    <col min="2818" max="2818" width="6.25" style="2894" customWidth="1"/>
    <col min="2819" max="2819" width="11.75" style="2894" customWidth="1"/>
    <col min="2820" max="2821" width="13.875" style="2894" customWidth="1"/>
    <col min="2822" max="2822" width="17.87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39.25" style="2894" customWidth="1"/>
    <col min="2830" max="2830" width="7.875" style="2894" customWidth="1"/>
    <col min="2831" max="3072" width="9" style="2894"/>
    <col min="3073" max="3073" width="45.875" style="2894" customWidth="1"/>
    <col min="3074" max="3074" width="6.25" style="2894" customWidth="1"/>
    <col min="3075" max="3075" width="11.75" style="2894" customWidth="1"/>
    <col min="3076" max="3077" width="13.875" style="2894" customWidth="1"/>
    <col min="3078" max="3078" width="17.87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39.25" style="2894" customWidth="1"/>
    <col min="3086" max="3086" width="7.875" style="2894" customWidth="1"/>
    <col min="3087" max="3328" width="9" style="2894"/>
    <col min="3329" max="3329" width="45.875" style="2894" customWidth="1"/>
    <col min="3330" max="3330" width="6.25" style="2894" customWidth="1"/>
    <col min="3331" max="3331" width="11.75" style="2894" customWidth="1"/>
    <col min="3332" max="3333" width="13.875" style="2894" customWidth="1"/>
    <col min="3334" max="3334" width="17.87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39.25" style="2894" customWidth="1"/>
    <col min="3342" max="3342" width="7.875" style="2894" customWidth="1"/>
    <col min="3343" max="3584" width="9" style="2894"/>
    <col min="3585" max="3585" width="45.875" style="2894" customWidth="1"/>
    <col min="3586" max="3586" width="6.25" style="2894" customWidth="1"/>
    <col min="3587" max="3587" width="11.75" style="2894" customWidth="1"/>
    <col min="3588" max="3589" width="13.875" style="2894" customWidth="1"/>
    <col min="3590" max="3590" width="17.87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39.25" style="2894" customWidth="1"/>
    <col min="3598" max="3598" width="7.875" style="2894" customWidth="1"/>
    <col min="3599" max="3840" width="9" style="2894"/>
    <col min="3841" max="3841" width="45.875" style="2894" customWidth="1"/>
    <col min="3842" max="3842" width="6.25" style="2894" customWidth="1"/>
    <col min="3843" max="3843" width="11.75" style="2894" customWidth="1"/>
    <col min="3844" max="3845" width="13.875" style="2894" customWidth="1"/>
    <col min="3846" max="3846" width="17.87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39.25" style="2894" customWidth="1"/>
    <col min="3854" max="3854" width="7.875" style="2894" customWidth="1"/>
    <col min="3855" max="4096" width="9" style="2894"/>
    <col min="4097" max="4097" width="45.875" style="2894" customWidth="1"/>
    <col min="4098" max="4098" width="6.25" style="2894" customWidth="1"/>
    <col min="4099" max="4099" width="11.75" style="2894" customWidth="1"/>
    <col min="4100" max="4101" width="13.875" style="2894" customWidth="1"/>
    <col min="4102" max="4102" width="17.87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39.25" style="2894" customWidth="1"/>
    <col min="4110" max="4110" width="7.875" style="2894" customWidth="1"/>
    <col min="4111" max="4352" width="9" style="2894"/>
    <col min="4353" max="4353" width="45.875" style="2894" customWidth="1"/>
    <col min="4354" max="4354" width="6.25" style="2894" customWidth="1"/>
    <col min="4355" max="4355" width="11.75" style="2894" customWidth="1"/>
    <col min="4356" max="4357" width="13.875" style="2894" customWidth="1"/>
    <col min="4358" max="4358" width="17.87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39.25" style="2894" customWidth="1"/>
    <col min="4366" max="4366" width="7.875" style="2894" customWidth="1"/>
    <col min="4367" max="4608" width="9" style="2894"/>
    <col min="4609" max="4609" width="45.875" style="2894" customWidth="1"/>
    <col min="4610" max="4610" width="6.25" style="2894" customWidth="1"/>
    <col min="4611" max="4611" width="11.75" style="2894" customWidth="1"/>
    <col min="4612" max="4613" width="13.875" style="2894" customWidth="1"/>
    <col min="4614" max="4614" width="17.87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39.25" style="2894" customWidth="1"/>
    <col min="4622" max="4622" width="7.875" style="2894" customWidth="1"/>
    <col min="4623" max="4864" width="9" style="2894"/>
    <col min="4865" max="4865" width="45.875" style="2894" customWidth="1"/>
    <col min="4866" max="4866" width="6.25" style="2894" customWidth="1"/>
    <col min="4867" max="4867" width="11.75" style="2894" customWidth="1"/>
    <col min="4868" max="4869" width="13.875" style="2894" customWidth="1"/>
    <col min="4870" max="4870" width="17.87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39.25" style="2894" customWidth="1"/>
    <col min="4878" max="4878" width="7.875" style="2894" customWidth="1"/>
    <col min="4879" max="5120" width="9" style="2894"/>
    <col min="5121" max="5121" width="45.875" style="2894" customWidth="1"/>
    <col min="5122" max="5122" width="6.25" style="2894" customWidth="1"/>
    <col min="5123" max="5123" width="11.75" style="2894" customWidth="1"/>
    <col min="5124" max="5125" width="13.875" style="2894" customWidth="1"/>
    <col min="5126" max="5126" width="17.87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39.25" style="2894" customWidth="1"/>
    <col min="5134" max="5134" width="7.875" style="2894" customWidth="1"/>
    <col min="5135" max="5376" width="9" style="2894"/>
    <col min="5377" max="5377" width="45.875" style="2894" customWidth="1"/>
    <col min="5378" max="5378" width="6.25" style="2894" customWidth="1"/>
    <col min="5379" max="5379" width="11.75" style="2894" customWidth="1"/>
    <col min="5380" max="5381" width="13.875" style="2894" customWidth="1"/>
    <col min="5382" max="5382" width="17.87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39.25" style="2894" customWidth="1"/>
    <col min="5390" max="5390" width="7.875" style="2894" customWidth="1"/>
    <col min="5391" max="5632" width="9" style="2894"/>
    <col min="5633" max="5633" width="45.875" style="2894" customWidth="1"/>
    <col min="5634" max="5634" width="6.25" style="2894" customWidth="1"/>
    <col min="5635" max="5635" width="11.75" style="2894" customWidth="1"/>
    <col min="5636" max="5637" width="13.875" style="2894" customWidth="1"/>
    <col min="5638" max="5638" width="17.87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39.25" style="2894" customWidth="1"/>
    <col min="5646" max="5646" width="7.875" style="2894" customWidth="1"/>
    <col min="5647" max="5888" width="9" style="2894"/>
    <col min="5889" max="5889" width="45.875" style="2894" customWidth="1"/>
    <col min="5890" max="5890" width="6.25" style="2894" customWidth="1"/>
    <col min="5891" max="5891" width="11.75" style="2894" customWidth="1"/>
    <col min="5892" max="5893" width="13.875" style="2894" customWidth="1"/>
    <col min="5894" max="5894" width="17.87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39.25" style="2894" customWidth="1"/>
    <col min="5902" max="5902" width="7.875" style="2894" customWidth="1"/>
    <col min="5903" max="6144" width="9" style="2894"/>
    <col min="6145" max="6145" width="45.875" style="2894" customWidth="1"/>
    <col min="6146" max="6146" width="6.25" style="2894" customWidth="1"/>
    <col min="6147" max="6147" width="11.75" style="2894" customWidth="1"/>
    <col min="6148" max="6149" width="13.875" style="2894" customWidth="1"/>
    <col min="6150" max="6150" width="17.87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39.25" style="2894" customWidth="1"/>
    <col min="6158" max="6158" width="7.875" style="2894" customWidth="1"/>
    <col min="6159" max="6400" width="9" style="2894"/>
    <col min="6401" max="6401" width="45.875" style="2894" customWidth="1"/>
    <col min="6402" max="6402" width="6.25" style="2894" customWidth="1"/>
    <col min="6403" max="6403" width="11.75" style="2894" customWidth="1"/>
    <col min="6404" max="6405" width="13.875" style="2894" customWidth="1"/>
    <col min="6406" max="6406" width="17.87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39.25" style="2894" customWidth="1"/>
    <col min="6414" max="6414" width="7.875" style="2894" customWidth="1"/>
    <col min="6415" max="6656" width="9" style="2894"/>
    <col min="6657" max="6657" width="45.875" style="2894" customWidth="1"/>
    <col min="6658" max="6658" width="6.25" style="2894" customWidth="1"/>
    <col min="6659" max="6659" width="11.75" style="2894" customWidth="1"/>
    <col min="6660" max="6661" width="13.875" style="2894" customWidth="1"/>
    <col min="6662" max="6662" width="17.87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39.25" style="2894" customWidth="1"/>
    <col min="6670" max="6670" width="7.875" style="2894" customWidth="1"/>
    <col min="6671" max="6912" width="9" style="2894"/>
    <col min="6913" max="6913" width="45.875" style="2894" customWidth="1"/>
    <col min="6914" max="6914" width="6.25" style="2894" customWidth="1"/>
    <col min="6915" max="6915" width="11.75" style="2894" customWidth="1"/>
    <col min="6916" max="6917" width="13.875" style="2894" customWidth="1"/>
    <col min="6918" max="6918" width="17.87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39.25" style="2894" customWidth="1"/>
    <col min="6926" max="6926" width="7.875" style="2894" customWidth="1"/>
    <col min="6927" max="7168" width="9" style="2894"/>
    <col min="7169" max="7169" width="45.875" style="2894" customWidth="1"/>
    <col min="7170" max="7170" width="6.25" style="2894" customWidth="1"/>
    <col min="7171" max="7171" width="11.75" style="2894" customWidth="1"/>
    <col min="7172" max="7173" width="13.875" style="2894" customWidth="1"/>
    <col min="7174" max="7174" width="17.87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39.25" style="2894" customWidth="1"/>
    <col min="7182" max="7182" width="7.875" style="2894" customWidth="1"/>
    <col min="7183" max="7424" width="9" style="2894"/>
    <col min="7425" max="7425" width="45.875" style="2894" customWidth="1"/>
    <col min="7426" max="7426" width="6.25" style="2894" customWidth="1"/>
    <col min="7427" max="7427" width="11.75" style="2894" customWidth="1"/>
    <col min="7428" max="7429" width="13.875" style="2894" customWidth="1"/>
    <col min="7430" max="7430" width="17.87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39.25" style="2894" customWidth="1"/>
    <col min="7438" max="7438" width="7.875" style="2894" customWidth="1"/>
    <col min="7439" max="7680" width="9" style="2894"/>
    <col min="7681" max="7681" width="45.875" style="2894" customWidth="1"/>
    <col min="7682" max="7682" width="6.25" style="2894" customWidth="1"/>
    <col min="7683" max="7683" width="11.75" style="2894" customWidth="1"/>
    <col min="7684" max="7685" width="13.875" style="2894" customWidth="1"/>
    <col min="7686" max="7686" width="17.87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39.25" style="2894" customWidth="1"/>
    <col min="7694" max="7694" width="7.875" style="2894" customWidth="1"/>
    <col min="7695" max="7936" width="9" style="2894"/>
    <col min="7937" max="7937" width="45.875" style="2894" customWidth="1"/>
    <col min="7938" max="7938" width="6.25" style="2894" customWidth="1"/>
    <col min="7939" max="7939" width="11.75" style="2894" customWidth="1"/>
    <col min="7940" max="7941" width="13.875" style="2894" customWidth="1"/>
    <col min="7942" max="7942" width="17.87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39.25" style="2894" customWidth="1"/>
    <col min="7950" max="7950" width="7.875" style="2894" customWidth="1"/>
    <col min="7951" max="8192" width="9" style="2894"/>
    <col min="8193" max="8193" width="45.875" style="2894" customWidth="1"/>
    <col min="8194" max="8194" width="6.25" style="2894" customWidth="1"/>
    <col min="8195" max="8195" width="11.75" style="2894" customWidth="1"/>
    <col min="8196" max="8197" width="13.875" style="2894" customWidth="1"/>
    <col min="8198" max="8198" width="17.87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39.25" style="2894" customWidth="1"/>
    <col min="8206" max="8206" width="7.875" style="2894" customWidth="1"/>
    <col min="8207" max="8448" width="9" style="2894"/>
    <col min="8449" max="8449" width="45.875" style="2894" customWidth="1"/>
    <col min="8450" max="8450" width="6.25" style="2894" customWidth="1"/>
    <col min="8451" max="8451" width="11.75" style="2894" customWidth="1"/>
    <col min="8452" max="8453" width="13.875" style="2894" customWidth="1"/>
    <col min="8454" max="8454" width="17.87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39.25" style="2894" customWidth="1"/>
    <col min="8462" max="8462" width="7.875" style="2894" customWidth="1"/>
    <col min="8463" max="8704" width="9" style="2894"/>
    <col min="8705" max="8705" width="45.875" style="2894" customWidth="1"/>
    <col min="8706" max="8706" width="6.25" style="2894" customWidth="1"/>
    <col min="8707" max="8707" width="11.75" style="2894" customWidth="1"/>
    <col min="8708" max="8709" width="13.875" style="2894" customWidth="1"/>
    <col min="8710" max="8710" width="17.87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39.25" style="2894" customWidth="1"/>
    <col min="8718" max="8718" width="7.875" style="2894" customWidth="1"/>
    <col min="8719" max="8960" width="9" style="2894"/>
    <col min="8961" max="8961" width="45.875" style="2894" customWidth="1"/>
    <col min="8962" max="8962" width="6.25" style="2894" customWidth="1"/>
    <col min="8963" max="8963" width="11.75" style="2894" customWidth="1"/>
    <col min="8964" max="8965" width="13.875" style="2894" customWidth="1"/>
    <col min="8966" max="8966" width="17.87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39.25" style="2894" customWidth="1"/>
    <col min="8974" max="8974" width="7.875" style="2894" customWidth="1"/>
    <col min="8975" max="9216" width="9" style="2894"/>
    <col min="9217" max="9217" width="45.875" style="2894" customWidth="1"/>
    <col min="9218" max="9218" width="6.25" style="2894" customWidth="1"/>
    <col min="9219" max="9219" width="11.75" style="2894" customWidth="1"/>
    <col min="9220" max="9221" width="13.875" style="2894" customWidth="1"/>
    <col min="9222" max="9222" width="17.87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39.25" style="2894" customWidth="1"/>
    <col min="9230" max="9230" width="7.875" style="2894" customWidth="1"/>
    <col min="9231" max="9472" width="9" style="2894"/>
    <col min="9473" max="9473" width="45.875" style="2894" customWidth="1"/>
    <col min="9474" max="9474" width="6.25" style="2894" customWidth="1"/>
    <col min="9475" max="9475" width="11.75" style="2894" customWidth="1"/>
    <col min="9476" max="9477" width="13.875" style="2894" customWidth="1"/>
    <col min="9478" max="9478" width="17.87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39.25" style="2894" customWidth="1"/>
    <col min="9486" max="9486" width="7.875" style="2894" customWidth="1"/>
    <col min="9487" max="9728" width="9" style="2894"/>
    <col min="9729" max="9729" width="45.875" style="2894" customWidth="1"/>
    <col min="9730" max="9730" width="6.25" style="2894" customWidth="1"/>
    <col min="9731" max="9731" width="11.75" style="2894" customWidth="1"/>
    <col min="9732" max="9733" width="13.875" style="2894" customWidth="1"/>
    <col min="9734" max="9734" width="17.87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39.25" style="2894" customWidth="1"/>
    <col min="9742" max="9742" width="7.875" style="2894" customWidth="1"/>
    <col min="9743" max="9984" width="9" style="2894"/>
    <col min="9985" max="9985" width="45.875" style="2894" customWidth="1"/>
    <col min="9986" max="9986" width="6.25" style="2894" customWidth="1"/>
    <col min="9987" max="9987" width="11.75" style="2894" customWidth="1"/>
    <col min="9988" max="9989" width="13.875" style="2894" customWidth="1"/>
    <col min="9990" max="9990" width="17.87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39.25" style="2894" customWidth="1"/>
    <col min="9998" max="9998" width="7.875" style="2894" customWidth="1"/>
    <col min="9999" max="10240" width="9" style="2894"/>
    <col min="10241" max="10241" width="45.875" style="2894" customWidth="1"/>
    <col min="10242" max="10242" width="6.25" style="2894" customWidth="1"/>
    <col min="10243" max="10243" width="11.75" style="2894" customWidth="1"/>
    <col min="10244" max="10245" width="13.875" style="2894" customWidth="1"/>
    <col min="10246" max="10246" width="17.87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39.25" style="2894" customWidth="1"/>
    <col min="10254" max="10254" width="7.875" style="2894" customWidth="1"/>
    <col min="10255" max="10496" width="9" style="2894"/>
    <col min="10497" max="10497" width="45.875" style="2894" customWidth="1"/>
    <col min="10498" max="10498" width="6.25" style="2894" customWidth="1"/>
    <col min="10499" max="10499" width="11.75" style="2894" customWidth="1"/>
    <col min="10500" max="10501" width="13.875" style="2894" customWidth="1"/>
    <col min="10502" max="10502" width="17.87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39.25" style="2894" customWidth="1"/>
    <col min="10510" max="10510" width="7.875" style="2894" customWidth="1"/>
    <col min="10511" max="10752" width="9" style="2894"/>
    <col min="10753" max="10753" width="45.875" style="2894" customWidth="1"/>
    <col min="10754" max="10754" width="6.25" style="2894" customWidth="1"/>
    <col min="10755" max="10755" width="11.75" style="2894" customWidth="1"/>
    <col min="10756" max="10757" width="13.875" style="2894" customWidth="1"/>
    <col min="10758" max="10758" width="17.87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39.25" style="2894" customWidth="1"/>
    <col min="10766" max="10766" width="7.875" style="2894" customWidth="1"/>
    <col min="10767" max="11008" width="9" style="2894"/>
    <col min="11009" max="11009" width="45.875" style="2894" customWidth="1"/>
    <col min="11010" max="11010" width="6.25" style="2894" customWidth="1"/>
    <col min="11011" max="11011" width="11.75" style="2894" customWidth="1"/>
    <col min="11012" max="11013" width="13.875" style="2894" customWidth="1"/>
    <col min="11014" max="11014" width="17.87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39.25" style="2894" customWidth="1"/>
    <col min="11022" max="11022" width="7.875" style="2894" customWidth="1"/>
    <col min="11023" max="11264" width="9" style="2894"/>
    <col min="11265" max="11265" width="45.875" style="2894" customWidth="1"/>
    <col min="11266" max="11266" width="6.25" style="2894" customWidth="1"/>
    <col min="11267" max="11267" width="11.75" style="2894" customWidth="1"/>
    <col min="11268" max="11269" width="13.875" style="2894" customWidth="1"/>
    <col min="11270" max="11270" width="17.87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39.25" style="2894" customWidth="1"/>
    <col min="11278" max="11278" width="7.875" style="2894" customWidth="1"/>
    <col min="11279" max="11520" width="9" style="2894"/>
    <col min="11521" max="11521" width="45.875" style="2894" customWidth="1"/>
    <col min="11522" max="11522" width="6.25" style="2894" customWidth="1"/>
    <col min="11523" max="11523" width="11.75" style="2894" customWidth="1"/>
    <col min="11524" max="11525" width="13.875" style="2894" customWidth="1"/>
    <col min="11526" max="11526" width="17.87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39.25" style="2894" customWidth="1"/>
    <col min="11534" max="11534" width="7.875" style="2894" customWidth="1"/>
    <col min="11535" max="11776" width="9" style="2894"/>
    <col min="11777" max="11777" width="45.875" style="2894" customWidth="1"/>
    <col min="11778" max="11778" width="6.25" style="2894" customWidth="1"/>
    <col min="11779" max="11779" width="11.75" style="2894" customWidth="1"/>
    <col min="11780" max="11781" width="13.875" style="2894" customWidth="1"/>
    <col min="11782" max="11782" width="17.87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39.25" style="2894" customWidth="1"/>
    <col min="11790" max="11790" width="7.875" style="2894" customWidth="1"/>
    <col min="11791" max="12032" width="9" style="2894"/>
    <col min="12033" max="12033" width="45.875" style="2894" customWidth="1"/>
    <col min="12034" max="12034" width="6.25" style="2894" customWidth="1"/>
    <col min="12035" max="12035" width="11.75" style="2894" customWidth="1"/>
    <col min="12036" max="12037" width="13.875" style="2894" customWidth="1"/>
    <col min="12038" max="12038" width="17.87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39.25" style="2894" customWidth="1"/>
    <col min="12046" max="12046" width="7.875" style="2894" customWidth="1"/>
    <col min="12047" max="12288" width="9" style="2894"/>
    <col min="12289" max="12289" width="45.875" style="2894" customWidth="1"/>
    <col min="12290" max="12290" width="6.25" style="2894" customWidth="1"/>
    <col min="12291" max="12291" width="11.75" style="2894" customWidth="1"/>
    <col min="12292" max="12293" width="13.875" style="2894" customWidth="1"/>
    <col min="12294" max="12294" width="17.87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39.25" style="2894" customWidth="1"/>
    <col min="12302" max="12302" width="7.875" style="2894" customWidth="1"/>
    <col min="12303" max="12544" width="9" style="2894"/>
    <col min="12545" max="12545" width="45.875" style="2894" customWidth="1"/>
    <col min="12546" max="12546" width="6.25" style="2894" customWidth="1"/>
    <col min="12547" max="12547" width="11.75" style="2894" customWidth="1"/>
    <col min="12548" max="12549" width="13.875" style="2894" customWidth="1"/>
    <col min="12550" max="12550" width="17.87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39.25" style="2894" customWidth="1"/>
    <col min="12558" max="12558" width="7.875" style="2894" customWidth="1"/>
    <col min="12559" max="12800" width="9" style="2894"/>
    <col min="12801" max="12801" width="45.875" style="2894" customWidth="1"/>
    <col min="12802" max="12802" width="6.25" style="2894" customWidth="1"/>
    <col min="12803" max="12803" width="11.75" style="2894" customWidth="1"/>
    <col min="12804" max="12805" width="13.875" style="2894" customWidth="1"/>
    <col min="12806" max="12806" width="17.87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39.25" style="2894" customWidth="1"/>
    <col min="12814" max="12814" width="7.875" style="2894" customWidth="1"/>
    <col min="12815" max="13056" width="9" style="2894"/>
    <col min="13057" max="13057" width="45.875" style="2894" customWidth="1"/>
    <col min="13058" max="13058" width="6.25" style="2894" customWidth="1"/>
    <col min="13059" max="13059" width="11.75" style="2894" customWidth="1"/>
    <col min="13060" max="13061" width="13.875" style="2894" customWidth="1"/>
    <col min="13062" max="13062" width="17.87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39.25" style="2894" customWidth="1"/>
    <col min="13070" max="13070" width="7.875" style="2894" customWidth="1"/>
    <col min="13071" max="13312" width="9" style="2894"/>
    <col min="13313" max="13313" width="45.875" style="2894" customWidth="1"/>
    <col min="13314" max="13314" width="6.25" style="2894" customWidth="1"/>
    <col min="13315" max="13315" width="11.75" style="2894" customWidth="1"/>
    <col min="13316" max="13317" width="13.875" style="2894" customWidth="1"/>
    <col min="13318" max="13318" width="17.87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39.25" style="2894" customWidth="1"/>
    <col min="13326" max="13326" width="7.875" style="2894" customWidth="1"/>
    <col min="13327" max="13568" width="9" style="2894"/>
    <col min="13569" max="13569" width="45.875" style="2894" customWidth="1"/>
    <col min="13570" max="13570" width="6.25" style="2894" customWidth="1"/>
    <col min="13571" max="13571" width="11.75" style="2894" customWidth="1"/>
    <col min="13572" max="13573" width="13.875" style="2894" customWidth="1"/>
    <col min="13574" max="13574" width="17.87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39.25" style="2894" customWidth="1"/>
    <col min="13582" max="13582" width="7.875" style="2894" customWidth="1"/>
    <col min="13583" max="13824" width="9" style="2894"/>
    <col min="13825" max="13825" width="45.875" style="2894" customWidth="1"/>
    <col min="13826" max="13826" width="6.25" style="2894" customWidth="1"/>
    <col min="13827" max="13827" width="11.75" style="2894" customWidth="1"/>
    <col min="13828" max="13829" width="13.875" style="2894" customWidth="1"/>
    <col min="13830" max="13830" width="17.87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39.25" style="2894" customWidth="1"/>
    <col min="13838" max="13838" width="7.875" style="2894" customWidth="1"/>
    <col min="13839" max="14080" width="9" style="2894"/>
    <col min="14081" max="14081" width="45.875" style="2894" customWidth="1"/>
    <col min="14082" max="14082" width="6.25" style="2894" customWidth="1"/>
    <col min="14083" max="14083" width="11.75" style="2894" customWidth="1"/>
    <col min="14084" max="14085" width="13.875" style="2894" customWidth="1"/>
    <col min="14086" max="14086" width="17.87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39.25" style="2894" customWidth="1"/>
    <col min="14094" max="14094" width="7.875" style="2894" customWidth="1"/>
    <col min="14095" max="14336" width="9" style="2894"/>
    <col min="14337" max="14337" width="45.875" style="2894" customWidth="1"/>
    <col min="14338" max="14338" width="6.25" style="2894" customWidth="1"/>
    <col min="14339" max="14339" width="11.75" style="2894" customWidth="1"/>
    <col min="14340" max="14341" width="13.875" style="2894" customWidth="1"/>
    <col min="14342" max="14342" width="17.87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39.25" style="2894" customWidth="1"/>
    <col min="14350" max="14350" width="7.875" style="2894" customWidth="1"/>
    <col min="14351" max="14592" width="9" style="2894"/>
    <col min="14593" max="14593" width="45.875" style="2894" customWidth="1"/>
    <col min="14594" max="14594" width="6.25" style="2894" customWidth="1"/>
    <col min="14595" max="14595" width="11.75" style="2894" customWidth="1"/>
    <col min="14596" max="14597" width="13.875" style="2894" customWidth="1"/>
    <col min="14598" max="14598" width="17.87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39.25" style="2894" customWidth="1"/>
    <col min="14606" max="14606" width="7.875" style="2894" customWidth="1"/>
    <col min="14607" max="14848" width="9" style="2894"/>
    <col min="14849" max="14849" width="45.875" style="2894" customWidth="1"/>
    <col min="14850" max="14850" width="6.25" style="2894" customWidth="1"/>
    <col min="14851" max="14851" width="11.75" style="2894" customWidth="1"/>
    <col min="14852" max="14853" width="13.875" style="2894" customWidth="1"/>
    <col min="14854" max="14854" width="17.87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39.25" style="2894" customWidth="1"/>
    <col min="14862" max="14862" width="7.875" style="2894" customWidth="1"/>
    <col min="14863" max="15104" width="9" style="2894"/>
    <col min="15105" max="15105" width="45.875" style="2894" customWidth="1"/>
    <col min="15106" max="15106" width="6.25" style="2894" customWidth="1"/>
    <col min="15107" max="15107" width="11.75" style="2894" customWidth="1"/>
    <col min="15108" max="15109" width="13.875" style="2894" customWidth="1"/>
    <col min="15110" max="15110" width="17.87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39.25" style="2894" customWidth="1"/>
    <col min="15118" max="15118" width="7.875" style="2894" customWidth="1"/>
    <col min="15119" max="15360" width="9" style="2894"/>
    <col min="15361" max="15361" width="45.875" style="2894" customWidth="1"/>
    <col min="15362" max="15362" width="6.25" style="2894" customWidth="1"/>
    <col min="15363" max="15363" width="11.75" style="2894" customWidth="1"/>
    <col min="15364" max="15365" width="13.875" style="2894" customWidth="1"/>
    <col min="15366" max="15366" width="17.87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39.25" style="2894" customWidth="1"/>
    <col min="15374" max="15374" width="7.875" style="2894" customWidth="1"/>
    <col min="15375" max="15616" width="9" style="2894"/>
    <col min="15617" max="15617" width="45.875" style="2894" customWidth="1"/>
    <col min="15618" max="15618" width="6.25" style="2894" customWidth="1"/>
    <col min="15619" max="15619" width="11.75" style="2894" customWidth="1"/>
    <col min="15620" max="15621" width="13.875" style="2894" customWidth="1"/>
    <col min="15622" max="15622" width="17.87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39.25" style="2894" customWidth="1"/>
    <col min="15630" max="15630" width="7.875" style="2894" customWidth="1"/>
    <col min="15631" max="15872" width="9" style="2894"/>
    <col min="15873" max="15873" width="45.875" style="2894" customWidth="1"/>
    <col min="15874" max="15874" width="6.25" style="2894" customWidth="1"/>
    <col min="15875" max="15875" width="11.75" style="2894" customWidth="1"/>
    <col min="15876" max="15877" width="13.875" style="2894" customWidth="1"/>
    <col min="15878" max="15878" width="17.87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39.25" style="2894" customWidth="1"/>
    <col min="15886" max="15886" width="7.875" style="2894" customWidth="1"/>
    <col min="15887" max="16128" width="9" style="2894"/>
    <col min="16129" max="16129" width="45.875" style="2894" customWidth="1"/>
    <col min="16130" max="16130" width="6.25" style="2894" customWidth="1"/>
    <col min="16131" max="16131" width="11.75" style="2894" customWidth="1"/>
    <col min="16132" max="16133" width="13.875" style="2894" customWidth="1"/>
    <col min="16134" max="16134" width="17.87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39.25" style="2894" customWidth="1"/>
    <col min="16142" max="16142" width="7.875" style="2894" customWidth="1"/>
    <col min="16143" max="16384" width="9" style="2894"/>
  </cols>
  <sheetData>
    <row r="1" spans="1:16">
      <c r="A1" s="2894" t="s">
        <v>3009</v>
      </c>
      <c r="B1" s="2894" t="s">
        <v>3010</v>
      </c>
      <c r="C1" s="2894" t="s">
        <v>3011</v>
      </c>
      <c r="D1" s="2894" t="s">
        <v>3012</v>
      </c>
      <c r="E1" s="2894" t="s">
        <v>3013</v>
      </c>
      <c r="F1" s="2894" t="s">
        <v>2031</v>
      </c>
      <c r="G1" s="2894" t="s">
        <v>3014</v>
      </c>
      <c r="H1" s="2894" t="s">
        <v>3015</v>
      </c>
      <c r="I1" s="2894" t="s">
        <v>3016</v>
      </c>
      <c r="J1" s="2894" t="s">
        <v>3017</v>
      </c>
      <c r="K1" s="2894" t="s">
        <v>3018</v>
      </c>
      <c r="L1" s="2894" t="s">
        <v>3019</v>
      </c>
      <c r="M1" s="2894" t="s">
        <v>3020</v>
      </c>
      <c r="N1" s="2894" t="s">
        <v>3021</v>
      </c>
    </row>
    <row r="2" spans="1:16">
      <c r="A2" s="2894" t="s">
        <v>3022</v>
      </c>
      <c r="B2" s="2894" t="s">
        <v>3023</v>
      </c>
      <c r="C2" s="2894" t="s">
        <v>3024</v>
      </c>
      <c r="D2" s="2894">
        <v>41109.82</v>
      </c>
      <c r="E2" s="2894">
        <v>123329.46</v>
      </c>
      <c r="F2" s="2894" t="s">
        <v>3025</v>
      </c>
      <c r="G2" s="2894" t="s">
        <v>3026</v>
      </c>
      <c r="H2" s="2894" t="s">
        <v>3027</v>
      </c>
      <c r="I2" s="2894" t="s">
        <v>2817</v>
      </c>
      <c r="J2" s="2894">
        <v>3946.53</v>
      </c>
      <c r="K2" s="2894">
        <v>320</v>
      </c>
      <c r="L2" s="2894" t="s">
        <v>2817</v>
      </c>
      <c r="M2" s="2894" t="s">
        <v>3028</v>
      </c>
      <c r="N2" s="2894" t="s">
        <v>3029</v>
      </c>
      <c r="O2" s="2894">
        <f>J2/D2*10000</f>
        <v>959.99690584877294</v>
      </c>
      <c r="P2" s="2894">
        <f>J2/(D2/666.67)</f>
        <v>64.000113722220135</v>
      </c>
    </row>
    <row r="3" spans="1:16" s="3186" customFormat="1">
      <c r="A3" s="3186" t="s">
        <v>3030</v>
      </c>
      <c r="B3" s="3186" t="s">
        <v>3023</v>
      </c>
      <c r="C3" s="3186" t="s">
        <v>3024</v>
      </c>
      <c r="D3" s="3186">
        <v>48932.34</v>
      </c>
      <c r="E3" s="3186">
        <v>73398.509999999995</v>
      </c>
      <c r="F3" s="3186" t="s">
        <v>3031</v>
      </c>
      <c r="G3" s="3186" t="s">
        <v>3026</v>
      </c>
      <c r="H3" s="3186" t="s">
        <v>3027</v>
      </c>
      <c r="I3" s="3186" t="s">
        <v>2817</v>
      </c>
      <c r="J3" s="3186">
        <v>5725.07</v>
      </c>
      <c r="K3" s="3186">
        <v>780</v>
      </c>
      <c r="L3" s="3186" t="s">
        <v>2817</v>
      </c>
      <c r="M3" s="3186" t="s">
        <v>3032</v>
      </c>
      <c r="N3" s="3186" t="s">
        <v>3033</v>
      </c>
      <c r="O3" s="3186">
        <f t="shared" ref="O3:O66" si="0">J3/D3*10000</f>
        <v>1169.997183866539</v>
      </c>
      <c r="P3" s="3186">
        <f t="shared" ref="P3:P66" si="1">J3/(D3/666.67)</f>
        <v>78.000202256830548</v>
      </c>
    </row>
    <row r="4" spans="1:16">
      <c r="A4" s="2894" t="s">
        <v>3034</v>
      </c>
      <c r="B4" s="2894" t="s">
        <v>3023</v>
      </c>
      <c r="C4" s="2894" t="s">
        <v>3024</v>
      </c>
      <c r="D4" s="2894">
        <v>50982.18</v>
      </c>
      <c r="E4" s="2894">
        <v>50982.18</v>
      </c>
      <c r="F4" s="2894" t="s">
        <v>3035</v>
      </c>
      <c r="G4" s="2894" t="s">
        <v>3026</v>
      </c>
      <c r="H4" s="2894" t="s">
        <v>3027</v>
      </c>
      <c r="I4" s="2894" t="s">
        <v>2817</v>
      </c>
      <c r="J4" s="2894">
        <v>5659.02</v>
      </c>
      <c r="K4" s="2894">
        <v>1110</v>
      </c>
      <c r="L4" s="2894" t="s">
        <v>2817</v>
      </c>
      <c r="M4" s="2894" t="s">
        <v>3036</v>
      </c>
      <c r="N4" s="2894" t="s">
        <v>3037</v>
      </c>
      <c r="O4" s="2894">
        <f t="shared" si="0"/>
        <v>1109.9996116290044</v>
      </c>
      <c r="P4" s="2894">
        <f t="shared" si="1"/>
        <v>74.000344108470841</v>
      </c>
    </row>
    <row r="5" spans="1:16" s="3191" customFormat="1">
      <c r="A5" s="3191" t="s">
        <v>3038</v>
      </c>
      <c r="B5" s="3191" t="s">
        <v>3023</v>
      </c>
      <c r="C5" s="3191" t="s">
        <v>3024</v>
      </c>
      <c r="D5" s="3191">
        <v>27247.72</v>
      </c>
      <c r="E5" s="3191">
        <v>49045.9</v>
      </c>
      <c r="F5" s="3191" t="s">
        <v>3039</v>
      </c>
      <c r="G5" s="3191" t="s">
        <v>3026</v>
      </c>
      <c r="H5" s="3191" t="s">
        <v>3027</v>
      </c>
      <c r="I5" s="3191" t="s">
        <v>2817</v>
      </c>
      <c r="J5" s="3191">
        <v>2550.38</v>
      </c>
      <c r="K5" s="3191">
        <v>520</v>
      </c>
      <c r="L5" s="3191" t="s">
        <v>2817</v>
      </c>
      <c r="M5" s="3191" t="s">
        <v>3040</v>
      </c>
      <c r="N5" s="3191" t="s">
        <v>3033</v>
      </c>
      <c r="O5" s="3191">
        <f t="shared" si="0"/>
        <v>935.99758071501037</v>
      </c>
      <c r="P5" s="3191">
        <f t="shared" si="1"/>
        <v>62.400150713527587</v>
      </c>
    </row>
    <row r="6" spans="1:16" s="3186" customFormat="1">
      <c r="A6" s="3186" t="s">
        <v>3041</v>
      </c>
      <c r="B6" s="3186" t="s">
        <v>3023</v>
      </c>
      <c r="C6" s="3186" t="s">
        <v>3024</v>
      </c>
      <c r="D6" s="3186">
        <v>23862.66</v>
      </c>
      <c r="E6" s="3186">
        <v>35793.99</v>
      </c>
      <c r="F6" s="3186" t="s">
        <v>3031</v>
      </c>
      <c r="G6" s="3186" t="s">
        <v>3026</v>
      </c>
      <c r="H6" s="3186" t="s">
        <v>3027</v>
      </c>
      <c r="I6" s="3186" t="s">
        <v>2817</v>
      </c>
      <c r="J6" s="3186">
        <v>2791.92</v>
      </c>
      <c r="K6" s="3186">
        <v>780</v>
      </c>
      <c r="L6" s="3186" t="s">
        <v>2817</v>
      </c>
      <c r="M6" s="3186" t="s">
        <v>3032</v>
      </c>
      <c r="N6" s="3186" t="s">
        <v>3037</v>
      </c>
      <c r="O6" s="3186">
        <f t="shared" si="0"/>
        <v>1169.9952980933392</v>
      </c>
      <c r="P6" s="3186">
        <f t="shared" si="1"/>
        <v>78.000076537988647</v>
      </c>
    </row>
    <row r="7" spans="1:16" s="3191" customFormat="1">
      <c r="A7" s="3191" t="s">
        <v>3042</v>
      </c>
      <c r="B7" s="3191" t="s">
        <v>3023</v>
      </c>
      <c r="C7" s="3191" t="s">
        <v>3024</v>
      </c>
      <c r="D7" s="3191">
        <v>50340</v>
      </c>
      <c r="E7" s="3191">
        <v>50340</v>
      </c>
      <c r="F7" s="3191" t="s">
        <v>3035</v>
      </c>
      <c r="G7" s="3191" t="s">
        <v>3026</v>
      </c>
      <c r="H7" s="3191" t="s">
        <v>3027</v>
      </c>
      <c r="I7" s="3191" t="s">
        <v>2817</v>
      </c>
      <c r="J7" s="3191">
        <v>5587.73</v>
      </c>
      <c r="K7" s="3191">
        <v>1110</v>
      </c>
      <c r="L7" s="3191" t="s">
        <v>2817</v>
      </c>
      <c r="M7" s="3191" t="s">
        <v>3036</v>
      </c>
      <c r="N7" s="3191" t="s">
        <v>3037</v>
      </c>
      <c r="O7" s="3191">
        <f t="shared" si="0"/>
        <v>1109.9980135081446</v>
      </c>
      <c r="P7" s="3191">
        <f t="shared" si="1"/>
        <v>74.000237566547455</v>
      </c>
    </row>
    <row r="8" spans="1:16" s="3186" customFormat="1">
      <c r="A8" s="3186" t="s">
        <v>3043</v>
      </c>
      <c r="B8" s="3186" t="s">
        <v>3023</v>
      </c>
      <c r="C8" s="3186" t="s">
        <v>3024</v>
      </c>
      <c r="D8" s="3186">
        <v>35572.15</v>
      </c>
      <c r="E8" s="3186">
        <v>53358.23</v>
      </c>
      <c r="F8" s="3186" t="s">
        <v>3031</v>
      </c>
      <c r="G8" s="3186" t="s">
        <v>3026</v>
      </c>
      <c r="H8" s="3186" t="s">
        <v>3027</v>
      </c>
      <c r="I8" s="3186" t="s">
        <v>2817</v>
      </c>
      <c r="J8" s="3186">
        <v>4161.93</v>
      </c>
      <c r="K8" s="3186">
        <v>780</v>
      </c>
      <c r="L8" s="3186" t="s">
        <v>2817</v>
      </c>
      <c r="M8" s="3186" t="s">
        <v>3044</v>
      </c>
      <c r="N8" s="3186" t="s">
        <v>3037</v>
      </c>
      <c r="O8" s="3186">
        <f t="shared" si="0"/>
        <v>1169.9967530778995</v>
      </c>
      <c r="P8" s="3186">
        <f t="shared" si="1"/>
        <v>78.000173537444311</v>
      </c>
    </row>
    <row r="9" spans="1:16">
      <c r="A9" s="2894" t="s">
        <v>3045</v>
      </c>
      <c r="B9" s="2894" t="s">
        <v>3023</v>
      </c>
      <c r="C9" s="2894" t="s">
        <v>3024</v>
      </c>
      <c r="D9" s="2894">
        <v>80065.33</v>
      </c>
      <c r="E9" s="2894">
        <v>160130.66</v>
      </c>
      <c r="F9" s="2894" t="s">
        <v>3046</v>
      </c>
      <c r="G9" s="2894" t="s">
        <v>3026</v>
      </c>
      <c r="H9" s="2894" t="s">
        <v>3027</v>
      </c>
      <c r="I9" s="2894" t="s">
        <v>2817</v>
      </c>
      <c r="J9" s="2894">
        <v>9607.84</v>
      </c>
      <c r="K9" s="2894">
        <v>600</v>
      </c>
      <c r="L9" s="2894" t="s">
        <v>2817</v>
      </c>
      <c r="M9" s="2894" t="s">
        <v>3032</v>
      </c>
      <c r="N9" s="2894" t="s">
        <v>3037</v>
      </c>
      <c r="O9" s="2894">
        <f t="shared" si="0"/>
        <v>1200.000049959202</v>
      </c>
      <c r="P9" s="2894">
        <f t="shared" si="1"/>
        <v>80.000403330630121</v>
      </c>
    </row>
    <row r="10" spans="1:16">
      <c r="A10" s="2894" t="s">
        <v>3047</v>
      </c>
      <c r="B10" s="2894" t="s">
        <v>3023</v>
      </c>
      <c r="C10" s="2894" t="s">
        <v>3024</v>
      </c>
      <c r="D10" s="2894">
        <v>84633.8</v>
      </c>
      <c r="E10" s="2894">
        <v>177730.98</v>
      </c>
      <c r="F10" s="2894" t="s">
        <v>3048</v>
      </c>
      <c r="G10" s="2894" t="s">
        <v>3026</v>
      </c>
      <c r="H10" s="2894" t="s">
        <v>3027</v>
      </c>
      <c r="I10" s="2894" t="s">
        <v>2817</v>
      </c>
      <c r="J10" s="2894">
        <v>10397.26</v>
      </c>
      <c r="K10" s="2894">
        <v>585</v>
      </c>
      <c r="L10" s="2894" t="s">
        <v>2817</v>
      </c>
      <c r="M10" s="2894" t="s">
        <v>3044</v>
      </c>
      <c r="N10" s="2894" t="s">
        <v>3037</v>
      </c>
      <c r="O10" s="2894">
        <f t="shared" si="0"/>
        <v>1228.4997246962798</v>
      </c>
      <c r="P10" s="2894">
        <f t="shared" si="1"/>
        <v>81.900391146326868</v>
      </c>
    </row>
    <row r="11" spans="1:16">
      <c r="A11" s="2894" t="s">
        <v>3049</v>
      </c>
      <c r="B11" s="2894" t="s">
        <v>3023</v>
      </c>
      <c r="C11" s="2894" t="s">
        <v>3024</v>
      </c>
      <c r="D11" s="2894">
        <v>13572.46</v>
      </c>
      <c r="E11" s="2894">
        <v>6786.23</v>
      </c>
      <c r="F11" s="2894" t="s">
        <v>3050</v>
      </c>
      <c r="G11" s="2894" t="s">
        <v>3026</v>
      </c>
      <c r="H11" s="2894" t="s">
        <v>3051</v>
      </c>
      <c r="I11" s="2894" t="s">
        <v>2817</v>
      </c>
      <c r="J11" s="2894">
        <v>1133.29</v>
      </c>
      <c r="K11" s="2894">
        <v>1670</v>
      </c>
      <c r="L11" s="2894" t="s">
        <v>2817</v>
      </c>
      <c r="M11" s="2894" t="s">
        <v>3052</v>
      </c>
      <c r="N11" s="2894" t="s">
        <v>3037</v>
      </c>
      <c r="O11" s="2894">
        <f t="shared" si="0"/>
        <v>834.99233005659994</v>
      </c>
      <c r="P11" s="2894">
        <f t="shared" si="1"/>
        <v>55.666433667883346</v>
      </c>
    </row>
    <row r="12" spans="1:16">
      <c r="A12" s="2894" t="s">
        <v>3053</v>
      </c>
      <c r="B12" s="2894" t="s">
        <v>3023</v>
      </c>
      <c r="C12" s="2894" t="s">
        <v>3024</v>
      </c>
      <c r="D12" s="2894">
        <v>18869.02</v>
      </c>
      <c r="E12" s="2894">
        <v>47172.55</v>
      </c>
      <c r="F12" s="2894" t="s">
        <v>3054</v>
      </c>
      <c r="G12" s="2894" t="s">
        <v>3026</v>
      </c>
      <c r="H12" s="2894" t="s">
        <v>3055</v>
      </c>
      <c r="I12" s="2894">
        <v>60</v>
      </c>
      <c r="J12" s="2894">
        <v>60</v>
      </c>
      <c r="K12" s="2894">
        <v>12.72</v>
      </c>
      <c r="L12" s="2894">
        <v>0</v>
      </c>
      <c r="M12" s="2894" t="s">
        <v>3056</v>
      </c>
      <c r="N12" s="2894" t="s">
        <v>3033</v>
      </c>
      <c r="O12" s="2894">
        <f t="shared" si="0"/>
        <v>31.79815379919042</v>
      </c>
      <c r="P12" s="2894">
        <f t="shared" si="1"/>
        <v>2.1198875193306272</v>
      </c>
    </row>
    <row r="13" spans="1:16">
      <c r="A13" s="2894" t="s">
        <v>3057</v>
      </c>
      <c r="B13" s="2894" t="s">
        <v>3023</v>
      </c>
      <c r="C13" s="2894" t="s">
        <v>3024</v>
      </c>
      <c r="D13" s="2894">
        <v>26144.87</v>
      </c>
      <c r="E13" s="2894">
        <v>104579.48</v>
      </c>
      <c r="F13" s="2894" t="s">
        <v>3058</v>
      </c>
      <c r="G13" s="2894" t="s">
        <v>3059</v>
      </c>
      <c r="H13" s="2894" t="s">
        <v>3060</v>
      </c>
      <c r="I13" s="2894" t="s">
        <v>2817</v>
      </c>
      <c r="J13" s="2894">
        <v>1961</v>
      </c>
      <c r="K13" s="2894">
        <v>187.5</v>
      </c>
      <c r="L13" s="2894" t="s">
        <v>2817</v>
      </c>
      <c r="M13" s="2894" t="s">
        <v>3061</v>
      </c>
      <c r="N13" s="2894" t="s">
        <v>3037</v>
      </c>
      <c r="O13" s="2894">
        <f t="shared" si="0"/>
        <v>750.05153974756809</v>
      </c>
      <c r="P13" s="2894">
        <f t="shared" si="1"/>
        <v>50.003686000351117</v>
      </c>
    </row>
    <row r="14" spans="1:16">
      <c r="A14" s="2894" t="s">
        <v>3062</v>
      </c>
      <c r="B14" s="2894" t="s">
        <v>3023</v>
      </c>
      <c r="C14" s="2894" t="s">
        <v>3024</v>
      </c>
      <c r="D14" s="2894">
        <v>36567.46</v>
      </c>
      <c r="E14" s="2894">
        <v>54851.19</v>
      </c>
      <c r="F14" s="2894" t="s">
        <v>3063</v>
      </c>
      <c r="G14" s="2894" t="s">
        <v>3026</v>
      </c>
      <c r="H14" s="2894" t="s">
        <v>3064</v>
      </c>
      <c r="I14" s="2894" t="s">
        <v>2817</v>
      </c>
      <c r="J14" s="2894">
        <v>3291</v>
      </c>
      <c r="K14" s="2894">
        <v>599.99</v>
      </c>
      <c r="L14" s="2894" t="s">
        <v>2817</v>
      </c>
      <c r="M14" s="2894" t="s">
        <v>3044</v>
      </c>
      <c r="N14" s="2894" t="s">
        <v>3037</v>
      </c>
      <c r="O14" s="2894">
        <f t="shared" si="0"/>
        <v>899.98047444367205</v>
      </c>
      <c r="P14" s="2894">
        <f t="shared" si="1"/>
        <v>59.998998289736285</v>
      </c>
    </row>
    <row r="15" spans="1:16" s="3191" customFormat="1">
      <c r="A15" s="3191" t="s">
        <v>3065</v>
      </c>
      <c r="B15" s="3191" t="s">
        <v>3023</v>
      </c>
      <c r="C15" s="3191" t="s">
        <v>3024</v>
      </c>
      <c r="D15" s="3191">
        <v>13053.69</v>
      </c>
      <c r="E15" s="3191">
        <v>32634.23</v>
      </c>
      <c r="F15" s="3191" t="s">
        <v>3066</v>
      </c>
      <c r="G15" s="3191" t="s">
        <v>3026</v>
      </c>
      <c r="H15" s="3191" t="s">
        <v>3064</v>
      </c>
      <c r="I15" s="3191" t="s">
        <v>2817</v>
      </c>
      <c r="J15" s="3191">
        <v>882</v>
      </c>
      <c r="K15" s="3191">
        <v>270.26</v>
      </c>
      <c r="L15" s="3191" t="s">
        <v>2817</v>
      </c>
      <c r="M15" s="3191" t="s">
        <v>3044</v>
      </c>
      <c r="N15" s="3191" t="s">
        <v>3037</v>
      </c>
      <c r="O15" s="3191">
        <f t="shared" si="0"/>
        <v>675.67101716066486</v>
      </c>
      <c r="P15" s="3191">
        <f t="shared" si="1"/>
        <v>45.04495970105004</v>
      </c>
    </row>
    <row r="16" spans="1:16">
      <c r="A16" s="2894" t="s">
        <v>3067</v>
      </c>
      <c r="B16" s="2894" t="s">
        <v>3023</v>
      </c>
      <c r="C16" s="2894" t="s">
        <v>3024</v>
      </c>
      <c r="D16" s="2894">
        <v>7682.46</v>
      </c>
      <c r="E16" s="2894">
        <v>15364.92</v>
      </c>
      <c r="F16" s="2894" t="s">
        <v>3068</v>
      </c>
      <c r="G16" s="2894" t="s">
        <v>3026</v>
      </c>
      <c r="H16" s="2894" t="s">
        <v>3064</v>
      </c>
      <c r="I16" s="2894" t="s">
        <v>2817</v>
      </c>
      <c r="J16" s="2894">
        <v>508</v>
      </c>
      <c r="K16" s="2894">
        <v>330.62</v>
      </c>
      <c r="L16" s="2894" t="s">
        <v>2817</v>
      </c>
      <c r="M16" s="2894" t="s">
        <v>3044</v>
      </c>
      <c r="N16" s="2894" t="s">
        <v>3037</v>
      </c>
      <c r="O16" s="2894">
        <f t="shared" si="0"/>
        <v>661.24652780489578</v>
      </c>
      <c r="P16" s="2894">
        <f t="shared" si="1"/>
        <v>44.083322269168988</v>
      </c>
    </row>
    <row r="17" spans="1:16">
      <c r="A17" s="2894" t="s">
        <v>3069</v>
      </c>
      <c r="B17" s="2894" t="s">
        <v>3023</v>
      </c>
      <c r="C17" s="2894" t="s">
        <v>3024</v>
      </c>
      <c r="D17" s="2894">
        <v>11934.75</v>
      </c>
      <c r="E17" s="2894">
        <v>41771.629999999997</v>
      </c>
      <c r="F17" s="2894" t="s">
        <v>3070</v>
      </c>
      <c r="G17" s="2894" t="s">
        <v>3026</v>
      </c>
      <c r="H17" s="2894" t="s">
        <v>3064</v>
      </c>
      <c r="I17" s="2894" t="s">
        <v>2817</v>
      </c>
      <c r="J17" s="2894">
        <v>985</v>
      </c>
      <c r="K17" s="2894">
        <v>235.81</v>
      </c>
      <c r="L17" s="2894" t="s">
        <v>2817</v>
      </c>
      <c r="M17" s="2894" t="s">
        <v>3044</v>
      </c>
      <c r="N17" s="2894" t="s">
        <v>3037</v>
      </c>
      <c r="O17" s="2894">
        <f t="shared" si="0"/>
        <v>825.32101635978972</v>
      </c>
      <c r="P17" s="2894">
        <f t="shared" si="1"/>
        <v>55.021676197658095</v>
      </c>
    </row>
    <row r="18" spans="1:16">
      <c r="A18" s="2894" t="s">
        <v>3071</v>
      </c>
      <c r="B18" s="2894" t="s">
        <v>3023</v>
      </c>
      <c r="C18" s="2894" t="s">
        <v>3024</v>
      </c>
      <c r="D18" s="2894">
        <v>11111.59</v>
      </c>
      <c r="E18" s="2894">
        <v>27778.97</v>
      </c>
      <c r="F18" s="2894" t="s">
        <v>3066</v>
      </c>
      <c r="G18" s="2894" t="s">
        <v>3026</v>
      </c>
      <c r="H18" s="2894" t="s">
        <v>3064</v>
      </c>
      <c r="I18" s="2894" t="s">
        <v>2817</v>
      </c>
      <c r="J18" s="2894">
        <v>751</v>
      </c>
      <c r="K18" s="2894">
        <v>270.35000000000002</v>
      </c>
      <c r="L18" s="2894" t="s">
        <v>2817</v>
      </c>
      <c r="M18" s="2894" t="s">
        <v>3044</v>
      </c>
      <c r="N18" s="2894" t="s">
        <v>3033</v>
      </c>
      <c r="O18" s="2894">
        <f t="shared" si="0"/>
        <v>675.87086996550443</v>
      </c>
      <c r="P18" s="2894">
        <f t="shared" si="1"/>
        <v>45.058283287990278</v>
      </c>
    </row>
    <row r="19" spans="1:16">
      <c r="A19" s="2894" t="s">
        <v>3072</v>
      </c>
      <c r="B19" s="2894" t="s">
        <v>3023</v>
      </c>
      <c r="C19" s="2894" t="s">
        <v>3024</v>
      </c>
      <c r="D19" s="2894">
        <v>12001.39</v>
      </c>
      <c r="E19" s="2894">
        <v>24002.78</v>
      </c>
      <c r="F19" s="2894" t="s">
        <v>3046</v>
      </c>
      <c r="G19" s="2894" t="s">
        <v>3059</v>
      </c>
      <c r="H19" s="2894" t="s">
        <v>3073</v>
      </c>
      <c r="I19" s="2894" t="s">
        <v>2817</v>
      </c>
      <c r="J19" s="2894">
        <v>900.1</v>
      </c>
      <c r="K19" s="2894">
        <v>375</v>
      </c>
      <c r="L19" s="2894" t="s">
        <v>2817</v>
      </c>
      <c r="M19" s="2894" t="s">
        <v>3074</v>
      </c>
      <c r="N19" s="2894" t="s">
        <v>3075</v>
      </c>
      <c r="O19" s="2894">
        <f t="shared" si="0"/>
        <v>749.99645874352905</v>
      </c>
      <c r="P19" s="2894">
        <f t="shared" si="1"/>
        <v>50.000013915054836</v>
      </c>
    </row>
    <row r="20" spans="1:16" s="3191" customFormat="1">
      <c r="A20" s="3191" t="s">
        <v>3076</v>
      </c>
      <c r="B20" s="3191" t="s">
        <v>3023</v>
      </c>
      <c r="C20" s="3191" t="s">
        <v>3024</v>
      </c>
      <c r="D20" s="3191">
        <v>98708.37</v>
      </c>
      <c r="E20" s="3191">
        <v>217158.39999999999</v>
      </c>
      <c r="F20" s="3191" t="s">
        <v>3077</v>
      </c>
      <c r="G20" s="3191" t="s">
        <v>3026</v>
      </c>
      <c r="H20" s="3191" t="s">
        <v>3078</v>
      </c>
      <c r="I20" s="3191" t="s">
        <v>2817</v>
      </c>
      <c r="J20" s="3191">
        <v>27095</v>
      </c>
      <c r="K20" s="3191">
        <v>1247.71</v>
      </c>
      <c r="L20" s="3191" t="s">
        <v>2817</v>
      </c>
      <c r="M20" s="3191" t="s">
        <v>3044</v>
      </c>
      <c r="N20" s="3191" t="s">
        <v>3033</v>
      </c>
      <c r="O20" s="3191">
        <f t="shared" si="0"/>
        <v>2744.9546578471513</v>
      </c>
      <c r="P20" s="3191">
        <f t="shared" si="1"/>
        <v>182.99789217469601</v>
      </c>
    </row>
    <row r="21" spans="1:16">
      <c r="A21" s="2894" t="s">
        <v>3076</v>
      </c>
      <c r="B21" s="2894" t="s">
        <v>3023</v>
      </c>
      <c r="C21" s="2894" t="s">
        <v>3024</v>
      </c>
      <c r="D21" s="2894">
        <v>79622.259999999995</v>
      </c>
      <c r="E21" s="2894">
        <v>398111.3</v>
      </c>
      <c r="F21" s="2894" t="s">
        <v>3079</v>
      </c>
      <c r="G21" s="2894" t="s">
        <v>3026</v>
      </c>
      <c r="H21" s="2894" t="s">
        <v>3078</v>
      </c>
      <c r="I21" s="2894" t="s">
        <v>2817</v>
      </c>
      <c r="J21" s="2894">
        <v>22215</v>
      </c>
      <c r="K21" s="2894">
        <v>558</v>
      </c>
      <c r="L21" s="2894" t="s">
        <v>2817</v>
      </c>
      <c r="M21" s="2894" t="s">
        <v>3044</v>
      </c>
      <c r="N21" s="2894" t="s">
        <v>3033</v>
      </c>
      <c r="O21" s="2894">
        <f t="shared" si="0"/>
        <v>2790.0489134571167</v>
      </c>
      <c r="P21" s="2894">
        <f t="shared" si="1"/>
        <v>186.00419091344557</v>
      </c>
    </row>
    <row r="22" spans="1:16">
      <c r="A22" s="2894" t="s">
        <v>3080</v>
      </c>
      <c r="B22" s="2894" t="s">
        <v>3023</v>
      </c>
      <c r="C22" s="2894" t="s">
        <v>3024</v>
      </c>
      <c r="D22" s="2894">
        <v>3334.45</v>
      </c>
      <c r="E22" s="2894">
        <v>6668.9</v>
      </c>
      <c r="F22" s="2894" t="s">
        <v>3046</v>
      </c>
      <c r="G22" s="2894" t="s">
        <v>3059</v>
      </c>
      <c r="H22" s="2894" t="s">
        <v>3081</v>
      </c>
      <c r="I22" s="2894" t="s">
        <v>2817</v>
      </c>
      <c r="J22" s="2894">
        <v>1000.34</v>
      </c>
      <c r="K22" s="2894">
        <v>1500</v>
      </c>
      <c r="L22" s="2894" t="s">
        <v>2817</v>
      </c>
      <c r="M22" s="2894" t="s">
        <v>3082</v>
      </c>
      <c r="N22" s="2894" t="s">
        <v>3037</v>
      </c>
      <c r="O22" s="2894">
        <f t="shared" si="0"/>
        <v>3000.0149949766828</v>
      </c>
      <c r="P22" s="2894">
        <f t="shared" si="1"/>
        <v>200.00199967011051</v>
      </c>
    </row>
    <row r="23" spans="1:16">
      <c r="A23" s="2894" t="s">
        <v>3083</v>
      </c>
      <c r="B23" s="2894" t="s">
        <v>3023</v>
      </c>
      <c r="C23" s="2894" t="s">
        <v>3024</v>
      </c>
      <c r="D23" s="2894">
        <v>44559.13</v>
      </c>
      <c r="E23" s="2894">
        <v>89118.26</v>
      </c>
      <c r="F23" s="2894" t="s">
        <v>3084</v>
      </c>
      <c r="G23" s="2894" t="s">
        <v>3026</v>
      </c>
      <c r="H23" s="2894" t="s">
        <v>3085</v>
      </c>
      <c r="I23" s="2894" t="s">
        <v>2817</v>
      </c>
      <c r="J23" s="2894">
        <v>4278</v>
      </c>
      <c r="K23" s="2894">
        <v>480.04</v>
      </c>
      <c r="L23" s="2894" t="s">
        <v>2817</v>
      </c>
      <c r="M23" s="2894" t="s">
        <v>3086</v>
      </c>
      <c r="N23" s="2894" t="s">
        <v>3033</v>
      </c>
      <c r="O23" s="2894">
        <f t="shared" si="0"/>
        <v>960.07260464914827</v>
      </c>
      <c r="P23" s="2894">
        <f t="shared" si="1"/>
        <v>64.005160334144762</v>
      </c>
    </row>
    <row r="24" spans="1:16" s="3191" customFormat="1">
      <c r="A24" s="3191" t="s">
        <v>3087</v>
      </c>
      <c r="B24" s="3191" t="s">
        <v>3023</v>
      </c>
      <c r="C24" s="3191" t="s">
        <v>3024</v>
      </c>
      <c r="D24" s="3191">
        <v>107036.9</v>
      </c>
      <c r="E24" s="3191">
        <v>214073.9</v>
      </c>
      <c r="F24" s="3191" t="s">
        <v>3088</v>
      </c>
      <c r="G24" s="3191" t="s">
        <v>3026</v>
      </c>
      <c r="H24" s="3191" t="s">
        <v>3085</v>
      </c>
      <c r="I24" s="3191" t="s">
        <v>2817</v>
      </c>
      <c r="J24" s="3191">
        <v>10275</v>
      </c>
      <c r="K24" s="3191">
        <v>479.97</v>
      </c>
      <c r="L24" s="3191" t="s">
        <v>2817</v>
      </c>
      <c r="M24" s="3191" t="s">
        <v>3086</v>
      </c>
      <c r="N24" s="3191" t="s">
        <v>3033</v>
      </c>
      <c r="O24" s="3191">
        <f t="shared" si="0"/>
        <v>959.94932588668019</v>
      </c>
      <c r="P24" s="3191">
        <f t="shared" si="1"/>
        <v>63.996941708887306</v>
      </c>
    </row>
    <row r="25" spans="1:16">
      <c r="A25" s="2894" t="s">
        <v>3089</v>
      </c>
      <c r="B25" s="2894" t="s">
        <v>3023</v>
      </c>
      <c r="C25" s="2894" t="s">
        <v>3024</v>
      </c>
      <c r="D25" s="2894">
        <v>77502.990000000005</v>
      </c>
      <c r="E25" s="2894">
        <v>69752.69</v>
      </c>
      <c r="F25" s="2894" t="s">
        <v>3090</v>
      </c>
      <c r="G25" s="2894" t="s">
        <v>3026</v>
      </c>
      <c r="H25" s="2894" t="s">
        <v>3091</v>
      </c>
      <c r="I25" s="2894" t="s">
        <v>2817</v>
      </c>
      <c r="J25" s="2894">
        <v>1861</v>
      </c>
      <c r="K25" s="2894">
        <v>266.8</v>
      </c>
      <c r="L25" s="2894" t="s">
        <v>2817</v>
      </c>
      <c r="M25" s="2894" t="s">
        <v>3092</v>
      </c>
      <c r="N25" s="2894" t="s">
        <v>3037</v>
      </c>
      <c r="O25" s="2894">
        <f t="shared" si="0"/>
        <v>240.11976828248817</v>
      </c>
      <c r="P25" s="2894">
        <f t="shared" si="1"/>
        <v>16.008064592088637</v>
      </c>
    </row>
    <row r="26" spans="1:16">
      <c r="A26" s="2894" t="s">
        <v>3093</v>
      </c>
      <c r="B26" s="2894" t="s">
        <v>3023</v>
      </c>
      <c r="C26" s="2894" t="s">
        <v>3024</v>
      </c>
      <c r="D26" s="2894">
        <v>95865.5</v>
      </c>
      <c r="E26" s="2894">
        <v>90113.57</v>
      </c>
      <c r="F26" s="2894" t="s">
        <v>3094</v>
      </c>
      <c r="G26" s="2894" t="s">
        <v>3026</v>
      </c>
      <c r="H26" s="2894" t="s">
        <v>3091</v>
      </c>
      <c r="I26" s="2894" t="s">
        <v>2817</v>
      </c>
      <c r="J26" s="2894">
        <v>2301</v>
      </c>
      <c r="K26" s="2894">
        <v>255.34</v>
      </c>
      <c r="L26" s="2894" t="s">
        <v>2817</v>
      </c>
      <c r="M26" s="2894" t="s">
        <v>3095</v>
      </c>
      <c r="N26" s="2894" t="s">
        <v>3037</v>
      </c>
      <c r="O26" s="2894">
        <f t="shared" si="0"/>
        <v>240.0237833214243</v>
      </c>
      <c r="P26" s="2894">
        <f t="shared" si="1"/>
        <v>16.001665562689393</v>
      </c>
    </row>
    <row r="27" spans="1:16">
      <c r="A27" s="2894" t="s">
        <v>3096</v>
      </c>
      <c r="B27" s="2894" t="s">
        <v>3023</v>
      </c>
      <c r="C27" s="2894" t="s">
        <v>3024</v>
      </c>
      <c r="D27" s="2894">
        <v>84535.81</v>
      </c>
      <c r="E27" s="2894">
        <v>126803.7</v>
      </c>
      <c r="F27" s="2894" t="s">
        <v>3097</v>
      </c>
      <c r="G27" s="2894" t="s">
        <v>3026</v>
      </c>
      <c r="H27" s="2894" t="s">
        <v>3091</v>
      </c>
      <c r="I27" s="2894" t="s">
        <v>2817</v>
      </c>
      <c r="J27" s="2894">
        <v>4439</v>
      </c>
      <c r="K27" s="2894">
        <v>350.06</v>
      </c>
      <c r="L27" s="2894" t="s">
        <v>2817</v>
      </c>
      <c r="M27" s="2894" t="s">
        <v>3098</v>
      </c>
      <c r="N27" s="2894" t="s">
        <v>3037</v>
      </c>
      <c r="O27" s="2894">
        <f t="shared" si="0"/>
        <v>525.10291200853226</v>
      </c>
      <c r="P27" s="2894">
        <f t="shared" si="1"/>
        <v>35.007035834872816</v>
      </c>
    </row>
    <row r="28" spans="1:16">
      <c r="A28" s="2894" t="s">
        <v>3099</v>
      </c>
      <c r="B28" s="2894" t="s">
        <v>3023</v>
      </c>
      <c r="C28" s="2894" t="s">
        <v>3024</v>
      </c>
      <c r="D28" s="2894">
        <v>1921.41</v>
      </c>
      <c r="E28" s="2894">
        <v>3842.82</v>
      </c>
      <c r="F28" s="2894" t="s">
        <v>3046</v>
      </c>
      <c r="G28" s="2894" t="s">
        <v>3059</v>
      </c>
      <c r="H28" s="2894" t="s">
        <v>3091</v>
      </c>
      <c r="I28" s="2894" t="s">
        <v>2817</v>
      </c>
      <c r="J28" s="2894">
        <v>172.93</v>
      </c>
      <c r="K28" s="2894">
        <v>450</v>
      </c>
      <c r="L28" s="2894" t="s">
        <v>2817</v>
      </c>
      <c r="M28" s="2894" t="s">
        <v>3100</v>
      </c>
      <c r="N28" s="2894" t="s">
        <v>3037</v>
      </c>
      <c r="O28" s="2894">
        <f t="shared" si="0"/>
        <v>900.01613398493816</v>
      </c>
      <c r="P28" s="2894">
        <f t="shared" si="1"/>
        <v>60.00137560437387</v>
      </c>
    </row>
    <row r="29" spans="1:16">
      <c r="A29" s="2894" t="s">
        <v>3101</v>
      </c>
      <c r="B29" s="2894" t="s">
        <v>3023</v>
      </c>
      <c r="C29" s="2894" t="s">
        <v>3024</v>
      </c>
      <c r="D29" s="2894">
        <v>3568.78</v>
      </c>
      <c r="E29" s="2894">
        <v>713.76</v>
      </c>
      <c r="F29" s="2894" t="s">
        <v>3102</v>
      </c>
      <c r="G29" s="2894" t="s">
        <v>3059</v>
      </c>
      <c r="H29" s="2894" t="s">
        <v>3103</v>
      </c>
      <c r="I29" s="2894" t="s">
        <v>2817</v>
      </c>
      <c r="J29" s="2894">
        <v>134</v>
      </c>
      <c r="K29" s="2894">
        <v>1877.38</v>
      </c>
      <c r="L29" s="2894" t="s">
        <v>2817</v>
      </c>
      <c r="M29" s="2894" t="s">
        <v>3104</v>
      </c>
      <c r="N29" s="2894" t="s">
        <v>3033</v>
      </c>
      <c r="O29" s="2894">
        <f t="shared" si="0"/>
        <v>375.47845482209601</v>
      </c>
      <c r="P29" s="2894">
        <f t="shared" si="1"/>
        <v>25.032022147624676</v>
      </c>
    </row>
    <row r="30" spans="1:16">
      <c r="A30" s="2894" t="s">
        <v>3101</v>
      </c>
      <c r="B30" s="2894" t="s">
        <v>3023</v>
      </c>
      <c r="C30" s="2894" t="s">
        <v>3024</v>
      </c>
      <c r="D30" s="2894">
        <v>23393.63</v>
      </c>
      <c r="E30" s="2894">
        <v>14036.18</v>
      </c>
      <c r="F30" s="2894" t="s">
        <v>3105</v>
      </c>
      <c r="G30" s="2894" t="s">
        <v>3059</v>
      </c>
      <c r="H30" s="2894" t="s">
        <v>3103</v>
      </c>
      <c r="I30" s="2894" t="s">
        <v>2817</v>
      </c>
      <c r="J30" s="2894">
        <v>877</v>
      </c>
      <c r="K30" s="2894">
        <v>624.79999999999995</v>
      </c>
      <c r="L30" s="2894" t="s">
        <v>2817</v>
      </c>
      <c r="M30" s="2894" t="s">
        <v>3104</v>
      </c>
      <c r="N30" s="2894" t="s">
        <v>3033</v>
      </c>
      <c r="O30" s="2894">
        <f t="shared" si="0"/>
        <v>374.88837773359671</v>
      </c>
      <c r="P30" s="2894">
        <f t="shared" si="1"/>
        <v>24.992683478365691</v>
      </c>
    </row>
    <row r="31" spans="1:16">
      <c r="A31" s="2894" t="s">
        <v>3101</v>
      </c>
      <c r="B31" s="2894" t="s">
        <v>3023</v>
      </c>
      <c r="C31" s="2894" t="s">
        <v>3024</v>
      </c>
      <c r="D31" s="2894">
        <v>9063.2800000000007</v>
      </c>
      <c r="E31" s="2894">
        <v>1812.66</v>
      </c>
      <c r="F31" s="2894" t="s">
        <v>3102</v>
      </c>
      <c r="G31" s="2894" t="s">
        <v>3059</v>
      </c>
      <c r="H31" s="2894" t="s">
        <v>3103</v>
      </c>
      <c r="I31" s="2894">
        <v>340</v>
      </c>
      <c r="J31" s="2894">
        <v>340</v>
      </c>
      <c r="K31" s="2894">
        <v>1875.7</v>
      </c>
      <c r="L31" s="2894">
        <v>0</v>
      </c>
      <c r="M31" s="2894" t="s">
        <v>3104</v>
      </c>
      <c r="N31" s="2894" t="s">
        <v>3033</v>
      </c>
      <c r="O31" s="2894">
        <f t="shared" si="0"/>
        <v>375.14012587054572</v>
      </c>
      <c r="P31" s="2894">
        <f t="shared" si="1"/>
        <v>25.00946677141167</v>
      </c>
    </row>
    <row r="32" spans="1:16">
      <c r="A32" s="2894" t="s">
        <v>3106</v>
      </c>
      <c r="B32" s="2894" t="s">
        <v>3023</v>
      </c>
      <c r="C32" s="2894" t="s">
        <v>3024</v>
      </c>
      <c r="D32" s="2894">
        <v>57182.77</v>
      </c>
      <c r="E32" s="2894">
        <v>85774.15</v>
      </c>
      <c r="F32" s="2894" t="s">
        <v>3097</v>
      </c>
      <c r="G32" s="2894" t="s">
        <v>3026</v>
      </c>
      <c r="H32" s="2894" t="s">
        <v>3107</v>
      </c>
      <c r="I32" s="2894" t="s">
        <v>2817</v>
      </c>
      <c r="J32" s="2894">
        <v>3003</v>
      </c>
      <c r="K32" s="2894">
        <v>350.11</v>
      </c>
      <c r="L32" s="2894" t="s">
        <v>2817</v>
      </c>
      <c r="M32" s="2894" t="s">
        <v>3108</v>
      </c>
      <c r="N32" s="2894" t="s">
        <v>3037</v>
      </c>
      <c r="O32" s="2894">
        <f t="shared" si="0"/>
        <v>525.15819013314683</v>
      </c>
      <c r="P32" s="2894">
        <f t="shared" si="1"/>
        <v>35.010721061606496</v>
      </c>
    </row>
    <row r="33" spans="1:16">
      <c r="A33" s="2894" t="s">
        <v>3096</v>
      </c>
      <c r="B33" s="2894" t="s">
        <v>3023</v>
      </c>
      <c r="C33" s="2894" t="s">
        <v>3024</v>
      </c>
      <c r="D33" s="2894">
        <v>84535.81</v>
      </c>
      <c r="E33" s="2894">
        <v>126803.72</v>
      </c>
      <c r="F33" s="2894" t="s">
        <v>3097</v>
      </c>
      <c r="G33" s="2894" t="s">
        <v>3026</v>
      </c>
      <c r="H33" s="2894" t="s">
        <v>3107</v>
      </c>
      <c r="I33" s="2894" t="s">
        <v>2817</v>
      </c>
      <c r="J33" s="2894">
        <v>4439</v>
      </c>
      <c r="K33" s="2894">
        <v>350.06</v>
      </c>
      <c r="L33" s="2894" t="s">
        <v>2817</v>
      </c>
      <c r="M33" s="2894" t="s">
        <v>3098</v>
      </c>
      <c r="N33" s="2894" t="s">
        <v>3037</v>
      </c>
      <c r="O33" s="2894">
        <f t="shared" si="0"/>
        <v>525.10291200853226</v>
      </c>
      <c r="P33" s="2894">
        <f t="shared" si="1"/>
        <v>35.007035834872816</v>
      </c>
    </row>
    <row r="34" spans="1:16">
      <c r="A34" s="2894" t="s">
        <v>3109</v>
      </c>
      <c r="B34" s="2894" t="s">
        <v>3023</v>
      </c>
      <c r="C34" s="2894" t="s">
        <v>3024</v>
      </c>
      <c r="D34" s="2894">
        <v>1730.28</v>
      </c>
      <c r="E34" s="2894">
        <v>3460.56</v>
      </c>
      <c r="F34" s="2894" t="s">
        <v>3110</v>
      </c>
      <c r="G34" s="2894" t="s">
        <v>3026</v>
      </c>
      <c r="H34" s="2894" t="s">
        <v>3107</v>
      </c>
      <c r="I34" s="2894" t="s">
        <v>2817</v>
      </c>
      <c r="J34" s="2894">
        <v>94</v>
      </c>
      <c r="K34" s="2894">
        <v>271.62</v>
      </c>
      <c r="L34" s="2894" t="s">
        <v>2817</v>
      </c>
      <c r="M34" s="2894" t="s">
        <v>3111</v>
      </c>
      <c r="N34" s="2894" t="s">
        <v>3033</v>
      </c>
      <c r="O34" s="2894">
        <f t="shared" si="0"/>
        <v>543.26467392560744</v>
      </c>
      <c r="P34" s="2894">
        <f t="shared" si="1"/>
        <v>36.217826016598465</v>
      </c>
    </row>
    <row r="35" spans="1:16">
      <c r="A35" s="2894" t="s">
        <v>3112</v>
      </c>
      <c r="B35" s="2894" t="s">
        <v>3023</v>
      </c>
      <c r="C35" s="2894" t="s">
        <v>3024</v>
      </c>
      <c r="D35" s="2894">
        <v>14438.47</v>
      </c>
      <c r="E35" s="2894">
        <v>28876.94</v>
      </c>
      <c r="F35" s="2894" t="s">
        <v>3084</v>
      </c>
      <c r="G35" s="2894" t="s">
        <v>3026</v>
      </c>
      <c r="H35" s="2894" t="s">
        <v>3113</v>
      </c>
      <c r="I35" s="2894" t="s">
        <v>2817</v>
      </c>
      <c r="J35" s="2894">
        <v>1320</v>
      </c>
      <c r="K35" s="2894">
        <v>457.11</v>
      </c>
      <c r="L35" s="2894" t="s">
        <v>2817</v>
      </c>
      <c r="M35" s="2894" t="s">
        <v>3114</v>
      </c>
      <c r="N35" s="2894" t="s">
        <v>3033</v>
      </c>
      <c r="O35" s="2894">
        <f t="shared" si="0"/>
        <v>914.22429107793289</v>
      </c>
      <c r="P35" s="2894">
        <f t="shared" si="1"/>
        <v>60.948590813292547</v>
      </c>
    </row>
    <row r="36" spans="1:16">
      <c r="A36" s="2894" t="s">
        <v>3115</v>
      </c>
      <c r="B36" s="2894" t="s">
        <v>3023</v>
      </c>
      <c r="C36" s="2894" t="s">
        <v>3024</v>
      </c>
      <c r="D36" s="2894">
        <v>58952.480000000003</v>
      </c>
      <c r="E36" s="2894">
        <v>11790.5</v>
      </c>
      <c r="F36" s="2894" t="s">
        <v>3102</v>
      </c>
      <c r="G36" s="2894" t="s">
        <v>3059</v>
      </c>
      <c r="H36" s="2894" t="s">
        <v>3116</v>
      </c>
      <c r="I36" s="2894" t="s">
        <v>2817</v>
      </c>
      <c r="J36" s="2894">
        <v>2211</v>
      </c>
      <c r="K36" s="2894">
        <v>1875.24</v>
      </c>
      <c r="L36" s="2894" t="s">
        <v>2817</v>
      </c>
      <c r="M36" s="2894" t="s">
        <v>3104</v>
      </c>
      <c r="N36" s="2894" t="s">
        <v>3033</v>
      </c>
      <c r="O36" s="2894">
        <f t="shared" si="0"/>
        <v>375.04783513772446</v>
      </c>
      <c r="P36" s="2894">
        <f t="shared" si="1"/>
        <v>25.003314025126677</v>
      </c>
    </row>
    <row r="37" spans="1:16">
      <c r="A37" s="2894" t="s">
        <v>3115</v>
      </c>
      <c r="B37" s="2894" t="s">
        <v>3023</v>
      </c>
      <c r="C37" s="2894" t="s">
        <v>3024</v>
      </c>
      <c r="D37" s="2894">
        <v>1242.29</v>
      </c>
      <c r="E37" s="2894">
        <v>248.46</v>
      </c>
      <c r="F37" s="2894" t="s">
        <v>3102</v>
      </c>
      <c r="G37" s="2894" t="s">
        <v>3059</v>
      </c>
      <c r="H37" s="2894" t="s">
        <v>3116</v>
      </c>
      <c r="I37" s="2894" t="s">
        <v>2817</v>
      </c>
      <c r="J37" s="2894">
        <v>46.5</v>
      </c>
      <c r="K37" s="2894">
        <v>1871.52</v>
      </c>
      <c r="L37" s="2894" t="s">
        <v>2817</v>
      </c>
      <c r="M37" s="2894" t="s">
        <v>3104</v>
      </c>
      <c r="N37" s="2894" t="s">
        <v>3033</v>
      </c>
      <c r="O37" s="2894">
        <f t="shared" si="0"/>
        <v>374.30873628540843</v>
      </c>
      <c r="P37" s="2894">
        <f t="shared" si="1"/>
        <v>24.954040521939323</v>
      </c>
    </row>
    <row r="38" spans="1:16">
      <c r="A38" s="2894" t="s">
        <v>3115</v>
      </c>
      <c r="B38" s="2894" t="s">
        <v>3023</v>
      </c>
      <c r="C38" s="2894" t="s">
        <v>3024</v>
      </c>
      <c r="D38" s="2894">
        <v>6115.17</v>
      </c>
      <c r="E38" s="2894">
        <v>1223.03</v>
      </c>
      <c r="F38" s="2894" t="s">
        <v>3102</v>
      </c>
      <c r="G38" s="2894" t="s">
        <v>3059</v>
      </c>
      <c r="H38" s="2894" t="s">
        <v>3116</v>
      </c>
      <c r="I38" s="2894" t="s">
        <v>2817</v>
      </c>
      <c r="J38" s="2894">
        <v>229</v>
      </c>
      <c r="K38" s="2894">
        <v>1872.4</v>
      </c>
      <c r="L38" s="2894" t="s">
        <v>2817</v>
      </c>
      <c r="M38" s="2894" t="s">
        <v>3104</v>
      </c>
      <c r="N38" s="2894" t="s">
        <v>3033</v>
      </c>
      <c r="O38" s="2894">
        <f t="shared" si="0"/>
        <v>374.47855088247752</v>
      </c>
      <c r="P38" s="2894">
        <f t="shared" si="1"/>
        <v>24.965361551682125</v>
      </c>
    </row>
    <row r="39" spans="1:16">
      <c r="A39" s="2894" t="s">
        <v>3115</v>
      </c>
      <c r="B39" s="2894" t="s">
        <v>3023</v>
      </c>
      <c r="C39" s="2894" t="s">
        <v>3024</v>
      </c>
      <c r="D39" s="2894">
        <v>49336.38</v>
      </c>
      <c r="E39" s="2894">
        <v>9867.2800000000007</v>
      </c>
      <c r="F39" s="2894" t="s">
        <v>3102</v>
      </c>
      <c r="G39" s="2894" t="s">
        <v>3059</v>
      </c>
      <c r="H39" s="2894" t="s">
        <v>3116</v>
      </c>
      <c r="I39" s="2894" t="s">
        <v>2817</v>
      </c>
      <c r="J39" s="2894">
        <v>1850</v>
      </c>
      <c r="K39" s="2894">
        <v>1874.88</v>
      </c>
      <c r="L39" s="2894" t="s">
        <v>2817</v>
      </c>
      <c r="M39" s="2894" t="s">
        <v>3104</v>
      </c>
      <c r="N39" s="2894" t="s">
        <v>3033</v>
      </c>
      <c r="O39" s="2894">
        <f t="shared" si="0"/>
        <v>374.97684264633926</v>
      </c>
      <c r="P39" s="2894">
        <f t="shared" si="1"/>
        <v>24.998581168703499</v>
      </c>
    </row>
    <row r="40" spans="1:16">
      <c r="A40" s="2894" t="s">
        <v>3117</v>
      </c>
      <c r="B40" s="2894" t="s">
        <v>3023</v>
      </c>
      <c r="C40" s="2894" t="s">
        <v>3024</v>
      </c>
      <c r="D40" s="2894">
        <v>3333.33</v>
      </c>
      <c r="E40" s="2894">
        <v>6666.66</v>
      </c>
      <c r="F40" s="2894" t="s">
        <v>3046</v>
      </c>
      <c r="G40" s="2894" t="s">
        <v>3059</v>
      </c>
      <c r="H40" s="2894" t="s">
        <v>3118</v>
      </c>
      <c r="I40" s="2894" t="s">
        <v>2817</v>
      </c>
      <c r="J40" s="2894">
        <v>300</v>
      </c>
      <c r="K40" s="2894">
        <v>450</v>
      </c>
      <c r="L40" s="2894" t="s">
        <v>2817</v>
      </c>
      <c r="M40" s="2894" t="s">
        <v>3119</v>
      </c>
      <c r="N40" s="2894" t="s">
        <v>3033</v>
      </c>
      <c r="O40" s="2894">
        <f t="shared" si="0"/>
        <v>900.00090000090006</v>
      </c>
      <c r="P40" s="2894">
        <f t="shared" si="1"/>
        <v>60.000360000359997</v>
      </c>
    </row>
    <row r="41" spans="1:16">
      <c r="A41" s="2894" t="s">
        <v>3120</v>
      </c>
      <c r="B41" s="2894" t="s">
        <v>3023</v>
      </c>
      <c r="C41" s="2894" t="s">
        <v>3024</v>
      </c>
      <c r="D41" s="2894">
        <v>46857.32</v>
      </c>
      <c r="E41" s="2894">
        <v>117143.3</v>
      </c>
      <c r="F41" s="2894" t="s">
        <v>3121</v>
      </c>
      <c r="G41" s="2894" t="s">
        <v>3026</v>
      </c>
      <c r="H41" s="2894" t="s">
        <v>3122</v>
      </c>
      <c r="I41" s="2894" t="s">
        <v>2817</v>
      </c>
      <c r="J41" s="2894">
        <v>4289</v>
      </c>
      <c r="K41" s="2894">
        <v>366.12</v>
      </c>
      <c r="L41" s="2894" t="s">
        <v>2817</v>
      </c>
      <c r="M41" s="2894" t="s">
        <v>3123</v>
      </c>
      <c r="N41" s="2894" t="s">
        <v>3033</v>
      </c>
      <c r="O41" s="2894">
        <f t="shared" si="0"/>
        <v>915.33190545255263</v>
      </c>
      <c r="P41" s="2894">
        <f t="shared" si="1"/>
        <v>61.022432140805314</v>
      </c>
    </row>
    <row r="42" spans="1:16">
      <c r="A42" s="2894" t="s">
        <v>3124</v>
      </c>
      <c r="B42" s="2894" t="s">
        <v>3023</v>
      </c>
      <c r="C42" s="2894" t="s">
        <v>3024</v>
      </c>
      <c r="D42" s="2894">
        <v>12698.53</v>
      </c>
      <c r="E42" s="2894">
        <v>38095.589999999997</v>
      </c>
      <c r="F42" s="2894" t="s">
        <v>3025</v>
      </c>
      <c r="G42" s="2894" t="s">
        <v>3059</v>
      </c>
      <c r="H42" s="2894" t="s">
        <v>3125</v>
      </c>
      <c r="I42" s="2894" t="s">
        <v>2817</v>
      </c>
      <c r="J42" s="2894">
        <v>800.1</v>
      </c>
      <c r="K42" s="2894">
        <v>210.02</v>
      </c>
      <c r="L42" s="2894" t="s">
        <v>2817</v>
      </c>
      <c r="M42" s="2894" t="s">
        <v>3126</v>
      </c>
      <c r="N42" s="2894" t="s">
        <v>3037</v>
      </c>
      <c r="O42" s="2894">
        <f t="shared" si="0"/>
        <v>630.07292970131186</v>
      </c>
      <c r="P42" s="2894">
        <f t="shared" si="1"/>
        <v>42.005072004397356</v>
      </c>
    </row>
    <row r="43" spans="1:16">
      <c r="A43" s="2894" t="s">
        <v>3127</v>
      </c>
      <c r="B43" s="2894" t="s">
        <v>3023</v>
      </c>
      <c r="C43" s="2894" t="s">
        <v>3024</v>
      </c>
      <c r="D43" s="2894">
        <v>10269.040000000001</v>
      </c>
      <c r="E43" s="2894">
        <v>30807.119999999999</v>
      </c>
      <c r="F43" s="2894" t="s">
        <v>3025</v>
      </c>
      <c r="G43" s="2894" t="s">
        <v>3059</v>
      </c>
      <c r="H43" s="2894" t="s">
        <v>3125</v>
      </c>
      <c r="I43" s="2894" t="s">
        <v>2817</v>
      </c>
      <c r="J43" s="2894">
        <v>646.95000000000005</v>
      </c>
      <c r="K43" s="2894">
        <v>210</v>
      </c>
      <c r="L43" s="2894" t="s">
        <v>2817</v>
      </c>
      <c r="M43" s="2894" t="s">
        <v>3128</v>
      </c>
      <c r="N43" s="2894" t="s">
        <v>3029</v>
      </c>
      <c r="O43" s="2894">
        <f t="shared" si="0"/>
        <v>630.00046742441361</v>
      </c>
      <c r="P43" s="2894">
        <f t="shared" si="1"/>
        <v>42.000241161783379</v>
      </c>
    </row>
    <row r="44" spans="1:16" s="3191" customFormat="1">
      <c r="A44" s="3191" t="s">
        <v>3129</v>
      </c>
      <c r="B44" s="3191" t="s">
        <v>3023</v>
      </c>
      <c r="C44" s="3191" t="s">
        <v>3024</v>
      </c>
      <c r="D44" s="3191">
        <v>27054.95</v>
      </c>
      <c r="E44" s="3191">
        <v>73048.37</v>
      </c>
      <c r="F44" s="3191" t="s">
        <v>3130</v>
      </c>
      <c r="G44" s="3191" t="s">
        <v>3059</v>
      </c>
      <c r="H44" s="3191" t="s">
        <v>3131</v>
      </c>
      <c r="I44" s="3191">
        <v>2029.11</v>
      </c>
      <c r="J44" s="3191">
        <v>2069.69</v>
      </c>
      <c r="K44" s="3191">
        <v>283.32</v>
      </c>
      <c r="L44" s="3191">
        <v>2</v>
      </c>
      <c r="M44" s="3191" t="s">
        <v>3132</v>
      </c>
      <c r="N44" s="3191" t="s">
        <v>3033</v>
      </c>
      <c r="O44" s="3191">
        <f t="shared" si="0"/>
        <v>764.99494547208553</v>
      </c>
      <c r="P44" s="3191">
        <f t="shared" si="1"/>
        <v>50.999918029787523</v>
      </c>
    </row>
    <row r="45" spans="1:16">
      <c r="A45" s="2894" t="s">
        <v>3133</v>
      </c>
      <c r="B45" s="2894" t="s">
        <v>3023</v>
      </c>
      <c r="C45" s="2894" t="s">
        <v>3024</v>
      </c>
      <c r="D45" s="2894">
        <v>11671.44</v>
      </c>
      <c r="E45" s="2894">
        <v>35014.32</v>
      </c>
      <c r="F45" s="2894" t="s">
        <v>3025</v>
      </c>
      <c r="G45" s="2894" t="s">
        <v>3059</v>
      </c>
      <c r="H45" s="2894" t="s">
        <v>3134</v>
      </c>
      <c r="I45" s="2894" t="s">
        <v>2817</v>
      </c>
      <c r="J45" s="2894">
        <v>735.41</v>
      </c>
      <c r="K45" s="2894">
        <v>210.03</v>
      </c>
      <c r="L45" s="2894" t="s">
        <v>2817</v>
      </c>
      <c r="M45" s="2894" t="s">
        <v>3135</v>
      </c>
      <c r="N45" s="2894" t="s">
        <v>3029</v>
      </c>
      <c r="O45" s="2894">
        <f t="shared" si="0"/>
        <v>630.09363026327503</v>
      </c>
      <c r="P45" s="2894">
        <f t="shared" si="1"/>
        <v>42.006452048761751</v>
      </c>
    </row>
    <row r="46" spans="1:16">
      <c r="A46" s="2894" t="s">
        <v>3136</v>
      </c>
      <c r="B46" s="2894" t="s">
        <v>3023</v>
      </c>
      <c r="C46" s="2894" t="s">
        <v>3024</v>
      </c>
      <c r="D46" s="2894">
        <v>498.96</v>
      </c>
      <c r="E46" s="2894">
        <v>1496.88</v>
      </c>
      <c r="F46" s="2894" t="s">
        <v>3025</v>
      </c>
      <c r="G46" s="2894" t="s">
        <v>3059</v>
      </c>
      <c r="H46" s="2894" t="s">
        <v>3134</v>
      </c>
      <c r="I46" s="2894" t="s">
        <v>2817</v>
      </c>
      <c r="J46" s="2894">
        <v>45</v>
      </c>
      <c r="K46" s="2894">
        <v>300.62</v>
      </c>
      <c r="L46" s="2894" t="s">
        <v>2817</v>
      </c>
      <c r="M46" s="2894" t="s">
        <v>3137</v>
      </c>
      <c r="N46" s="2894" t="s">
        <v>3029</v>
      </c>
      <c r="O46" s="2894">
        <f t="shared" si="0"/>
        <v>901.87590187590195</v>
      </c>
      <c r="P46" s="2894">
        <f t="shared" si="1"/>
        <v>60.125360750360748</v>
      </c>
    </row>
    <row r="47" spans="1:16">
      <c r="A47" s="2894" t="s">
        <v>3138</v>
      </c>
      <c r="B47" s="2894" t="s">
        <v>3023</v>
      </c>
      <c r="C47" s="2894" t="s">
        <v>3024</v>
      </c>
      <c r="D47" s="2894">
        <v>709.94</v>
      </c>
      <c r="E47" s="2894">
        <v>2129.8200000000002</v>
      </c>
      <c r="F47" s="2894" t="s">
        <v>3025</v>
      </c>
      <c r="G47" s="2894" t="s">
        <v>3059</v>
      </c>
      <c r="H47" s="2894" t="s">
        <v>3134</v>
      </c>
      <c r="I47" s="2894" t="s">
        <v>2817</v>
      </c>
      <c r="J47" s="2894">
        <v>44.72</v>
      </c>
      <c r="K47" s="2894">
        <v>210.02</v>
      </c>
      <c r="L47" s="2894" t="s">
        <v>2817</v>
      </c>
      <c r="M47" s="2894" t="s">
        <v>3139</v>
      </c>
      <c r="N47" s="2894" t="s">
        <v>3037</v>
      </c>
      <c r="O47" s="2894">
        <f t="shared" si="0"/>
        <v>629.91238696227845</v>
      </c>
      <c r="P47" s="2894">
        <f t="shared" si="1"/>
        <v>41.994369101614218</v>
      </c>
    </row>
    <row r="48" spans="1:16">
      <c r="A48" s="2894" t="s">
        <v>3140</v>
      </c>
      <c r="B48" s="2894" t="s">
        <v>3023</v>
      </c>
      <c r="C48" s="2894" t="s">
        <v>3024</v>
      </c>
      <c r="D48" s="2894">
        <v>24929.42</v>
      </c>
      <c r="E48" s="2894">
        <v>24929.42</v>
      </c>
      <c r="F48" s="2894" t="s">
        <v>3141</v>
      </c>
      <c r="G48" s="2894" t="s">
        <v>3059</v>
      </c>
      <c r="H48" s="2894" t="s">
        <v>3134</v>
      </c>
      <c r="I48" s="2894" t="s">
        <v>2817</v>
      </c>
      <c r="J48" s="2894">
        <v>822.66</v>
      </c>
      <c r="K48" s="2894">
        <v>330</v>
      </c>
      <c r="L48" s="2894" t="s">
        <v>2817</v>
      </c>
      <c r="M48" s="2894" t="s">
        <v>3142</v>
      </c>
      <c r="N48" s="2894" t="s">
        <v>3037</v>
      </c>
      <c r="O48" s="2894">
        <f t="shared" si="0"/>
        <v>329.99564370129747</v>
      </c>
      <c r="P48" s="2894">
        <f t="shared" si="1"/>
        <v>21.999819578634401</v>
      </c>
    </row>
    <row r="49" spans="1:16">
      <c r="A49" s="2894" t="s">
        <v>3143</v>
      </c>
      <c r="B49" s="2894" t="s">
        <v>3023</v>
      </c>
      <c r="C49" s="2894" t="s">
        <v>3024</v>
      </c>
      <c r="D49" s="2894">
        <v>32719.67</v>
      </c>
      <c r="E49" s="2894">
        <v>98159.01</v>
      </c>
      <c r="F49" s="2894" t="s">
        <v>3025</v>
      </c>
      <c r="G49" s="2894" t="s">
        <v>3059</v>
      </c>
      <c r="H49" s="2894" t="s">
        <v>3134</v>
      </c>
      <c r="I49" s="2894" t="s">
        <v>2817</v>
      </c>
      <c r="J49" s="2894">
        <v>2061.36</v>
      </c>
      <c r="K49" s="2894">
        <v>210</v>
      </c>
      <c r="L49" s="2894" t="s">
        <v>2817</v>
      </c>
      <c r="M49" s="2894" t="s">
        <v>3135</v>
      </c>
      <c r="N49" s="2894" t="s">
        <v>3037</v>
      </c>
      <c r="O49" s="2894">
        <f t="shared" si="0"/>
        <v>630.00635397606402</v>
      </c>
      <c r="P49" s="2894">
        <f t="shared" si="1"/>
        <v>42.000633600522256</v>
      </c>
    </row>
    <row r="50" spans="1:16">
      <c r="A50" s="2894" t="s">
        <v>3140</v>
      </c>
      <c r="B50" s="2894" t="s">
        <v>3023</v>
      </c>
      <c r="C50" s="2894" t="s">
        <v>3024</v>
      </c>
      <c r="D50" s="2894">
        <v>3405.39</v>
      </c>
      <c r="E50" s="2894">
        <v>3405.39</v>
      </c>
      <c r="F50" s="2894" t="s">
        <v>3141</v>
      </c>
      <c r="G50" s="2894" t="s">
        <v>3059</v>
      </c>
      <c r="H50" s="2894" t="s">
        <v>3134</v>
      </c>
      <c r="I50" s="2894" t="s">
        <v>2817</v>
      </c>
      <c r="J50" s="2894">
        <v>112.42</v>
      </c>
      <c r="K50" s="2894">
        <v>330.12</v>
      </c>
      <c r="L50" s="2894" t="s">
        <v>2817</v>
      </c>
      <c r="M50" s="2894" t="s">
        <v>3142</v>
      </c>
      <c r="N50" s="2894" t="s">
        <v>3037</v>
      </c>
      <c r="O50" s="2894">
        <f t="shared" si="0"/>
        <v>330.1237156390311</v>
      </c>
      <c r="P50" s="2894">
        <f t="shared" si="1"/>
        <v>22.008357750507283</v>
      </c>
    </row>
    <row r="51" spans="1:16">
      <c r="A51" s="2894" t="s">
        <v>3138</v>
      </c>
      <c r="B51" s="2894" t="s">
        <v>3023</v>
      </c>
      <c r="C51" s="2894" t="s">
        <v>3024</v>
      </c>
      <c r="D51" s="2894">
        <v>6203.28</v>
      </c>
      <c r="E51" s="2894">
        <v>18609.84</v>
      </c>
      <c r="F51" s="2894" t="s">
        <v>3025</v>
      </c>
      <c r="G51" s="2894" t="s">
        <v>3059</v>
      </c>
      <c r="H51" s="2894" t="s">
        <v>3134</v>
      </c>
      <c r="I51" s="2894" t="s">
        <v>2817</v>
      </c>
      <c r="J51" s="2894">
        <v>390.81</v>
      </c>
      <c r="K51" s="2894">
        <v>210</v>
      </c>
      <c r="L51" s="2894" t="s">
        <v>2817</v>
      </c>
      <c r="M51" s="2894" t="s">
        <v>3144</v>
      </c>
      <c r="N51" s="2894" t="s">
        <v>3037</v>
      </c>
      <c r="O51" s="2894">
        <f t="shared" si="0"/>
        <v>630.0054164893412</v>
      </c>
      <c r="P51" s="2894">
        <f t="shared" si="1"/>
        <v>42.000571101094906</v>
      </c>
    </row>
    <row r="52" spans="1:16">
      <c r="A52" s="2894" t="s">
        <v>3133</v>
      </c>
      <c r="B52" s="2894" t="s">
        <v>3023</v>
      </c>
      <c r="C52" s="2894" t="s">
        <v>3024</v>
      </c>
      <c r="D52" s="2894">
        <v>9674.75</v>
      </c>
      <c r="E52" s="2894">
        <v>29024.25</v>
      </c>
      <c r="F52" s="2894" t="s">
        <v>3025</v>
      </c>
      <c r="G52" s="2894" t="s">
        <v>3059</v>
      </c>
      <c r="H52" s="2894" t="s">
        <v>3134</v>
      </c>
      <c r="I52" s="2894" t="s">
        <v>2817</v>
      </c>
      <c r="J52" s="2894">
        <v>609.5</v>
      </c>
      <c r="K52" s="2894">
        <v>210</v>
      </c>
      <c r="L52" s="2894" t="s">
        <v>2817</v>
      </c>
      <c r="M52" s="2894" t="s">
        <v>3135</v>
      </c>
      <c r="N52" s="2894" t="s">
        <v>3029</v>
      </c>
      <c r="O52" s="2894">
        <f t="shared" si="0"/>
        <v>629.9904390294322</v>
      </c>
      <c r="P52" s="2894">
        <f t="shared" si="1"/>
        <v>41.99957259877516</v>
      </c>
    </row>
    <row r="53" spans="1:16">
      <c r="A53" s="2894" t="s">
        <v>3145</v>
      </c>
      <c r="B53" s="2894" t="s">
        <v>3023</v>
      </c>
      <c r="C53" s="2894" t="s">
        <v>3024</v>
      </c>
      <c r="D53" s="2894">
        <v>962.53</v>
      </c>
      <c r="E53" s="2894">
        <v>789.27</v>
      </c>
      <c r="F53" s="2894" t="s">
        <v>3146</v>
      </c>
      <c r="G53" s="2894" t="s">
        <v>3059</v>
      </c>
      <c r="H53" s="2894" t="s">
        <v>3147</v>
      </c>
      <c r="I53" s="2894" t="s">
        <v>2817</v>
      </c>
      <c r="J53" s="2894">
        <v>158</v>
      </c>
      <c r="K53" s="2894">
        <v>2001.84</v>
      </c>
      <c r="L53" s="2894" t="s">
        <v>2817</v>
      </c>
      <c r="M53" s="2894" t="s">
        <v>3148</v>
      </c>
      <c r="N53" s="2894" t="s">
        <v>3037</v>
      </c>
      <c r="O53" s="2894">
        <f t="shared" si="0"/>
        <v>1641.5072776952409</v>
      </c>
      <c r="P53" s="2894">
        <f t="shared" si="1"/>
        <v>109.43436568210859</v>
      </c>
    </row>
    <row r="54" spans="1:16">
      <c r="A54" s="2894" t="s">
        <v>3149</v>
      </c>
      <c r="B54" s="2894" t="s">
        <v>3023</v>
      </c>
      <c r="C54" s="2894" t="s">
        <v>3024</v>
      </c>
      <c r="D54" s="2894">
        <v>10000.43</v>
      </c>
      <c r="E54" s="2894">
        <v>15000.65</v>
      </c>
      <c r="F54" s="2894" t="s">
        <v>3150</v>
      </c>
      <c r="G54" s="2894" t="s">
        <v>3059</v>
      </c>
      <c r="H54" s="2894" t="s">
        <v>3151</v>
      </c>
      <c r="I54" s="2894">
        <v>1047.04</v>
      </c>
      <c r="J54" s="2894">
        <v>1062.04</v>
      </c>
      <c r="K54" s="2894">
        <v>708</v>
      </c>
      <c r="L54" s="2894">
        <v>1.43</v>
      </c>
      <c r="M54" s="2894" t="s">
        <v>3152</v>
      </c>
      <c r="N54" s="2894" t="s">
        <v>3037</v>
      </c>
      <c r="O54" s="2894">
        <f t="shared" si="0"/>
        <v>1061.9943342436275</v>
      </c>
      <c r="P54" s="2894">
        <f t="shared" si="1"/>
        <v>70.799976281019909</v>
      </c>
    </row>
    <row r="55" spans="1:16">
      <c r="A55" s="2894" t="s">
        <v>3153</v>
      </c>
      <c r="B55" s="2894" t="s">
        <v>3023</v>
      </c>
      <c r="C55" s="2894" t="s">
        <v>3024</v>
      </c>
      <c r="D55" s="2894">
        <v>58285.82</v>
      </c>
      <c r="E55" s="2894">
        <v>174857.5</v>
      </c>
      <c r="F55" s="2894" t="s">
        <v>3154</v>
      </c>
      <c r="G55" s="2894" t="s">
        <v>3059</v>
      </c>
      <c r="H55" s="2894" t="s">
        <v>3151</v>
      </c>
      <c r="I55" s="2894">
        <v>6242.4</v>
      </c>
      <c r="J55" s="2894">
        <v>6417.27</v>
      </c>
      <c r="K55" s="2894">
        <v>367</v>
      </c>
      <c r="L55" s="2894">
        <v>2.8</v>
      </c>
      <c r="M55" s="2894" t="s">
        <v>3152</v>
      </c>
      <c r="N55" s="2894" t="s">
        <v>3037</v>
      </c>
      <c r="O55" s="2894">
        <f t="shared" si="0"/>
        <v>1101.0002089702093</v>
      </c>
      <c r="P55" s="2894">
        <f t="shared" si="1"/>
        <v>73.400380931416933</v>
      </c>
    </row>
    <row r="56" spans="1:16" s="3191" customFormat="1">
      <c r="A56" s="3191" t="s">
        <v>3155</v>
      </c>
      <c r="B56" s="3191" t="s">
        <v>3023</v>
      </c>
      <c r="C56" s="3191" t="s">
        <v>3024</v>
      </c>
      <c r="D56" s="3191">
        <v>5336.51</v>
      </c>
      <c r="E56" s="3191">
        <v>2668.26</v>
      </c>
      <c r="F56" s="3191" t="s">
        <v>3156</v>
      </c>
      <c r="G56" s="3191" t="s">
        <v>3059</v>
      </c>
      <c r="H56" s="3191" t="s">
        <v>3157</v>
      </c>
      <c r="I56" s="3191" t="s">
        <v>2817</v>
      </c>
      <c r="J56" s="3191">
        <v>320.75</v>
      </c>
      <c r="K56" s="3191">
        <v>1202.08</v>
      </c>
      <c r="L56" s="3191" t="s">
        <v>2817</v>
      </c>
      <c r="M56" s="3191" t="s">
        <v>3158</v>
      </c>
      <c r="N56" s="3191" t="s">
        <v>3033</v>
      </c>
      <c r="O56" s="3191">
        <f t="shared" si="0"/>
        <v>601.04825063571514</v>
      </c>
      <c r="P56" s="3191">
        <f t="shared" si="1"/>
        <v>40.070083725131212</v>
      </c>
    </row>
    <row r="57" spans="1:16">
      <c r="A57" s="2894" t="s">
        <v>3159</v>
      </c>
      <c r="B57" s="2894" t="s">
        <v>3023</v>
      </c>
      <c r="C57" s="2894" t="s">
        <v>3024</v>
      </c>
      <c r="D57" s="2894">
        <v>19999.95</v>
      </c>
      <c r="E57" s="2894">
        <v>39999.9</v>
      </c>
      <c r="F57" s="2894" t="s">
        <v>3046</v>
      </c>
      <c r="G57" s="2894" t="s">
        <v>3059</v>
      </c>
      <c r="H57" s="2894" t="s">
        <v>3160</v>
      </c>
      <c r="I57" s="2894" t="s">
        <v>2817</v>
      </c>
      <c r="J57" s="2894">
        <v>2183.98</v>
      </c>
      <c r="K57" s="2894">
        <v>546</v>
      </c>
      <c r="L57" s="2894" t="s">
        <v>2817</v>
      </c>
      <c r="M57" s="2894" t="s">
        <v>3161</v>
      </c>
      <c r="N57" s="2894" t="s">
        <v>3037</v>
      </c>
      <c r="O57" s="2894">
        <f t="shared" si="0"/>
        <v>1091.9927299818251</v>
      </c>
      <c r="P57" s="2894">
        <f t="shared" si="1"/>
        <v>72.799879329698314</v>
      </c>
    </row>
    <row r="58" spans="1:16">
      <c r="A58" s="2894" t="s">
        <v>3162</v>
      </c>
      <c r="B58" s="2894" t="s">
        <v>3023</v>
      </c>
      <c r="C58" s="2894" t="s">
        <v>3024</v>
      </c>
      <c r="D58" s="2894">
        <v>19967.7</v>
      </c>
      <c r="E58" s="2894">
        <v>59903.1</v>
      </c>
      <c r="F58" s="2894" t="s">
        <v>3025</v>
      </c>
      <c r="G58" s="2894" t="s">
        <v>3059</v>
      </c>
      <c r="H58" s="2894" t="s">
        <v>3163</v>
      </c>
      <c r="I58" s="2894" t="s">
        <v>2817</v>
      </c>
      <c r="J58" s="2894">
        <v>1257.97</v>
      </c>
      <c r="K58" s="2894">
        <v>210</v>
      </c>
      <c r="L58" s="2894" t="s">
        <v>2817</v>
      </c>
      <c r="M58" s="2894" t="s">
        <v>3135</v>
      </c>
      <c r="N58" s="2894" t="s">
        <v>3029</v>
      </c>
      <c r="O58" s="2894">
        <f t="shared" si="0"/>
        <v>630.00245396315051</v>
      </c>
      <c r="P58" s="2894">
        <f t="shared" si="1"/>
        <v>42.00037359836135</v>
      </c>
    </row>
    <row r="59" spans="1:16">
      <c r="A59" s="2894" t="s">
        <v>3164</v>
      </c>
      <c r="B59" s="2894" t="s">
        <v>3023</v>
      </c>
      <c r="C59" s="2894" t="s">
        <v>3024</v>
      </c>
      <c r="D59" s="2894">
        <v>14822.15</v>
      </c>
      <c r="E59" s="2894">
        <v>44466.45</v>
      </c>
      <c r="F59" s="2894" t="s">
        <v>3025</v>
      </c>
      <c r="G59" s="2894" t="s">
        <v>3059</v>
      </c>
      <c r="H59" s="2894" t="s">
        <v>3163</v>
      </c>
      <c r="I59" s="2894" t="s">
        <v>2817</v>
      </c>
      <c r="J59" s="2894">
        <v>933.79</v>
      </c>
      <c r="K59" s="2894">
        <v>210</v>
      </c>
      <c r="L59" s="2894" t="s">
        <v>2817</v>
      </c>
      <c r="M59" s="2894" t="s">
        <v>3135</v>
      </c>
      <c r="N59" s="2894" t="s">
        <v>3037</v>
      </c>
      <c r="O59" s="2894">
        <f t="shared" si="0"/>
        <v>629.99632307053969</v>
      </c>
      <c r="P59" s="2894">
        <f t="shared" si="1"/>
        <v>41.999964870143671</v>
      </c>
    </row>
    <row r="60" spans="1:16">
      <c r="A60" s="2894" t="s">
        <v>3165</v>
      </c>
      <c r="B60" s="2894" t="s">
        <v>3023</v>
      </c>
      <c r="C60" s="2894" t="s">
        <v>3024</v>
      </c>
      <c r="D60" s="2894">
        <v>1197.2</v>
      </c>
      <c r="E60" s="2894">
        <v>3591.6</v>
      </c>
      <c r="F60" s="2894" t="s">
        <v>3025</v>
      </c>
      <c r="G60" s="2894" t="s">
        <v>3059</v>
      </c>
      <c r="H60" s="2894" t="s">
        <v>3163</v>
      </c>
      <c r="I60" s="2894" t="s">
        <v>2817</v>
      </c>
      <c r="J60" s="2894">
        <v>75.42</v>
      </c>
      <c r="K60" s="2894">
        <v>209.99</v>
      </c>
      <c r="L60" s="2894" t="s">
        <v>2817</v>
      </c>
      <c r="M60" s="2894" t="s">
        <v>3135</v>
      </c>
      <c r="N60" s="2894" t="s">
        <v>3037</v>
      </c>
      <c r="O60" s="2894">
        <f t="shared" si="0"/>
        <v>629.96992983628468</v>
      </c>
      <c r="P60" s="2894">
        <f t="shared" si="1"/>
        <v>41.998205312395591</v>
      </c>
    </row>
    <row r="61" spans="1:16">
      <c r="A61" s="2894" t="s">
        <v>3166</v>
      </c>
      <c r="B61" s="2894" t="s">
        <v>3023</v>
      </c>
      <c r="C61" s="2894" t="s">
        <v>3024</v>
      </c>
      <c r="D61" s="2894">
        <v>39644.71</v>
      </c>
      <c r="E61" s="2894">
        <v>19822.36</v>
      </c>
      <c r="F61" s="2894" t="s">
        <v>3156</v>
      </c>
      <c r="G61" s="2894" t="s">
        <v>3059</v>
      </c>
      <c r="H61" s="2894" t="s">
        <v>3167</v>
      </c>
      <c r="I61" s="2894">
        <v>4341.1000000000004</v>
      </c>
      <c r="J61" s="2894">
        <v>4341.1000000000004</v>
      </c>
      <c r="K61" s="2894">
        <v>2190</v>
      </c>
      <c r="L61" s="2894">
        <v>0</v>
      </c>
      <c r="M61" s="2894" t="s">
        <v>3052</v>
      </c>
      <c r="N61" s="2894" t="s">
        <v>3033</v>
      </c>
      <c r="O61" s="2894">
        <f t="shared" si="0"/>
        <v>1095.0010732831695</v>
      </c>
      <c r="P61" s="2894">
        <f t="shared" si="1"/>
        <v>73.000436552569056</v>
      </c>
    </row>
    <row r="62" spans="1:16">
      <c r="A62" s="2894" t="s">
        <v>3168</v>
      </c>
      <c r="B62" s="2894" t="s">
        <v>3023</v>
      </c>
      <c r="C62" s="2894" t="s">
        <v>3024</v>
      </c>
      <c r="D62" s="2894">
        <v>46872.38</v>
      </c>
      <c r="E62" s="2894">
        <v>23436.19</v>
      </c>
      <c r="F62" s="2894" t="s">
        <v>3156</v>
      </c>
      <c r="G62" s="2894" t="s">
        <v>3059</v>
      </c>
      <c r="H62" s="2894" t="s">
        <v>3167</v>
      </c>
      <c r="I62" s="2894">
        <v>5132.5200000000004</v>
      </c>
      <c r="J62" s="2894">
        <v>5132.5200000000004</v>
      </c>
      <c r="K62" s="2894">
        <v>2190</v>
      </c>
      <c r="L62" s="2894">
        <v>0</v>
      </c>
      <c r="M62" s="2894" t="s">
        <v>3052</v>
      </c>
      <c r="N62" s="2894" t="s">
        <v>3037</v>
      </c>
      <c r="O62" s="2894">
        <f t="shared" si="0"/>
        <v>1094.9988031331034</v>
      </c>
      <c r="P62" s="2894">
        <f t="shared" si="1"/>
        <v>73.000285208474594</v>
      </c>
    </row>
    <row r="63" spans="1:16">
      <c r="A63" s="2894" t="s">
        <v>3169</v>
      </c>
      <c r="B63" s="2894" t="s">
        <v>3023</v>
      </c>
      <c r="C63" s="2894" t="s">
        <v>3024</v>
      </c>
      <c r="D63" s="2894">
        <v>75734.850000000006</v>
      </c>
      <c r="E63" s="2894">
        <v>37867.43</v>
      </c>
      <c r="F63" s="2894" t="s">
        <v>3156</v>
      </c>
      <c r="G63" s="2894" t="s">
        <v>3059</v>
      </c>
      <c r="H63" s="2894" t="s">
        <v>3167</v>
      </c>
      <c r="I63" s="2894">
        <v>8292.9599999999991</v>
      </c>
      <c r="J63" s="2894">
        <v>8292.9599999999991</v>
      </c>
      <c r="K63" s="2894">
        <v>2190</v>
      </c>
      <c r="L63" s="2894">
        <v>0</v>
      </c>
      <c r="M63" s="2894" t="s">
        <v>3052</v>
      </c>
      <c r="N63" s="2894" t="s">
        <v>3033</v>
      </c>
      <c r="O63" s="2894">
        <f t="shared" si="0"/>
        <v>1094.9991978593737</v>
      </c>
      <c r="P63" s="2894">
        <f t="shared" si="1"/>
        <v>73.000311523690854</v>
      </c>
    </row>
    <row r="64" spans="1:16">
      <c r="A64" s="2894" t="s">
        <v>3170</v>
      </c>
      <c r="B64" s="2894" t="s">
        <v>3023</v>
      </c>
      <c r="C64" s="2894" t="s">
        <v>3024</v>
      </c>
      <c r="D64" s="2894">
        <v>1566.83</v>
      </c>
      <c r="E64" s="2894">
        <v>3133.66</v>
      </c>
      <c r="F64" s="2894" t="s">
        <v>3171</v>
      </c>
      <c r="G64" s="2894" t="s">
        <v>3059</v>
      </c>
      <c r="H64" s="2894" t="s">
        <v>3172</v>
      </c>
      <c r="I64" s="2894" t="s">
        <v>2817</v>
      </c>
      <c r="J64" s="2894">
        <v>82.26</v>
      </c>
      <c r="K64" s="2894">
        <v>262.5</v>
      </c>
      <c r="L64" s="2894" t="s">
        <v>2817</v>
      </c>
      <c r="M64" s="2894" t="s">
        <v>3173</v>
      </c>
      <c r="N64" s="2894" t="s">
        <v>3037</v>
      </c>
      <c r="O64" s="2894">
        <f t="shared" si="0"/>
        <v>525.00909479649999</v>
      </c>
      <c r="P64" s="2894">
        <f t="shared" si="1"/>
        <v>35.000781322798261</v>
      </c>
    </row>
    <row r="65" spans="1:16">
      <c r="A65" s="2894" t="s">
        <v>3174</v>
      </c>
      <c r="B65" s="2894" t="s">
        <v>3023</v>
      </c>
      <c r="C65" s="2894" t="s">
        <v>3024</v>
      </c>
      <c r="D65" s="2894">
        <v>152405</v>
      </c>
      <c r="E65" s="2894">
        <v>457215.1</v>
      </c>
      <c r="F65" s="2894" t="s">
        <v>3175</v>
      </c>
      <c r="G65" s="2894" t="s">
        <v>3059</v>
      </c>
      <c r="H65" s="2894" t="s">
        <v>3172</v>
      </c>
      <c r="I65" s="2894" t="s">
        <v>2817</v>
      </c>
      <c r="J65" s="2894">
        <v>11659</v>
      </c>
      <c r="K65" s="2894">
        <v>255</v>
      </c>
      <c r="L65" s="2894" t="s">
        <v>2817</v>
      </c>
      <c r="M65" s="2894" t="s">
        <v>3044</v>
      </c>
      <c r="N65" s="2894" t="s">
        <v>3037</v>
      </c>
      <c r="O65" s="2894">
        <f t="shared" si="0"/>
        <v>765.00114825629089</v>
      </c>
      <c r="P65" s="2894">
        <f t="shared" si="1"/>
        <v>51.000331550802137</v>
      </c>
    </row>
    <row r="66" spans="1:16">
      <c r="A66" s="2894" t="s">
        <v>3176</v>
      </c>
      <c r="B66" s="2894" t="s">
        <v>3023</v>
      </c>
      <c r="C66" s="2894" t="s">
        <v>3024</v>
      </c>
      <c r="D66" s="2894">
        <v>25718.76</v>
      </c>
      <c r="E66" s="2894">
        <v>102875</v>
      </c>
      <c r="F66" s="2894" t="s">
        <v>3177</v>
      </c>
      <c r="G66" s="2894" t="s">
        <v>3059</v>
      </c>
      <c r="H66" s="2894" t="s">
        <v>3172</v>
      </c>
      <c r="I66" s="2894" t="s">
        <v>2817</v>
      </c>
      <c r="J66" s="2894">
        <v>2150</v>
      </c>
      <c r="K66" s="2894">
        <v>208.99</v>
      </c>
      <c r="L66" s="2894" t="s">
        <v>2817</v>
      </c>
      <c r="M66" s="2894" t="s">
        <v>3044</v>
      </c>
      <c r="N66" s="2894" t="s">
        <v>3037</v>
      </c>
      <c r="O66" s="2894">
        <f t="shared" si="0"/>
        <v>835.96565308747404</v>
      </c>
      <c r="P66" s="2894">
        <f t="shared" si="1"/>
        <v>55.731322194382628</v>
      </c>
    </row>
    <row r="67" spans="1:16">
      <c r="A67" s="2894" t="s">
        <v>3178</v>
      </c>
      <c r="B67" s="2894" t="s">
        <v>3023</v>
      </c>
      <c r="C67" s="2894" t="s">
        <v>3024</v>
      </c>
      <c r="D67" s="2894">
        <v>33385.07</v>
      </c>
      <c r="E67" s="2894">
        <v>100155.2</v>
      </c>
      <c r="F67" s="2894" t="s">
        <v>3175</v>
      </c>
      <c r="G67" s="2894" t="s">
        <v>3059</v>
      </c>
      <c r="H67" s="2894" t="s">
        <v>3172</v>
      </c>
      <c r="I67" s="2894" t="s">
        <v>2817</v>
      </c>
      <c r="J67" s="2894">
        <v>2584</v>
      </c>
      <c r="K67" s="2894">
        <v>258</v>
      </c>
      <c r="L67" s="2894" t="s">
        <v>2817</v>
      </c>
      <c r="M67" s="2894" t="s">
        <v>3044</v>
      </c>
      <c r="N67" s="2894" t="s">
        <v>3037</v>
      </c>
      <c r="O67" s="2894">
        <f t="shared" ref="O67:O101" si="2">J67/D67*10000</f>
        <v>773.99867665396539</v>
      </c>
      <c r="P67" s="2894">
        <f t="shared" ref="P67:P101" si="3">J67/(D67/666.67)</f>
        <v>51.600169776489906</v>
      </c>
    </row>
    <row r="68" spans="1:16">
      <c r="A68" s="2894" t="s">
        <v>3170</v>
      </c>
      <c r="B68" s="2894" t="s">
        <v>3023</v>
      </c>
      <c r="C68" s="2894" t="s">
        <v>3024</v>
      </c>
      <c r="D68" s="2894">
        <v>13237.47</v>
      </c>
      <c r="E68" s="2894">
        <v>26474.94</v>
      </c>
      <c r="F68" s="2894" t="s">
        <v>3171</v>
      </c>
      <c r="G68" s="2894" t="s">
        <v>3059</v>
      </c>
      <c r="H68" s="2894" t="s">
        <v>3172</v>
      </c>
      <c r="I68" s="2894" t="s">
        <v>2817</v>
      </c>
      <c r="J68" s="2894">
        <v>695.1</v>
      </c>
      <c r="K68" s="2894">
        <v>262.55</v>
      </c>
      <c r="L68" s="2894" t="s">
        <v>2817</v>
      </c>
      <c r="M68" s="2894" t="s">
        <v>3179</v>
      </c>
      <c r="N68" s="2894" t="s">
        <v>3037</v>
      </c>
      <c r="O68" s="2894">
        <f t="shared" si="2"/>
        <v>525.10034017074258</v>
      </c>
      <c r="P68" s="2894">
        <f t="shared" si="3"/>
        <v>35.006864378162895</v>
      </c>
    </row>
    <row r="69" spans="1:16">
      <c r="A69" s="2894" t="s">
        <v>3180</v>
      </c>
      <c r="B69" s="2894" t="s">
        <v>3023</v>
      </c>
      <c r="C69" s="2894" t="s">
        <v>3024</v>
      </c>
      <c r="D69" s="2894">
        <v>30030.240000000002</v>
      </c>
      <c r="E69" s="2894">
        <v>75075.600000000006</v>
      </c>
      <c r="F69" s="2894" t="s">
        <v>3121</v>
      </c>
      <c r="G69" s="2894" t="s">
        <v>3059</v>
      </c>
      <c r="H69" s="2894" t="s">
        <v>3181</v>
      </c>
      <c r="I69" s="2894" t="s">
        <v>2817</v>
      </c>
      <c r="J69" s="2894">
        <v>2252</v>
      </c>
      <c r="K69" s="2894">
        <v>299.95</v>
      </c>
      <c r="L69" s="2894" t="s">
        <v>2817</v>
      </c>
      <c r="M69" s="2894" t="s">
        <v>3182</v>
      </c>
      <c r="N69" s="2894" t="s">
        <v>3037</v>
      </c>
      <c r="O69" s="2894">
        <f t="shared" si="2"/>
        <v>749.91075662398964</v>
      </c>
      <c r="P69" s="2894">
        <f t="shared" si="3"/>
        <v>49.994300411851512</v>
      </c>
    </row>
    <row r="70" spans="1:16">
      <c r="A70" s="2894" t="s">
        <v>3183</v>
      </c>
      <c r="B70" s="2894" t="s">
        <v>3023</v>
      </c>
      <c r="C70" s="2894" t="s">
        <v>3024</v>
      </c>
      <c r="D70" s="2894">
        <v>19535.34</v>
      </c>
      <c r="E70" s="2894">
        <v>58606.02</v>
      </c>
      <c r="F70" s="2894" t="s">
        <v>3184</v>
      </c>
      <c r="G70" s="2894" t="s">
        <v>3059</v>
      </c>
      <c r="H70" s="2894" t="s">
        <v>3181</v>
      </c>
      <c r="I70" s="2894" t="s">
        <v>2817</v>
      </c>
      <c r="J70" s="2894">
        <v>1612</v>
      </c>
      <c r="K70" s="2894">
        <v>275.06</v>
      </c>
      <c r="L70" s="2894" t="s">
        <v>2817</v>
      </c>
      <c r="M70" s="2894" t="s">
        <v>3123</v>
      </c>
      <c r="N70" s="2894" t="s">
        <v>3033</v>
      </c>
      <c r="O70" s="2894">
        <f t="shared" si="2"/>
        <v>825.17120254881672</v>
      </c>
      <c r="P70" s="2894">
        <f t="shared" si="3"/>
        <v>55.01168856032195</v>
      </c>
    </row>
    <row r="71" spans="1:16">
      <c r="A71" s="2894" t="s">
        <v>3185</v>
      </c>
      <c r="B71" s="2894" t="s">
        <v>3023</v>
      </c>
      <c r="C71" s="2894" t="s">
        <v>3024</v>
      </c>
      <c r="D71" s="2894">
        <v>17918.29</v>
      </c>
      <c r="E71" s="2894">
        <v>14334.63</v>
      </c>
      <c r="F71" s="2894" t="s">
        <v>3186</v>
      </c>
      <c r="G71" s="2894" t="s">
        <v>3059</v>
      </c>
      <c r="H71" s="2894" t="s">
        <v>3187</v>
      </c>
      <c r="I71" s="2894">
        <v>941.07</v>
      </c>
      <c r="J71" s="2894">
        <v>941.07</v>
      </c>
      <c r="K71" s="2894">
        <v>656.5</v>
      </c>
      <c r="L71" s="2894">
        <v>0</v>
      </c>
      <c r="M71" s="2894" t="s">
        <v>3188</v>
      </c>
      <c r="N71" s="2894" t="s">
        <v>3033</v>
      </c>
      <c r="O71" s="2894">
        <f t="shared" si="2"/>
        <v>525.2007864589757</v>
      </c>
      <c r="P71" s="2894">
        <f t="shared" si="3"/>
        <v>35.013560830860534</v>
      </c>
    </row>
    <row r="72" spans="1:16">
      <c r="A72" s="2894" t="s">
        <v>3189</v>
      </c>
      <c r="B72" s="2894" t="s">
        <v>3023</v>
      </c>
      <c r="C72" s="2894" t="s">
        <v>3024</v>
      </c>
      <c r="D72" s="2894">
        <v>17729.59</v>
      </c>
      <c r="E72" s="2894">
        <v>14183.67</v>
      </c>
      <c r="F72" s="2894" t="s">
        <v>3186</v>
      </c>
      <c r="G72" s="2894" t="s">
        <v>3059</v>
      </c>
      <c r="H72" s="2894" t="s">
        <v>3187</v>
      </c>
      <c r="I72" s="2894">
        <v>931.15</v>
      </c>
      <c r="J72" s="2894">
        <v>931.15</v>
      </c>
      <c r="K72" s="2894">
        <v>656.5</v>
      </c>
      <c r="L72" s="2894">
        <v>0</v>
      </c>
      <c r="M72" s="2894" t="s">
        <v>3188</v>
      </c>
      <c r="N72" s="2894" t="s">
        <v>3033</v>
      </c>
      <c r="O72" s="2894">
        <f t="shared" si="2"/>
        <v>525.19545009219053</v>
      </c>
      <c r="P72" s="2894">
        <f t="shared" si="3"/>
        <v>35.013205071296063</v>
      </c>
    </row>
    <row r="73" spans="1:16">
      <c r="A73" s="2894" t="s">
        <v>3190</v>
      </c>
      <c r="B73" s="2894" t="s">
        <v>3023</v>
      </c>
      <c r="C73" s="2894" t="s">
        <v>3024</v>
      </c>
      <c r="D73" s="2894">
        <v>6666.67</v>
      </c>
      <c r="E73" s="2894">
        <v>13333.34</v>
      </c>
      <c r="F73" s="2894" t="s">
        <v>3046</v>
      </c>
      <c r="G73" s="2894" t="s">
        <v>3059</v>
      </c>
      <c r="H73" s="2894" t="s">
        <v>3191</v>
      </c>
      <c r="I73" s="2894" t="s">
        <v>2817</v>
      </c>
      <c r="J73" s="2894">
        <v>456</v>
      </c>
      <c r="K73" s="2894">
        <v>342</v>
      </c>
      <c r="L73" s="2894" t="s">
        <v>2817</v>
      </c>
      <c r="M73" s="2894" t="s">
        <v>3192</v>
      </c>
      <c r="N73" s="2894" t="s">
        <v>3037</v>
      </c>
      <c r="O73" s="2894">
        <f t="shared" si="2"/>
        <v>683.99965800017105</v>
      </c>
      <c r="P73" s="2894">
        <f t="shared" si="3"/>
        <v>45.600205199897395</v>
      </c>
    </row>
    <row r="74" spans="1:16">
      <c r="A74" s="2894" t="s">
        <v>3193</v>
      </c>
      <c r="B74" s="2894" t="s">
        <v>3023</v>
      </c>
      <c r="C74" s="2894" t="s">
        <v>3024</v>
      </c>
      <c r="D74" s="2894">
        <v>16883.509999999998</v>
      </c>
      <c r="E74" s="2894">
        <v>33767.019999999997</v>
      </c>
      <c r="F74" s="2894" t="s">
        <v>3046</v>
      </c>
      <c r="G74" s="2894" t="s">
        <v>3059</v>
      </c>
      <c r="H74" s="2894" t="s">
        <v>3191</v>
      </c>
      <c r="I74" s="2894" t="s">
        <v>2817</v>
      </c>
      <c r="J74" s="2894">
        <v>1124.44</v>
      </c>
      <c r="K74" s="2894">
        <v>333</v>
      </c>
      <c r="L74" s="2894" t="s">
        <v>2817</v>
      </c>
      <c r="M74" s="2894" t="s">
        <v>3194</v>
      </c>
      <c r="N74" s="2894" t="s">
        <v>3037</v>
      </c>
      <c r="O74" s="2894">
        <f t="shared" si="2"/>
        <v>665.99895400897094</v>
      </c>
      <c r="P74" s="2894">
        <f t="shared" si="3"/>
        <v>44.400152266916066</v>
      </c>
    </row>
    <row r="75" spans="1:16">
      <c r="A75" s="2894" t="s">
        <v>3195</v>
      </c>
      <c r="B75" s="2894" t="s">
        <v>3023</v>
      </c>
      <c r="C75" s="2894" t="s">
        <v>3024</v>
      </c>
      <c r="D75" s="2894">
        <v>2424.1</v>
      </c>
      <c r="E75" s="2894">
        <v>1212.05</v>
      </c>
      <c r="F75" s="2894" t="s">
        <v>3156</v>
      </c>
      <c r="G75" s="2894" t="s">
        <v>3026</v>
      </c>
      <c r="H75" s="2894" t="s">
        <v>3196</v>
      </c>
      <c r="I75" s="2894" t="s">
        <v>2817</v>
      </c>
      <c r="J75" s="2894">
        <v>262</v>
      </c>
      <c r="K75" s="2894">
        <v>2161.63</v>
      </c>
      <c r="L75" s="2894" t="s">
        <v>2817</v>
      </c>
      <c r="M75" s="2894" t="s">
        <v>3197</v>
      </c>
      <c r="N75" s="2894" t="s">
        <v>3037</v>
      </c>
      <c r="O75" s="2894">
        <f t="shared" si="2"/>
        <v>1080.8134977929953</v>
      </c>
      <c r="P75" s="2894">
        <f t="shared" si="3"/>
        <v>72.054593457365613</v>
      </c>
    </row>
    <row r="76" spans="1:16">
      <c r="A76" s="2894" t="s">
        <v>3198</v>
      </c>
      <c r="B76" s="2894" t="s">
        <v>3023</v>
      </c>
      <c r="C76" s="2894" t="s">
        <v>3024</v>
      </c>
      <c r="D76" s="2894">
        <v>2360.75</v>
      </c>
      <c r="E76" s="2894">
        <v>1180.3800000000001</v>
      </c>
      <c r="F76" s="2894" t="s">
        <v>3156</v>
      </c>
      <c r="G76" s="2894" t="s">
        <v>3026</v>
      </c>
      <c r="H76" s="2894" t="s">
        <v>3196</v>
      </c>
      <c r="I76" s="2894" t="s">
        <v>2817</v>
      </c>
      <c r="J76" s="2894">
        <v>255</v>
      </c>
      <c r="K76" s="2894">
        <v>2160.3200000000002</v>
      </c>
      <c r="L76" s="2894" t="s">
        <v>2817</v>
      </c>
      <c r="M76" s="2894" t="s">
        <v>3197</v>
      </c>
      <c r="N76" s="2894" t="s">
        <v>3037</v>
      </c>
      <c r="O76" s="2894">
        <f t="shared" si="2"/>
        <v>1080.1652017367362</v>
      </c>
      <c r="P76" s="2894">
        <f t="shared" si="3"/>
        <v>72.011373504182984</v>
      </c>
    </row>
    <row r="77" spans="1:16" s="3198" customFormat="1">
      <c r="A77" s="3198" t="s">
        <v>3199</v>
      </c>
      <c r="B77" s="3198" t="s">
        <v>3023</v>
      </c>
      <c r="C77" s="3198" t="s">
        <v>3024</v>
      </c>
      <c r="D77" s="3198">
        <v>23288.04</v>
      </c>
      <c r="E77" s="3198">
        <v>27945.65</v>
      </c>
      <c r="F77" s="3198" t="s">
        <v>3200</v>
      </c>
      <c r="G77" s="3198" t="s">
        <v>3059</v>
      </c>
      <c r="H77" s="3198" t="s">
        <v>3201</v>
      </c>
      <c r="I77" s="3198" t="s">
        <v>2817</v>
      </c>
      <c r="J77" s="3198">
        <v>2759.63</v>
      </c>
      <c r="K77" s="3198">
        <v>987.5</v>
      </c>
      <c r="L77" s="3198" t="s">
        <v>2817</v>
      </c>
      <c r="M77" s="3198" t="s">
        <v>3202</v>
      </c>
      <c r="N77" s="3198" t="s">
        <v>3037</v>
      </c>
      <c r="O77" s="3198">
        <f t="shared" si="2"/>
        <v>1184.998823430396</v>
      </c>
      <c r="P77" s="3198">
        <f t="shared" si="3"/>
        <v>79.000316561634207</v>
      </c>
    </row>
    <row r="78" spans="1:16">
      <c r="A78" s="2894" t="s">
        <v>3203</v>
      </c>
      <c r="B78" s="2894" t="s">
        <v>3023</v>
      </c>
      <c r="C78" s="2894" t="s">
        <v>3024</v>
      </c>
      <c r="D78" s="2894">
        <v>133350</v>
      </c>
      <c r="E78" s="2894">
        <v>160020</v>
      </c>
      <c r="F78" s="2894" t="s">
        <v>3204</v>
      </c>
      <c r="G78" s="2894" t="s">
        <v>3059</v>
      </c>
      <c r="H78" s="2894" t="s">
        <v>3205</v>
      </c>
      <c r="I78" s="2894" t="s">
        <v>2817</v>
      </c>
      <c r="J78" s="2894">
        <v>5000.63</v>
      </c>
      <c r="K78" s="2894">
        <v>312.5</v>
      </c>
      <c r="L78" s="2894" t="s">
        <v>2817</v>
      </c>
      <c r="M78" s="2894" t="s">
        <v>3206</v>
      </c>
      <c r="N78" s="2894" t="s">
        <v>3033</v>
      </c>
      <c r="O78" s="2894">
        <f t="shared" si="2"/>
        <v>375.00037495313092</v>
      </c>
      <c r="P78" s="2894">
        <f t="shared" si="3"/>
        <v>25.000149997000374</v>
      </c>
    </row>
    <row r="79" spans="1:16">
      <c r="A79" s="2894" t="s">
        <v>3207</v>
      </c>
      <c r="B79" s="2894" t="s">
        <v>3023</v>
      </c>
      <c r="C79" s="2894" t="s">
        <v>3024</v>
      </c>
      <c r="D79" s="2894">
        <v>57328.66</v>
      </c>
      <c r="E79" s="2894">
        <v>57328.66</v>
      </c>
      <c r="F79" s="2894" t="s">
        <v>3035</v>
      </c>
      <c r="G79" s="2894" t="s">
        <v>3059</v>
      </c>
      <c r="H79" s="2894" t="s">
        <v>3208</v>
      </c>
      <c r="I79" s="2894" t="s">
        <v>2817</v>
      </c>
      <c r="J79" s="2894">
        <v>2596.98</v>
      </c>
      <c r="K79" s="2894">
        <v>453</v>
      </c>
      <c r="L79" s="2894" t="s">
        <v>2817</v>
      </c>
      <c r="M79" s="2894" t="s">
        <v>3209</v>
      </c>
      <c r="N79" s="2894" t="s">
        <v>3037</v>
      </c>
      <c r="O79" s="2894">
        <f t="shared" si="2"/>
        <v>452.99855255643513</v>
      </c>
      <c r="P79" s="2894">
        <f t="shared" si="3"/>
        <v>30.200054503279858</v>
      </c>
    </row>
    <row r="80" spans="1:16">
      <c r="A80" s="2894" t="s">
        <v>3210</v>
      </c>
      <c r="B80" s="2894" t="s">
        <v>3023</v>
      </c>
      <c r="C80" s="2894" t="s">
        <v>3024</v>
      </c>
      <c r="D80" s="2894">
        <v>23126</v>
      </c>
      <c r="E80" s="2894">
        <v>46252</v>
      </c>
      <c r="F80" s="2894" t="s">
        <v>3046</v>
      </c>
      <c r="G80" s="2894" t="s">
        <v>3059</v>
      </c>
      <c r="H80" s="2894" t="s">
        <v>3208</v>
      </c>
      <c r="I80" s="2894" t="s">
        <v>2817</v>
      </c>
      <c r="J80" s="2894">
        <v>1539.15</v>
      </c>
      <c r="K80" s="2894">
        <v>332.76</v>
      </c>
      <c r="L80" s="2894" t="s">
        <v>2817</v>
      </c>
      <c r="M80" s="2894" t="s">
        <v>3211</v>
      </c>
      <c r="N80" s="2894" t="s">
        <v>3037</v>
      </c>
      <c r="O80" s="2894">
        <f t="shared" si="2"/>
        <v>665.54959785522794</v>
      </c>
      <c r="P80" s="2894">
        <f t="shared" si="3"/>
        <v>44.370195040214476</v>
      </c>
    </row>
    <row r="81" spans="1:16">
      <c r="A81" s="2894" t="s">
        <v>3062</v>
      </c>
      <c r="B81" s="2894" t="s">
        <v>3023</v>
      </c>
      <c r="C81" s="2894" t="s">
        <v>3024</v>
      </c>
      <c r="D81" s="2894">
        <v>17274.080000000002</v>
      </c>
      <c r="E81" s="2894">
        <v>31093.34</v>
      </c>
      <c r="F81" s="2894" t="s">
        <v>3212</v>
      </c>
      <c r="G81" s="2894" t="s">
        <v>3059</v>
      </c>
      <c r="H81" s="2894" t="s">
        <v>3208</v>
      </c>
      <c r="I81" s="2894" t="s">
        <v>2817</v>
      </c>
      <c r="J81" s="2894">
        <v>1451</v>
      </c>
      <c r="K81" s="2894">
        <v>466.66</v>
      </c>
      <c r="L81" s="2894" t="s">
        <v>2817</v>
      </c>
      <c r="M81" s="2894" t="s">
        <v>3213</v>
      </c>
      <c r="N81" s="2894" t="s">
        <v>3037</v>
      </c>
      <c r="O81" s="2894">
        <f t="shared" si="2"/>
        <v>839.98684734584992</v>
      </c>
      <c r="P81" s="2894">
        <f t="shared" si="3"/>
        <v>55.999403152005769</v>
      </c>
    </row>
    <row r="82" spans="1:16">
      <c r="A82" s="2894" t="s">
        <v>3214</v>
      </c>
      <c r="B82" s="2894" t="s">
        <v>3023</v>
      </c>
      <c r="C82" s="2894" t="s">
        <v>3024</v>
      </c>
      <c r="D82" s="2894">
        <v>4202.82</v>
      </c>
      <c r="E82" s="2894">
        <v>4202.82</v>
      </c>
      <c r="F82" s="2894" t="s">
        <v>3035</v>
      </c>
      <c r="G82" s="2894" t="s">
        <v>3059</v>
      </c>
      <c r="H82" s="2894" t="s">
        <v>3208</v>
      </c>
      <c r="I82" s="2894" t="s">
        <v>2817</v>
      </c>
      <c r="J82" s="2894">
        <v>242.71</v>
      </c>
      <c r="K82" s="2894">
        <v>577.49</v>
      </c>
      <c r="L82" s="2894" t="s">
        <v>2817</v>
      </c>
      <c r="M82" s="2894" t="s">
        <v>3215</v>
      </c>
      <c r="N82" s="2894" t="s">
        <v>3037</v>
      </c>
      <c r="O82" s="2894">
        <f t="shared" si="2"/>
        <v>577.4932069420056</v>
      </c>
      <c r="P82" s="2894">
        <f t="shared" si="3"/>
        <v>38.499739627202693</v>
      </c>
    </row>
    <row r="83" spans="1:16">
      <c r="A83" s="2894" t="s">
        <v>3216</v>
      </c>
      <c r="B83" s="2894" t="s">
        <v>3023</v>
      </c>
      <c r="C83" s="2894" t="s">
        <v>3024</v>
      </c>
      <c r="D83" s="2894">
        <v>43260.19</v>
      </c>
      <c r="E83" s="2894">
        <v>86520.38</v>
      </c>
      <c r="F83" s="2894" t="s">
        <v>3110</v>
      </c>
      <c r="G83" s="2894" t="s">
        <v>3059</v>
      </c>
      <c r="H83" s="2894" t="s">
        <v>3217</v>
      </c>
      <c r="I83" s="2894" t="s">
        <v>2817</v>
      </c>
      <c r="J83" s="2894">
        <v>3088.05</v>
      </c>
      <c r="K83" s="2894">
        <v>356.92</v>
      </c>
      <c r="L83" s="2894" t="s">
        <v>2817</v>
      </c>
      <c r="M83" s="2894" t="s">
        <v>3218</v>
      </c>
      <c r="N83" s="2894" t="s">
        <v>3037</v>
      </c>
      <c r="O83" s="2894">
        <f t="shared" si="2"/>
        <v>713.83181627265162</v>
      </c>
      <c r="P83" s="2894">
        <f t="shared" si="3"/>
        <v>47.589025695448861</v>
      </c>
    </row>
    <row r="84" spans="1:16">
      <c r="A84" s="2894" t="s">
        <v>3219</v>
      </c>
      <c r="B84" s="2894" t="s">
        <v>3023</v>
      </c>
      <c r="C84" s="2894" t="s">
        <v>3024</v>
      </c>
      <c r="D84" s="2894">
        <v>52352.85</v>
      </c>
      <c r="E84" s="2894">
        <v>104705.7</v>
      </c>
      <c r="F84" s="2894" t="s">
        <v>3110</v>
      </c>
      <c r="G84" s="2894" t="s">
        <v>3059</v>
      </c>
      <c r="H84" s="2894" t="s">
        <v>3217</v>
      </c>
      <c r="I84" s="2894" t="s">
        <v>2817</v>
      </c>
      <c r="J84" s="2894">
        <v>3816.51</v>
      </c>
      <c r="K84" s="2894">
        <v>364.5</v>
      </c>
      <c r="L84" s="2894" t="s">
        <v>2817</v>
      </c>
      <c r="M84" s="2894" t="s">
        <v>3218</v>
      </c>
      <c r="N84" s="2894" t="s">
        <v>3037</v>
      </c>
      <c r="O84" s="2894">
        <f t="shared" si="2"/>
        <v>728.99756173732658</v>
      </c>
      <c r="P84" s="2894">
        <f t="shared" si="3"/>
        <v>48.600080448342354</v>
      </c>
    </row>
    <row r="85" spans="1:16">
      <c r="A85" s="2894" t="s">
        <v>3220</v>
      </c>
      <c r="B85" s="2894" t="s">
        <v>3023</v>
      </c>
      <c r="C85" s="2894" t="s">
        <v>3024</v>
      </c>
      <c r="D85" s="2894">
        <v>44713.89</v>
      </c>
      <c r="E85" s="2894">
        <v>67070.83</v>
      </c>
      <c r="F85" s="2894" t="s">
        <v>3150</v>
      </c>
      <c r="G85" s="2894" t="s">
        <v>3059</v>
      </c>
      <c r="H85" s="2894" t="s">
        <v>3221</v>
      </c>
      <c r="I85" s="2894" t="s">
        <v>2817</v>
      </c>
      <c r="J85" s="2894">
        <v>4728.4799999999996</v>
      </c>
      <c r="K85" s="2894">
        <v>705</v>
      </c>
      <c r="L85" s="2894" t="s">
        <v>2817</v>
      </c>
      <c r="M85" s="2894" t="s">
        <v>3222</v>
      </c>
      <c r="N85" s="2894" t="s">
        <v>3033</v>
      </c>
      <c r="O85" s="2894">
        <f t="shared" si="2"/>
        <v>1057.4968986147258</v>
      </c>
      <c r="P85" s="2894">
        <f t="shared" si="3"/>
        <v>70.500145739947911</v>
      </c>
    </row>
    <row r="86" spans="1:16">
      <c r="A86" s="2894" t="s">
        <v>3223</v>
      </c>
      <c r="B86" s="2894" t="s">
        <v>3023</v>
      </c>
      <c r="C86" s="2894" t="s">
        <v>3024</v>
      </c>
      <c r="D86" s="2894">
        <v>4000.2</v>
      </c>
      <c r="E86" s="2894">
        <v>2000.1</v>
      </c>
      <c r="F86" s="2894" t="s">
        <v>3156</v>
      </c>
      <c r="G86" s="2894" t="s">
        <v>3059</v>
      </c>
      <c r="H86" s="2894" t="s">
        <v>3224</v>
      </c>
      <c r="I86" s="2894" t="s">
        <v>2817</v>
      </c>
      <c r="J86" s="2894">
        <v>594.02</v>
      </c>
      <c r="K86" s="2894">
        <v>2970</v>
      </c>
      <c r="L86" s="2894" t="s">
        <v>2817</v>
      </c>
      <c r="M86" s="2894" t="s">
        <v>3225</v>
      </c>
      <c r="N86" s="2894" t="s">
        <v>3037</v>
      </c>
      <c r="O86" s="2894">
        <f t="shared" si="2"/>
        <v>1484.9757512124395</v>
      </c>
      <c r="P86" s="2894">
        <f t="shared" si="3"/>
        <v>98.998878406079697</v>
      </c>
    </row>
    <row r="87" spans="1:16">
      <c r="A87" s="2894" t="s">
        <v>3226</v>
      </c>
      <c r="B87" s="2894" t="s">
        <v>3023</v>
      </c>
      <c r="C87" s="2894" t="s">
        <v>3024</v>
      </c>
      <c r="D87" s="2894">
        <v>1653.04</v>
      </c>
      <c r="E87" s="2894">
        <v>3306.08</v>
      </c>
      <c r="F87" s="2894" t="s">
        <v>3046</v>
      </c>
      <c r="G87" s="2894" t="s">
        <v>3059</v>
      </c>
      <c r="H87" s="2894" t="s">
        <v>3227</v>
      </c>
      <c r="I87" s="2894" t="s">
        <v>2817</v>
      </c>
      <c r="J87" s="2894">
        <v>124</v>
      </c>
      <c r="K87" s="2894">
        <v>375.06</v>
      </c>
      <c r="L87" s="2894" t="s">
        <v>2817</v>
      </c>
      <c r="M87" s="2894" t="s">
        <v>3228</v>
      </c>
      <c r="N87" s="2894" t="s">
        <v>3037</v>
      </c>
      <c r="O87" s="2894">
        <f t="shared" si="2"/>
        <v>750.13308812853893</v>
      </c>
      <c r="P87" s="2894">
        <f t="shared" si="3"/>
        <v>50.009122586265299</v>
      </c>
    </row>
    <row r="88" spans="1:16">
      <c r="A88" s="2894" t="s">
        <v>3229</v>
      </c>
      <c r="B88" s="2894" t="s">
        <v>3023</v>
      </c>
      <c r="C88" s="2894" t="s">
        <v>3024</v>
      </c>
      <c r="D88" s="2894">
        <v>36675.730000000003</v>
      </c>
      <c r="E88" s="2894">
        <v>80686.61</v>
      </c>
      <c r="F88" s="2894" t="s">
        <v>3077</v>
      </c>
      <c r="G88" s="2894" t="s">
        <v>3059</v>
      </c>
      <c r="H88" s="2894" t="s">
        <v>3230</v>
      </c>
      <c r="I88" s="2894" t="s">
        <v>2817</v>
      </c>
      <c r="J88" s="2894">
        <v>2475.61</v>
      </c>
      <c r="K88" s="2894">
        <v>306.81</v>
      </c>
      <c r="L88" s="2894" t="s">
        <v>2817</v>
      </c>
      <c r="M88" s="2894" t="s">
        <v>3231</v>
      </c>
      <c r="N88" s="2894" t="s">
        <v>3037</v>
      </c>
      <c r="O88" s="2894">
        <f t="shared" si="2"/>
        <v>674.99951602871977</v>
      </c>
      <c r="P88" s="2894">
        <f t="shared" si="3"/>
        <v>45.000192735086664</v>
      </c>
    </row>
    <row r="89" spans="1:16">
      <c r="A89" s="2894" t="s">
        <v>3232</v>
      </c>
      <c r="B89" s="2894" t="s">
        <v>3023</v>
      </c>
      <c r="C89" s="2894" t="s">
        <v>3024</v>
      </c>
      <c r="D89" s="2894">
        <v>22761.58</v>
      </c>
      <c r="E89" s="2894">
        <v>68284.740000000005</v>
      </c>
      <c r="F89" s="2894" t="s">
        <v>3025</v>
      </c>
      <c r="G89" s="2894" t="s">
        <v>3059</v>
      </c>
      <c r="H89" s="2894" t="s">
        <v>3233</v>
      </c>
      <c r="I89" s="2894" t="s">
        <v>2817</v>
      </c>
      <c r="J89" s="2894">
        <v>1433.88</v>
      </c>
      <c r="K89" s="2894">
        <v>209.99</v>
      </c>
      <c r="L89" s="2894" t="s">
        <v>2817</v>
      </c>
      <c r="M89" s="2894" t="s">
        <v>3234</v>
      </c>
      <c r="N89" s="2894" t="s">
        <v>3037</v>
      </c>
      <c r="O89" s="2894">
        <f t="shared" si="2"/>
        <v>629.95626841370415</v>
      </c>
      <c r="P89" s="2894">
        <f t="shared" si="3"/>
        <v>41.997294546336413</v>
      </c>
    </row>
    <row r="90" spans="1:16">
      <c r="A90" s="2894" t="s">
        <v>3235</v>
      </c>
      <c r="B90" s="2894" t="s">
        <v>3023</v>
      </c>
      <c r="C90" s="2894" t="s">
        <v>3024</v>
      </c>
      <c r="D90" s="2894">
        <v>3672.36</v>
      </c>
      <c r="E90" s="2894">
        <v>11017.08</v>
      </c>
      <c r="F90" s="2894" t="s">
        <v>3025</v>
      </c>
      <c r="G90" s="2894" t="s">
        <v>3059</v>
      </c>
      <c r="H90" s="2894" t="s">
        <v>3233</v>
      </c>
      <c r="I90" s="2894" t="s">
        <v>2817</v>
      </c>
      <c r="J90" s="2894">
        <v>231.41</v>
      </c>
      <c r="K90" s="2894">
        <v>210.06</v>
      </c>
      <c r="L90" s="2894" t="s">
        <v>2817</v>
      </c>
      <c r="M90" s="2894" t="s">
        <v>3234</v>
      </c>
      <c r="N90" s="2894" t="s">
        <v>3033</v>
      </c>
      <c r="O90" s="2894">
        <f t="shared" si="2"/>
        <v>630.13974664793204</v>
      </c>
      <c r="P90" s="2894">
        <f t="shared" si="3"/>
        <v>42.009526489777684</v>
      </c>
    </row>
    <row r="91" spans="1:16">
      <c r="A91" s="2894" t="s">
        <v>3236</v>
      </c>
      <c r="B91" s="2894" t="s">
        <v>3023</v>
      </c>
      <c r="C91" s="2894" t="s">
        <v>3024</v>
      </c>
      <c r="D91" s="2894">
        <v>20524.96</v>
      </c>
      <c r="E91" s="2894">
        <v>61574.879999999997</v>
      </c>
      <c r="F91" s="2894" t="s">
        <v>3025</v>
      </c>
      <c r="G91" s="2894" t="s">
        <v>3059</v>
      </c>
      <c r="H91" s="2894" t="s">
        <v>3233</v>
      </c>
      <c r="I91" s="2894" t="s">
        <v>2817</v>
      </c>
      <c r="J91" s="2894">
        <v>1293.18</v>
      </c>
      <c r="K91" s="2894">
        <v>210.02</v>
      </c>
      <c r="L91" s="2894" t="s">
        <v>2817</v>
      </c>
      <c r="M91" s="2894" t="s">
        <v>3234</v>
      </c>
      <c r="N91" s="2894" t="s">
        <v>3033</v>
      </c>
      <c r="O91" s="2894">
        <f t="shared" si="2"/>
        <v>630.05238499855784</v>
      </c>
      <c r="P91" s="2894">
        <f t="shared" si="3"/>
        <v>42.003702350698859</v>
      </c>
    </row>
    <row r="92" spans="1:16">
      <c r="A92" s="2894" t="s">
        <v>3237</v>
      </c>
      <c r="B92" s="2894" t="s">
        <v>3023</v>
      </c>
      <c r="C92" s="2894" t="s">
        <v>3024</v>
      </c>
      <c r="D92" s="2894">
        <v>2117.27</v>
      </c>
      <c r="E92" s="2894">
        <v>3175.91</v>
      </c>
      <c r="F92" s="2894" t="s">
        <v>3031</v>
      </c>
      <c r="G92" s="2894" t="s">
        <v>3059</v>
      </c>
      <c r="H92" s="2894" t="s">
        <v>3238</v>
      </c>
      <c r="I92" s="2894" t="s">
        <v>2817</v>
      </c>
      <c r="J92" s="2894">
        <v>122.26</v>
      </c>
      <c r="K92" s="2894">
        <v>384.99</v>
      </c>
      <c r="L92" s="2894" t="s">
        <v>2817</v>
      </c>
      <c r="M92" s="2894" t="s">
        <v>3239</v>
      </c>
      <c r="N92" s="2894" t="s">
        <v>3037</v>
      </c>
      <c r="O92" s="2894">
        <f t="shared" si="2"/>
        <v>577.44170559257918</v>
      </c>
      <c r="P92" s="2894">
        <f t="shared" si="3"/>
        <v>38.496306186740476</v>
      </c>
    </row>
    <row r="93" spans="1:16">
      <c r="A93" s="2894" t="s">
        <v>3240</v>
      </c>
      <c r="B93" s="2894" t="s">
        <v>3023</v>
      </c>
      <c r="C93" s="2894" t="s">
        <v>3024</v>
      </c>
      <c r="D93" s="2894">
        <v>66675.539999999994</v>
      </c>
      <c r="E93" s="2894">
        <v>100013.3</v>
      </c>
      <c r="F93" s="2894" t="s">
        <v>3031</v>
      </c>
      <c r="G93" s="2894" t="s">
        <v>3059</v>
      </c>
      <c r="H93" s="2894" t="s">
        <v>3241</v>
      </c>
      <c r="I93" s="2894" t="s">
        <v>2817</v>
      </c>
      <c r="J93" s="2894">
        <v>2880.38</v>
      </c>
      <c r="K93" s="2894">
        <v>288</v>
      </c>
      <c r="L93" s="2894" t="s">
        <v>2817</v>
      </c>
      <c r="M93" s="2894" t="s">
        <v>3242</v>
      </c>
      <c r="N93" s="2894" t="s">
        <v>3033</v>
      </c>
      <c r="O93" s="2894">
        <f t="shared" si="2"/>
        <v>431.99950086643469</v>
      </c>
      <c r="P93" s="2894">
        <f t="shared" si="3"/>
        <v>28.800110724262602</v>
      </c>
    </row>
    <row r="94" spans="1:16">
      <c r="A94" s="2894" t="s">
        <v>3240</v>
      </c>
      <c r="B94" s="2894" t="s">
        <v>3023</v>
      </c>
      <c r="C94" s="2894" t="s">
        <v>3024</v>
      </c>
      <c r="D94" s="2894">
        <v>61815.58</v>
      </c>
      <c r="E94" s="2894">
        <v>92723.37</v>
      </c>
      <c r="F94" s="2894" t="s">
        <v>3031</v>
      </c>
      <c r="G94" s="2894" t="s">
        <v>3059</v>
      </c>
      <c r="H94" s="2894" t="s">
        <v>3241</v>
      </c>
      <c r="I94" s="2894" t="s">
        <v>2817</v>
      </c>
      <c r="J94" s="2894">
        <v>2670.42</v>
      </c>
      <c r="K94" s="2894">
        <v>288</v>
      </c>
      <c r="L94" s="2894" t="s">
        <v>2817</v>
      </c>
      <c r="M94" s="2894" t="s">
        <v>3242</v>
      </c>
      <c r="N94" s="2894" t="s">
        <v>3033</v>
      </c>
      <c r="O94" s="2894">
        <f t="shared" si="2"/>
        <v>431.99788791110592</v>
      </c>
      <c r="P94" s="2894">
        <f t="shared" si="3"/>
        <v>28.800003193369697</v>
      </c>
    </row>
    <row r="95" spans="1:16">
      <c r="A95" s="2894" t="s">
        <v>3240</v>
      </c>
      <c r="B95" s="2894" t="s">
        <v>3023</v>
      </c>
      <c r="C95" s="2894" t="s">
        <v>3024</v>
      </c>
      <c r="D95" s="2894">
        <v>66523.100000000006</v>
      </c>
      <c r="E95" s="2894">
        <v>99784.65</v>
      </c>
      <c r="F95" s="2894" t="s">
        <v>3031</v>
      </c>
      <c r="G95" s="2894" t="s">
        <v>3059</v>
      </c>
      <c r="H95" s="2894" t="s">
        <v>3241</v>
      </c>
      <c r="I95" s="2894" t="s">
        <v>2817</v>
      </c>
      <c r="J95" s="2894">
        <v>2873.8</v>
      </c>
      <c r="K95" s="2894">
        <v>288</v>
      </c>
      <c r="L95" s="2894" t="s">
        <v>2817</v>
      </c>
      <c r="M95" s="2894" t="s">
        <v>3242</v>
      </c>
      <c r="N95" s="2894" t="s">
        <v>3033</v>
      </c>
      <c r="O95" s="2894">
        <f t="shared" si="2"/>
        <v>432.00031267334202</v>
      </c>
      <c r="P95" s="2894">
        <f t="shared" si="3"/>
        <v>28.800164844993692</v>
      </c>
    </row>
    <row r="96" spans="1:16">
      <c r="A96" s="2894" t="s">
        <v>3240</v>
      </c>
      <c r="B96" s="2894" t="s">
        <v>3023</v>
      </c>
      <c r="C96" s="2894" t="s">
        <v>3024</v>
      </c>
      <c r="D96" s="2894">
        <v>67709.16</v>
      </c>
      <c r="E96" s="2894">
        <v>101563.7</v>
      </c>
      <c r="F96" s="2894" t="s">
        <v>3031</v>
      </c>
      <c r="G96" s="2894" t="s">
        <v>3059</v>
      </c>
      <c r="H96" s="2894" t="s">
        <v>3241</v>
      </c>
      <c r="I96" s="2894" t="s">
        <v>2817</v>
      </c>
      <c r="J96" s="2894">
        <v>2925.03</v>
      </c>
      <c r="K96" s="2894">
        <v>288</v>
      </c>
      <c r="L96" s="2894" t="s">
        <v>2817</v>
      </c>
      <c r="M96" s="2894" t="s">
        <v>3242</v>
      </c>
      <c r="N96" s="2894" t="s">
        <v>3033</v>
      </c>
      <c r="O96" s="2894">
        <f t="shared" si="2"/>
        <v>431.99915639183831</v>
      </c>
      <c r="P96" s="2894">
        <f t="shared" si="3"/>
        <v>28.80008775917468</v>
      </c>
    </row>
    <row r="97" spans="1:16">
      <c r="A97" s="2894" t="s">
        <v>3240</v>
      </c>
      <c r="B97" s="2894" t="s">
        <v>3023</v>
      </c>
      <c r="C97" s="2894" t="s">
        <v>3024</v>
      </c>
      <c r="D97" s="2894">
        <v>51588.97</v>
      </c>
      <c r="E97" s="2894">
        <v>77383.460000000006</v>
      </c>
      <c r="F97" s="2894" t="s">
        <v>3031</v>
      </c>
      <c r="G97" s="2894" t="s">
        <v>3059</v>
      </c>
      <c r="H97" s="2894" t="s">
        <v>3241</v>
      </c>
      <c r="I97" s="2894" t="s">
        <v>2817</v>
      </c>
      <c r="J97" s="2894">
        <v>2228.63</v>
      </c>
      <c r="K97" s="2894">
        <v>288</v>
      </c>
      <c r="L97" s="2894" t="s">
        <v>2817</v>
      </c>
      <c r="M97" s="2894" t="s">
        <v>3242</v>
      </c>
      <c r="N97" s="2894" t="s">
        <v>3033</v>
      </c>
      <c r="O97" s="2894">
        <f t="shared" si="2"/>
        <v>431.99738238619614</v>
      </c>
      <c r="P97" s="2894">
        <f t="shared" si="3"/>
        <v>28.799969491540537</v>
      </c>
    </row>
    <row r="98" spans="1:16">
      <c r="A98" s="2894" t="s">
        <v>3240</v>
      </c>
      <c r="B98" s="2894" t="s">
        <v>3023</v>
      </c>
      <c r="C98" s="2894" t="s">
        <v>3024</v>
      </c>
      <c r="D98" s="2894">
        <v>60573.01</v>
      </c>
      <c r="E98" s="2894">
        <v>90859.520000000004</v>
      </c>
      <c r="F98" s="2894" t="s">
        <v>3031</v>
      </c>
      <c r="G98" s="2894" t="s">
        <v>3059</v>
      </c>
      <c r="H98" s="2894" t="s">
        <v>3241</v>
      </c>
      <c r="I98" s="2894" t="s">
        <v>2817</v>
      </c>
      <c r="J98" s="2894">
        <v>2616.75</v>
      </c>
      <c r="K98" s="2894">
        <v>288</v>
      </c>
      <c r="L98" s="2894" t="s">
        <v>2817</v>
      </c>
      <c r="M98" s="2894" t="s">
        <v>3242</v>
      </c>
      <c r="N98" s="2894" t="s">
        <v>3033</v>
      </c>
      <c r="O98" s="2894">
        <f t="shared" si="2"/>
        <v>431.9993343570016</v>
      </c>
      <c r="P98" s="2894">
        <f t="shared" si="3"/>
        <v>28.80009962357822</v>
      </c>
    </row>
    <row r="99" spans="1:16">
      <c r="A99" s="2894" t="s">
        <v>3240</v>
      </c>
      <c r="B99" s="2894" t="s">
        <v>3023</v>
      </c>
      <c r="C99" s="2894" t="s">
        <v>3024</v>
      </c>
      <c r="D99" s="2894">
        <v>67028.61</v>
      </c>
      <c r="E99" s="2894">
        <v>100542.9</v>
      </c>
      <c r="F99" s="2894" t="s">
        <v>3031</v>
      </c>
      <c r="G99" s="2894" t="s">
        <v>3059</v>
      </c>
      <c r="H99" s="2894" t="s">
        <v>3241</v>
      </c>
      <c r="I99" s="2894" t="s">
        <v>2817</v>
      </c>
      <c r="J99" s="2894">
        <v>2895.63</v>
      </c>
      <c r="K99" s="2894">
        <v>288</v>
      </c>
      <c r="L99" s="2894" t="s">
        <v>2817</v>
      </c>
      <c r="M99" s="2894" t="s">
        <v>3242</v>
      </c>
      <c r="N99" s="2894" t="s">
        <v>3033</v>
      </c>
      <c r="O99" s="2894">
        <f t="shared" si="2"/>
        <v>431.99911202097138</v>
      </c>
      <c r="P99" s="2894">
        <f t="shared" si="3"/>
        <v>28.800084801102098</v>
      </c>
    </row>
    <row r="100" spans="1:16">
      <c r="A100" s="2894" t="s">
        <v>3240</v>
      </c>
      <c r="B100" s="2894" t="s">
        <v>3023</v>
      </c>
      <c r="C100" s="2894" t="s">
        <v>3024</v>
      </c>
      <c r="D100" s="2894">
        <v>54274.64</v>
      </c>
      <c r="E100" s="2894">
        <v>81411.960000000006</v>
      </c>
      <c r="F100" s="2894" t="s">
        <v>3031</v>
      </c>
      <c r="G100" s="2894" t="s">
        <v>3059</v>
      </c>
      <c r="H100" s="2894" t="s">
        <v>3241</v>
      </c>
      <c r="I100" s="2894" t="s">
        <v>2817</v>
      </c>
      <c r="J100" s="2894">
        <v>2344.67</v>
      </c>
      <c r="K100" s="2894">
        <v>288</v>
      </c>
      <c r="L100" s="2894" t="s">
        <v>2817</v>
      </c>
      <c r="M100" s="2894" t="s">
        <v>3242</v>
      </c>
      <c r="N100" s="2894" t="s">
        <v>3033</v>
      </c>
      <c r="O100" s="2894">
        <f t="shared" si="2"/>
        <v>432.00102294552306</v>
      </c>
      <c r="P100" s="2894">
        <f t="shared" si="3"/>
        <v>28.800212196709182</v>
      </c>
    </row>
    <row r="101" spans="1:16">
      <c r="A101" s="2894" t="s">
        <v>3243</v>
      </c>
      <c r="B101" s="2894" t="s">
        <v>3023</v>
      </c>
      <c r="C101" s="2894" t="s">
        <v>3024</v>
      </c>
      <c r="D101" s="2894">
        <v>13907.69</v>
      </c>
      <c r="E101" s="2894">
        <v>27815.38</v>
      </c>
      <c r="F101" s="2894" t="s">
        <v>3110</v>
      </c>
      <c r="G101" s="2894" t="s">
        <v>3059</v>
      </c>
      <c r="H101" s="2894" t="s">
        <v>3244</v>
      </c>
      <c r="I101" s="2894" t="s">
        <v>2817</v>
      </c>
      <c r="J101" s="2894">
        <v>1470.74</v>
      </c>
      <c r="K101" s="2894">
        <v>528.75</v>
      </c>
      <c r="L101" s="2894" t="s">
        <v>2817</v>
      </c>
      <c r="M101" s="2894" t="s">
        <v>3245</v>
      </c>
      <c r="N101" s="2894" t="s">
        <v>3037</v>
      </c>
      <c r="O101" s="2894">
        <f t="shared" si="2"/>
        <v>1057.5012816650355</v>
      </c>
      <c r="P101" s="2894">
        <f t="shared" si="3"/>
        <v>70.500437944762936</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01" t="str">
        <f>项目基本情况!B1</f>
        <v>出让国有建设用地使用权抵押价格预评估</v>
      </c>
      <c r="C37" s="3201"/>
      <c r="D37" s="3201"/>
      <c r="E37" s="3201"/>
      <c r="F37" s="3201"/>
      <c r="G37" s="3201"/>
      <c r="H37" s="3201"/>
      <c r="I37" s="3201"/>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土地估价师、土地估价师</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6" sqref="I2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t="s">
        <v>2998</v>
      </c>
      <c r="C1" s="2089"/>
      <c r="D1" s="2089"/>
      <c r="E1" s="2089"/>
      <c r="F1" s="2089"/>
      <c r="G1" s="2089"/>
      <c r="H1" s="2089"/>
      <c r="I1" s="2089"/>
      <c r="J1" s="2089"/>
      <c r="K1" s="421">
        <f>MATCH(B1,'数据-取费表'!A6:A16,0)+5</f>
        <v>6</v>
      </c>
    </row>
    <row r="2" spans="1:31" s="2026" customFormat="1" ht="18" customHeight="1">
      <c r="A2" s="2086" t="s">
        <v>467</v>
      </c>
      <c r="B2" s="2090">
        <f ca="1">C36</f>
        <v>6218</v>
      </c>
      <c r="C2" s="2089"/>
      <c r="D2" s="2089"/>
      <c r="E2" s="2089"/>
      <c r="F2" s="2089"/>
      <c r="G2" s="2089"/>
      <c r="H2" s="2089"/>
      <c r="I2" s="2089"/>
      <c r="J2" s="2089"/>
      <c r="K2" s="2089"/>
    </row>
    <row r="3" spans="1:31" s="2026" customFormat="1" ht="18" customHeight="1">
      <c r="A3" s="2091" t="s">
        <v>1683</v>
      </c>
      <c r="B3" s="2092">
        <f ca="1">ROUND(B2*10000/IF(B1="",'数据-汇总表'!E3,INDIRECT("'数据-取费表'!K"&amp;$K$1)),0)</f>
        <v>671</v>
      </c>
      <c r="C3" s="2089"/>
      <c r="D3" s="2089"/>
      <c r="E3" s="2089"/>
      <c r="F3" s="2089"/>
      <c r="G3" s="2089"/>
      <c r="H3" s="2089"/>
      <c r="I3" s="2089"/>
      <c r="J3" s="2089"/>
      <c r="K3" s="2089"/>
    </row>
    <row r="4" spans="1:31" s="2026" customFormat="1" ht="18" customHeight="1">
      <c r="A4" s="425" t="s">
        <v>468</v>
      </c>
      <c r="B4" s="426">
        <f ca="1">ROUND(B2*10000/IF(B1="",'数据-汇总表'!D3,INDIRECT("'数据-取费表'!R"&amp;$K$1)),0)</f>
        <v>1006</v>
      </c>
      <c r="C4" s="427"/>
      <c r="D4" s="421"/>
      <c r="E4" s="421"/>
      <c r="F4" s="421"/>
      <c r="G4" s="421"/>
      <c r="H4" s="421"/>
      <c r="I4" s="421"/>
      <c r="J4" s="421"/>
      <c r="K4" s="421"/>
    </row>
    <row r="5" spans="1:31" s="2026" customFormat="1" ht="18" customHeight="1" thickBot="1">
      <c r="A5" s="428"/>
      <c r="B5" s="429">
        <f ca="1">ROUND(B2/(IF(B1="",'数据-汇总表'!D3,INDIRECT("'数据-取费表'!R"&amp;$K$1))/666.67),0)</f>
        <v>67</v>
      </c>
      <c r="C5" s="430" t="s">
        <v>469</v>
      </c>
      <c r="D5" s="421"/>
      <c r="E5" s="421"/>
      <c r="F5" s="421"/>
      <c r="G5" s="421"/>
      <c r="H5" s="421"/>
      <c r="I5" s="421"/>
      <c r="J5" s="421"/>
      <c r="K5" s="421"/>
    </row>
    <row r="6" spans="1:31" s="2096" customFormat="1" ht="16.5" customHeight="1">
      <c r="A6" s="2783" t="s">
        <v>1841</v>
      </c>
      <c r="B6" s="2784"/>
      <c r="C6" s="2785">
        <f ca="1">SUM(C10:K10)</f>
        <v>54631</v>
      </c>
      <c r="D6" s="2784"/>
      <c r="E6" s="2784"/>
      <c r="F6" s="2784"/>
      <c r="G6" s="2784"/>
      <c r="H6" s="2784"/>
      <c r="I6" s="2784"/>
      <c r="J6" s="2784"/>
      <c r="K6" s="2786"/>
    </row>
    <row r="7" spans="1:31" s="2098" customFormat="1" ht="15">
      <c r="A7" s="2787" t="s">
        <v>470</v>
      </c>
      <c r="B7" s="2788" t="s">
        <v>471</v>
      </c>
      <c r="C7" s="435" t="s">
        <v>2998</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1844</v>
      </c>
      <c r="B8" s="260" t="s">
        <v>472</v>
      </c>
      <c r="C8" s="2789">
        <f ca="1">不动产收益法!B3</f>
        <v>5892</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1845</v>
      </c>
      <c r="B9" s="260" t="s">
        <v>473</v>
      </c>
      <c r="C9" s="440">
        <f>SUMIF('数据-汇总表'!$C19:$C33,'剩余法-待开发'!C7,'数据-汇总表'!$E19:$E33)</f>
        <v>92723.37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 ca="1">不动产收益法!B2</f>
        <v>54631</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49">
        <f ca="1">IF(B1="",'数据-取费表'!P16,INDIRECT("'数据-取费表'!p"&amp;$K$1)+INDIRECT("'数据-取费表'!t"&amp;$K$1))</f>
        <v>25963</v>
      </c>
      <c r="D13" s="2799"/>
      <c r="E13" s="2800"/>
      <c r="F13" s="2801"/>
      <c r="G13" s="2767"/>
      <c r="H13" s="2768"/>
      <c r="I13" s="2768"/>
      <c r="J13" s="2768"/>
      <c r="K13" s="2769"/>
    </row>
    <row r="14" spans="1:31" s="2101" customFormat="1" ht="13.5" customHeight="1">
      <c r="A14" s="2797" t="s">
        <v>1848</v>
      </c>
      <c r="B14" s="2798" t="s">
        <v>480</v>
      </c>
      <c r="C14" s="53">
        <f ca="1">ROUND(C13*F14,0)</f>
        <v>1298</v>
      </c>
      <c r="D14" s="2799"/>
      <c r="E14" s="2800"/>
      <c r="F14" s="2802">
        <f>'数据-取费表'!B33</f>
        <v>0.05</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1850</v>
      </c>
      <c r="B16" s="2798" t="s">
        <v>484</v>
      </c>
      <c r="C16" s="53">
        <f ca="1">ROUND(D16*E16/10000,0)</f>
        <v>1854</v>
      </c>
      <c r="D16" s="2799">
        <f ca="1">IF(B1="",'数据-汇总表'!E3,INDIRECT("'数据-取费表'!K"&amp;$K$1)+INDIRECT("'数据-取费表'!S"&amp;$K$1))</f>
        <v>92723.37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389</v>
      </c>
      <c r="D17" s="474"/>
      <c r="E17" s="2803"/>
      <c r="F17" s="2804">
        <f>'数据-取费表'!B36</f>
        <v>1.4999999999999999E-2</v>
      </c>
      <c r="G17" s="260" t="s">
        <v>486</v>
      </c>
      <c r="H17" s="2770"/>
      <c r="I17" s="2770"/>
      <c r="J17" s="2770"/>
      <c r="K17" s="278"/>
    </row>
    <row r="18" spans="1:14" s="2101" customFormat="1" ht="13.5" customHeight="1">
      <c r="A18" s="2805" t="s">
        <v>1852</v>
      </c>
      <c r="B18" s="2806" t="s">
        <v>487</v>
      </c>
      <c r="C18" s="2807">
        <f ca="1">SUM(C13:C17)</f>
        <v>29504</v>
      </c>
      <c r="D18" s="2808"/>
      <c r="E18" s="467"/>
      <c r="F18" s="467"/>
      <c r="G18" s="2771" t="s">
        <v>2429</v>
      </c>
      <c r="H18" s="2772"/>
      <c r="I18" s="2772"/>
      <c r="J18" s="2772"/>
      <c r="K18" s="2773"/>
    </row>
    <row r="19" spans="1:14" s="2101" customFormat="1" ht="13.5" customHeight="1">
      <c r="A19" s="2805" t="s">
        <v>1853</v>
      </c>
      <c r="B19" s="2806" t="s">
        <v>488</v>
      </c>
      <c r="C19" s="2763">
        <f ca="1">ROUND(D19*E19/10000,0)</f>
        <v>927</v>
      </c>
      <c r="D19" s="2809">
        <f ca="1">D16</f>
        <v>92723.37</v>
      </c>
      <c r="E19" s="2763">
        <f>'数据-取费表'!B32</f>
        <v>100</v>
      </c>
      <c r="F19" s="467"/>
      <c r="G19" s="2767" t="s">
        <v>489</v>
      </c>
      <c r="H19" s="2768"/>
      <c r="I19" s="2772"/>
      <c r="J19" s="2772"/>
      <c r="K19" s="2773"/>
    </row>
    <row r="20" spans="1:14" s="2101" customFormat="1" ht="13.5" customHeight="1">
      <c r="A20" s="2805" t="s">
        <v>1854</v>
      </c>
      <c r="B20" s="2806" t="s">
        <v>490</v>
      </c>
      <c r="C20" s="2763">
        <f ca="1">C21+C22-IF(B1="",'数据-取费表'!B29,IF(G20="已全部缴纳",C21+C22,H20))</f>
        <v>556</v>
      </c>
      <c r="D20" s="2809"/>
      <c r="E20" s="2763"/>
      <c r="F20" s="2810"/>
      <c r="G20" s="3040"/>
      <c r="H20" s="2765"/>
      <c r="I20" s="2766" t="s">
        <v>2650</v>
      </c>
      <c r="J20" s="2772"/>
      <c r="K20" s="2773"/>
    </row>
    <row r="21" spans="1:14" s="2101" customFormat="1" ht="13.5" customHeight="1">
      <c r="A21" s="2797" t="s">
        <v>1855</v>
      </c>
      <c r="B21" s="2798" t="s">
        <v>491</v>
      </c>
      <c r="C21" s="53">
        <f ca="1">ROUND(D21*E21/10000,0)</f>
        <v>0</v>
      </c>
      <c r="D21" s="2799">
        <f ca="1">IF(B1="",'数据-汇总表'!E5,IF(INDIRECT("'数据-取费表'!c"&amp;$K$1)="住宅",INDIRECT("'数据-取费表'!k"&amp;$K$1),0))</f>
        <v>0</v>
      </c>
      <c r="E21" s="53">
        <f>'数据-取费表'!B27</f>
        <v>90</v>
      </c>
      <c r="F21" s="2802"/>
      <c r="G21" s="26"/>
      <c r="H21" s="51"/>
      <c r="I21" s="51"/>
      <c r="J21" s="51"/>
      <c r="K21" s="2774"/>
    </row>
    <row r="22" spans="1:14" s="2101" customFormat="1" ht="13.5" customHeight="1">
      <c r="A22" s="2797" t="s">
        <v>1856</v>
      </c>
      <c r="B22" s="2798" t="s">
        <v>492</v>
      </c>
      <c r="C22" s="53">
        <f ca="1">ROUND(D22*E22/10000,0)</f>
        <v>556</v>
      </c>
      <c r="D22" s="2799">
        <f ca="1">IF(B1="",'数据-汇总表'!E6,IF(INDIRECT("'数据-取费表'!c"&amp;$K$1)="住宅",INDIRECT("'数据-取费表'!s"&amp;$K$1),INDIRECT("'数据-取费表'!k"&amp;$K$1)+INDIRECT("'数据-取费表'!s"&amp;$K$1)))</f>
        <v>92723.37</v>
      </c>
      <c r="E22" s="53">
        <f>'数据-取费表'!B28</f>
        <v>60</v>
      </c>
      <c r="F22" s="2802"/>
      <c r="G22" s="26"/>
      <c r="H22" s="51"/>
      <c r="I22" s="51"/>
      <c r="J22" s="51"/>
      <c r="K22" s="2774"/>
    </row>
    <row r="23" spans="1:14" s="2101" customFormat="1" ht="13.5" customHeight="1">
      <c r="A23" s="2805" t="s">
        <v>1857</v>
      </c>
      <c r="B23" s="2987" t="s">
        <v>2833</v>
      </c>
      <c r="C23" s="2807">
        <f ca="1">ROUND((C18+C19+C20)*F23,0)</f>
        <v>465</v>
      </c>
      <c r="D23" s="467"/>
      <c r="E23" s="467"/>
      <c r="F23" s="2811">
        <f>'数据-取费表'!B37</f>
        <v>1.4999999999999999E-2</v>
      </c>
      <c r="G23" s="2767" t="s">
        <v>2430</v>
      </c>
      <c r="H23" s="2768"/>
      <c r="I23" s="2768"/>
      <c r="J23" s="2768"/>
      <c r="K23" s="2769"/>
      <c r="L23" s="2103"/>
      <c r="M23" s="2103"/>
      <c r="N23" s="2103"/>
    </row>
    <row r="24" spans="1:14" s="2101" customFormat="1" ht="13.5" customHeight="1">
      <c r="A24" s="2805" t="s">
        <v>1858</v>
      </c>
      <c r="B24" s="2987" t="s">
        <v>2836</v>
      </c>
      <c r="C24" s="2807">
        <f ca="1">ROUND(C6*F24,0)</f>
        <v>1366</v>
      </c>
      <c r="D24" s="474"/>
      <c r="E24" s="472"/>
      <c r="F24" s="2811">
        <f>'数据-取费表'!B38</f>
        <v>2.5000000000000001E-2</v>
      </c>
      <c r="G24" s="2776" t="s">
        <v>499</v>
      </c>
      <c r="H24" s="2770"/>
      <c r="I24" s="2770"/>
      <c r="J24" s="2770"/>
      <c r="K24" s="278"/>
      <c r="L24" s="2103"/>
      <c r="M24" s="2103"/>
      <c r="N24" s="2103"/>
    </row>
    <row r="25" spans="1:14" s="2104" customFormat="1" ht="13.5" customHeight="1">
      <c r="A25" s="2805" t="s">
        <v>1859</v>
      </c>
      <c r="B25" s="2987" t="s">
        <v>2834</v>
      </c>
      <c r="C25" s="466">
        <f>ROUND(F25/(1+'数据-取费表'!C42),4)</f>
        <v>2.9000000000000001E-2</v>
      </c>
      <c r="D25" s="461" t="s">
        <v>2828</v>
      </c>
      <c r="E25" s="468"/>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8" t="s">
        <v>2835</v>
      </c>
      <c r="C26" s="2812">
        <f ca="1">C28</f>
        <v>1960</v>
      </c>
      <c r="D26" s="466">
        <f ca="1">C27</f>
        <v>0.12659999999999999</v>
      </c>
      <c r="E26" s="468" t="s">
        <v>495</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1855</v>
      </c>
      <c r="B27" s="2813" t="s">
        <v>496</v>
      </c>
      <c r="C27" s="2814">
        <f ca="1">ROUND(IF('数据-取费表'!B22&lt;=1,(1+C25)*F26*'数据-取费表'!B24,(1+C25)*(POWER((1+F26),'数据-取费表'!B24)-1)),4)</f>
        <v>0.12659999999999999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1856</v>
      </c>
      <c r="B28" s="2813" t="s">
        <v>2837</v>
      </c>
      <c r="C28" s="2815">
        <f ca="1">ROUND(IF('数据-取费表'!B22&lt;=1,(C18+C19+C20+C23+C24)*F26*'数据-取费表'!B24/2,(C18+C19+C20+C23+C24)*(POWER((1+F26),'数据-取费表'!B24/2)-1)),0)</f>
        <v>1960</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1861</v>
      </c>
      <c r="B29" s="2806" t="s">
        <v>497</v>
      </c>
      <c r="C29" s="2807">
        <f ca="1">ROUND(C6*F29/(1+'数据-取费表'!C42),0)</f>
        <v>2862</v>
      </c>
      <c r="D29" s="467"/>
      <c r="E29" s="467"/>
      <c r="F29" s="2989">
        <f>'数据-取费表'!B41</f>
        <v>5.5000000000000007E-2</v>
      </c>
      <c r="G29" s="2776" t="s">
        <v>498</v>
      </c>
      <c r="H29" s="2768"/>
      <c r="I29" s="2768"/>
      <c r="J29" s="2768"/>
      <c r="K29" s="2769"/>
    </row>
    <row r="30" spans="1:14" s="2106" customFormat="1" ht="13.5" customHeight="1">
      <c r="A30" s="1620" t="s">
        <v>1862</v>
      </c>
      <c r="B30" s="2817" t="s">
        <v>500</v>
      </c>
      <c r="C30" s="2812">
        <f ca="1">C31</f>
        <v>37640</v>
      </c>
      <c r="D30" s="476">
        <f ca="1">C32</f>
        <v>0.15559999999999999</v>
      </c>
      <c r="E30" s="468" t="s">
        <v>495</v>
      </c>
      <c r="F30" s="470"/>
      <c r="G30" s="2775" t="s">
        <v>2972</v>
      </c>
      <c r="H30" s="2768"/>
      <c r="I30" s="2768"/>
      <c r="J30" s="2768"/>
      <c r="K30" s="2769"/>
    </row>
    <row r="31" spans="1:14" s="2105" customFormat="1" ht="13.5" customHeight="1">
      <c r="A31" s="802" t="s">
        <v>1855</v>
      </c>
      <c r="B31" s="2813"/>
      <c r="C31" s="449">
        <f ca="1">C18+C19+C20+C23+C24+C26+C29</f>
        <v>37640</v>
      </c>
      <c r="D31" s="471"/>
      <c r="E31" s="472"/>
      <c r="F31" s="473"/>
      <c r="G31" s="260"/>
      <c r="H31" s="2770"/>
      <c r="I31" s="2770"/>
      <c r="J31" s="2770"/>
      <c r="K31" s="278"/>
    </row>
    <row r="32" spans="1:14" s="2105" customFormat="1" ht="13.5" customHeight="1">
      <c r="A32" s="802" t="s">
        <v>1856</v>
      </c>
      <c r="B32" s="2813"/>
      <c r="C32" s="53">
        <f ca="1">ROUND(C25+D26,4)</f>
        <v>0.15559999999999999</v>
      </c>
      <c r="D32" s="471"/>
      <c r="E32" s="472"/>
      <c r="F32" s="473"/>
      <c r="G32" s="260"/>
      <c r="H32" s="2770"/>
      <c r="I32" s="2770"/>
      <c r="J32" s="2770"/>
      <c r="K32" s="278"/>
    </row>
    <row r="33" spans="1:11" s="2107" customFormat="1" ht="13.5" customHeight="1">
      <c r="A33" s="2986" t="s">
        <v>2832</v>
      </c>
      <c r="B33" s="2984" t="s">
        <v>2830</v>
      </c>
      <c r="C33" s="477">
        <f ca="1">C35</f>
        <v>8205</v>
      </c>
      <c r="D33" s="466">
        <f ca="1">C34</f>
        <v>0.25729999999999997</v>
      </c>
      <c r="E33" s="468" t="s">
        <v>495</v>
      </c>
      <c r="F33" s="478">
        <f ca="1">IF(B1="",'数据-取费表'!Q16,INDIRECT("'数据-取费表'!q"&amp;$K$1))</f>
        <v>0.25</v>
      </c>
      <c r="G33" s="2771"/>
      <c r="H33" s="2772"/>
      <c r="I33" s="2772"/>
      <c r="J33" s="2772"/>
      <c r="K33" s="2773"/>
    </row>
    <row r="34" spans="1:11" s="2108" customFormat="1" ht="13.5" customHeight="1">
      <c r="A34" s="374" t="s">
        <v>1855</v>
      </c>
      <c r="B34" s="2818" t="s">
        <v>501</v>
      </c>
      <c r="C34" s="471">
        <f ca="1">ROUND((1+C25)*F33,4)</f>
        <v>0.25729999999999997</v>
      </c>
      <c r="D34" s="471"/>
      <c r="E34" s="472"/>
      <c r="F34" s="479"/>
      <c r="G34" s="260" t="s">
        <v>2289</v>
      </c>
      <c r="H34" s="2770"/>
      <c r="I34" s="2770"/>
      <c r="J34" s="2770"/>
      <c r="K34" s="278"/>
    </row>
    <row r="35" spans="1:11" s="2108" customFormat="1" ht="13.5" customHeight="1" thickBot="1">
      <c r="A35" s="1621" t="s">
        <v>1856</v>
      </c>
      <c r="B35" s="2985" t="s">
        <v>2838</v>
      </c>
      <c r="C35" s="1613">
        <f ca="1">ROUND((C18+C19+C20+C23+C24)*F33,0)</f>
        <v>8205</v>
      </c>
      <c r="D35" s="1614"/>
      <c r="E35" s="2819"/>
      <c r="F35" s="1615"/>
      <c r="G35" s="2777"/>
      <c r="H35" s="2778"/>
      <c r="I35" s="2778"/>
      <c r="J35" s="2778"/>
      <c r="K35" s="2779"/>
    </row>
    <row r="36" spans="1:11" s="2070" customFormat="1" ht="13.5" customHeight="1" thickBot="1">
      <c r="A36" s="283" t="s">
        <v>1843</v>
      </c>
      <c r="B36" s="2781"/>
      <c r="C36" s="2820">
        <f ca="1">ROUND((C6-C30-C33)/(1+D30+D33),0)</f>
        <v>6218</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466</v>
      </c>
      <c r="B1" s="2764"/>
      <c r="C1" s="2089"/>
      <c r="D1" s="2089"/>
      <c r="E1" s="2089"/>
      <c r="F1" s="2089"/>
      <c r="G1" s="2089"/>
      <c r="H1" s="2089"/>
      <c r="I1" s="2089"/>
      <c r="J1" s="2089"/>
      <c r="K1" s="421">
        <f>MATCH(B1,'数据-取费表'!A6:A16,0)+5</f>
        <v>7</v>
      </c>
    </row>
    <row r="2" spans="1:41" s="2026" customFormat="1" ht="18" customHeight="1">
      <c r="A2" s="422" t="s">
        <v>467</v>
      </c>
      <c r="B2" s="423">
        <f ca="1">C32</f>
        <v>0</v>
      </c>
      <c r="C2" s="2089"/>
      <c r="D2" s="2089"/>
      <c r="E2" s="2089"/>
      <c r="F2" s="2089"/>
      <c r="G2" s="2089"/>
      <c r="H2" s="2089"/>
      <c r="I2" s="2089"/>
      <c r="J2" s="2089"/>
      <c r="K2" s="2089"/>
    </row>
    <row r="3" spans="1:41" s="2026" customFormat="1" ht="18" customHeight="1">
      <c r="A3" s="1375" t="s">
        <v>1683</v>
      </c>
      <c r="B3" s="424">
        <f ca="1">ROUND(B2*10000/IF(B1="",'数据-汇总表'!E3,INDIRECT("'数据-取费表'!K"&amp;$K$1)),0)</f>
        <v>0</v>
      </c>
      <c r="C3" s="2089"/>
      <c r="D3" s="2089"/>
      <c r="E3" s="2089"/>
      <c r="F3" s="2089"/>
      <c r="G3" s="2089"/>
      <c r="H3" s="2089"/>
      <c r="I3" s="2089"/>
      <c r="J3" s="2089"/>
      <c r="K3" s="2089"/>
    </row>
    <row r="4" spans="1:41" s="2026" customFormat="1" ht="18" customHeight="1">
      <c r="A4" s="425" t="s">
        <v>468</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469</v>
      </c>
      <c r="D5" s="2089"/>
      <c r="E5" s="2089"/>
      <c r="F5" s="2089"/>
      <c r="G5" s="2089"/>
      <c r="H5" s="2089"/>
      <c r="I5" s="2089"/>
      <c r="J5" s="2089"/>
      <c r="K5" s="2089"/>
    </row>
    <row r="6" spans="1:41" s="2096" customFormat="1" ht="16.5" customHeight="1">
      <c r="A6" s="431" t="s">
        <v>2651</v>
      </c>
      <c r="B6" s="432"/>
      <c r="C6" s="1608">
        <f>SUM(C10:K10)</f>
        <v>0</v>
      </c>
      <c r="D6" s="2094"/>
      <c r="E6" s="2094"/>
      <c r="F6" s="2094"/>
      <c r="G6" s="2094"/>
      <c r="H6" s="2094"/>
      <c r="I6" s="2094"/>
      <c r="J6" s="2094"/>
      <c r="K6" s="2095"/>
    </row>
    <row r="7" spans="1:41" s="2098" customFormat="1" ht="15">
      <c r="A7" s="433" t="s">
        <v>470</v>
      </c>
      <c r="B7" s="434" t="s">
        <v>471</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7" t="s">
        <v>472</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3" t="s">
        <v>470</v>
      </c>
      <c r="B12" s="443" t="s">
        <v>471</v>
      </c>
      <c r="C12" s="444" t="s">
        <v>475</v>
      </c>
      <c r="D12" s="445" t="s">
        <v>476</v>
      </c>
      <c r="E12" s="445" t="s">
        <v>477</v>
      </c>
      <c r="F12" s="445" t="s">
        <v>478</v>
      </c>
      <c r="G12" s="443"/>
      <c r="H12" s="446"/>
      <c r="I12" s="446"/>
      <c r="J12" s="446"/>
      <c r="K12" s="447"/>
    </row>
    <row r="13" spans="1:41" s="2101" customFormat="1" ht="13.5" customHeight="1">
      <c r="A13" s="1618" t="s">
        <v>1847</v>
      </c>
      <c r="B13" s="448" t="s">
        <v>479</v>
      </c>
      <c r="C13" s="449">
        <f ca="1">IF(B1="",'数据-取费表'!M16,INDIRECT("'数据-取费表'!M"&amp;$K$1)+INDIRECT("'数据-取费表'!t"&amp;$K$1))</f>
        <v>25963</v>
      </c>
      <c r="D13" s="450"/>
      <c r="E13" s="364"/>
      <c r="F13" s="451"/>
      <c r="G13" s="443"/>
      <c r="H13" s="446"/>
      <c r="I13" s="446"/>
      <c r="J13" s="446"/>
      <c r="K13" s="447"/>
    </row>
    <row r="14" spans="1:41" s="2101" customFormat="1" ht="13.5" customHeight="1">
      <c r="A14" s="1618" t="s">
        <v>1848</v>
      </c>
      <c r="B14" s="448" t="s">
        <v>480</v>
      </c>
      <c r="C14" s="53">
        <f ca="1">ROUND(C13*F14,0)</f>
        <v>1298</v>
      </c>
      <c r="D14" s="450"/>
      <c r="E14" s="364"/>
      <c r="F14" s="452">
        <f>'数据-取费表'!B33</f>
        <v>0.05</v>
      </c>
      <c r="G14" s="443" t="s">
        <v>502</v>
      </c>
      <c r="H14" s="446"/>
      <c r="I14" s="446"/>
      <c r="J14" s="446"/>
      <c r="K14" s="447"/>
    </row>
    <row r="15" spans="1:41" s="2101" customFormat="1" ht="13.5" customHeight="1">
      <c r="A15" s="1618" t="s">
        <v>1849</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2" customFormat="1" ht="13.5" customHeight="1">
      <c r="A16" s="1618" t="s">
        <v>1850</v>
      </c>
      <c r="B16" s="448" t="s">
        <v>484</v>
      </c>
      <c r="C16" s="53">
        <f ca="1">ROUND(D16*E16/10000,0)</f>
        <v>1854</v>
      </c>
      <c r="D16" s="450">
        <f ca="1">IF(B1="",'数据-汇总表'!E3,INDIRECT("'数据-取费表'!K"&amp;$K$1)+INDIRECT("'数据-取费表'!S"&amp;$K$1))</f>
        <v>92723.37</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8" t="s">
        <v>485</v>
      </c>
      <c r="C17" s="453">
        <f ca="1">ROUND(C13*F17,0)</f>
        <v>389</v>
      </c>
      <c r="D17" s="454"/>
      <c r="E17" s="453"/>
      <c r="F17" s="455">
        <f>'数据-取费表'!B36</f>
        <v>1.4999999999999999E-2</v>
      </c>
      <c r="G17" s="443" t="s">
        <v>502</v>
      </c>
      <c r="H17" s="456"/>
      <c r="I17" s="456"/>
      <c r="J17" s="456"/>
      <c r="K17" s="457"/>
    </row>
    <row r="18" spans="1:14" s="2104" customFormat="1" ht="13.5" customHeight="1">
      <c r="A18" s="1619" t="s">
        <v>1852</v>
      </c>
      <c r="B18" s="458" t="s">
        <v>487</v>
      </c>
      <c r="C18" s="459">
        <f ca="1">SUM(C13:C17)</f>
        <v>29504</v>
      </c>
      <c r="D18" s="460"/>
      <c r="E18" s="461"/>
      <c r="F18" s="461"/>
      <c r="G18" s="1322" t="s">
        <v>2431</v>
      </c>
      <c r="H18" s="446"/>
      <c r="I18" s="446"/>
      <c r="J18" s="446"/>
      <c r="K18" s="447"/>
    </row>
    <row r="19" spans="1:14" s="2104" customFormat="1" ht="13.5" customHeight="1">
      <c r="A19" s="1619" t="s">
        <v>1853</v>
      </c>
      <c r="B19" s="458" t="s">
        <v>493</v>
      </c>
      <c r="C19" s="459">
        <f ca="1">ROUND(C18*F19,0)</f>
        <v>443</v>
      </c>
      <c r="D19" s="461"/>
      <c r="E19" s="461"/>
      <c r="F19" s="465">
        <f>'数据-取费表'!B37</f>
        <v>1.4999999999999999E-2</v>
      </c>
      <c r="G19" s="443" t="s">
        <v>503</v>
      </c>
      <c r="H19" s="446"/>
      <c r="I19" s="446"/>
      <c r="J19" s="446"/>
      <c r="K19" s="447"/>
      <c r="L19" s="2106"/>
      <c r="M19" s="2106"/>
      <c r="N19" s="2106"/>
    </row>
    <row r="20" spans="1:14" s="2104" customFormat="1" ht="13.5" customHeight="1">
      <c r="A20" s="1619" t="s">
        <v>1854</v>
      </c>
      <c r="B20" s="458" t="s">
        <v>504</v>
      </c>
      <c r="C20" s="2982">
        <f>F20</f>
        <v>2.5000000000000001E-2</v>
      </c>
      <c r="D20" s="468" t="s">
        <v>505</v>
      </c>
      <c r="E20" s="468"/>
      <c r="F20" s="485">
        <f>'数据-取费表'!B38</f>
        <v>2.5000000000000001E-2</v>
      </c>
      <c r="G20" s="1322" t="s">
        <v>506</v>
      </c>
      <c r="H20" s="446"/>
      <c r="I20" s="446"/>
      <c r="J20" s="446"/>
      <c r="K20" s="447"/>
      <c r="L20" s="2106"/>
      <c r="M20" s="2106"/>
      <c r="N20" s="2106"/>
    </row>
    <row r="21" spans="1:14" s="2106" customFormat="1" ht="13.5" customHeight="1">
      <c r="A21" s="1619" t="s">
        <v>1857</v>
      </c>
      <c r="B21" s="460" t="s">
        <v>494</v>
      </c>
      <c r="C21" s="469">
        <f ca="1">C22</f>
        <v>1789</v>
      </c>
      <c r="D21" s="466">
        <f ca="1">C23</f>
        <v>1.5E-3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2453</v>
      </c>
    </row>
    <row r="22" spans="1:14" s="2105" customFormat="1" ht="13.5" customHeight="1">
      <c r="A22" s="1618" t="s">
        <v>1847</v>
      </c>
      <c r="B22" s="1323" t="s">
        <v>2434</v>
      </c>
      <c r="C22" s="486">
        <f ca="1">ROUND(IF('数据-取费表'!B22&lt;=1,(C18+C19)*F21*'数据-取费表'!B20/2,(C18+C19)*(POWER((1+F21),'数据-取费表'!B20/2)-1)),0)</f>
        <v>1789</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1848</v>
      </c>
      <c r="B23" s="1323" t="s">
        <v>508</v>
      </c>
      <c r="C23" s="487">
        <f ca="1">ROUND(IF('数据-取费表'!B22&lt;=1,F20*F21*'数据-取费表'!B20/2,F20*(POWER((1+F21),'数据-取费表'!B20/2)-1)),4)</f>
        <v>1.5E-3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1858</v>
      </c>
      <c r="B24" s="2984" t="s">
        <v>2831</v>
      </c>
      <c r="C24" s="477">
        <f ca="1">C25</f>
        <v>7487</v>
      </c>
      <c r="D24" s="488">
        <f ca="1">C26</f>
        <v>6.3E-3</v>
      </c>
      <c r="E24" s="468" t="s">
        <v>507</v>
      </c>
      <c r="F24" s="478">
        <f ca="1">IF(B1="",'数据-取费表'!Q16,INDIRECT("'数据-取费表'!q"&amp;$K$1))</f>
        <v>0.25</v>
      </c>
      <c r="G24" s="443"/>
      <c r="H24" s="446"/>
      <c r="I24" s="446"/>
      <c r="J24" s="446"/>
      <c r="K24" s="447"/>
    </row>
    <row r="25" spans="1:14" s="2105" customFormat="1" ht="13.5" customHeight="1">
      <c r="A25" s="1618" t="s">
        <v>1847</v>
      </c>
      <c r="B25" s="1323" t="s">
        <v>2435</v>
      </c>
      <c r="C25" s="489">
        <f ca="1">ROUND((C18+C19)*F24,0)</f>
        <v>7487</v>
      </c>
      <c r="D25" s="471"/>
      <c r="E25" s="472"/>
      <c r="F25" s="479"/>
      <c r="G25" s="1321" t="s">
        <v>2432</v>
      </c>
      <c r="H25" s="456"/>
      <c r="I25" s="456"/>
      <c r="J25" s="456"/>
      <c r="K25" s="457"/>
    </row>
    <row r="26" spans="1:14" s="2105" customFormat="1" ht="13.5" customHeight="1">
      <c r="A26" s="1618" t="s">
        <v>1848</v>
      </c>
      <c r="B26" s="1323" t="s">
        <v>509</v>
      </c>
      <c r="C26" s="490">
        <f ca="1">ROUND(F20*F24,4)</f>
        <v>6.3E-3</v>
      </c>
      <c r="D26" s="471"/>
      <c r="E26" s="480"/>
      <c r="F26" s="479"/>
      <c r="G26" s="1321" t="s">
        <v>510</v>
      </c>
      <c r="H26" s="456"/>
      <c r="I26" s="456"/>
      <c r="J26" s="456"/>
      <c r="K26" s="457"/>
    </row>
    <row r="27" spans="1:14" s="2105" customFormat="1" ht="13.5" customHeight="1">
      <c r="A27" s="1622" t="s">
        <v>1866</v>
      </c>
      <c r="B27" s="458" t="s">
        <v>511</v>
      </c>
      <c r="C27" s="2983">
        <f>ROUND(F27/(1+'数据-取费表'!C42),4)</f>
        <v>5.2400000000000002E-2</v>
      </c>
      <c r="D27" s="461" t="s">
        <v>2829</v>
      </c>
      <c r="E27" s="461"/>
      <c r="F27" s="465">
        <f>'数据-取费表'!B41</f>
        <v>5.5000000000000007E-2</v>
      </c>
      <c r="G27" s="1945" t="s">
        <v>2290</v>
      </c>
      <c r="H27" s="446"/>
      <c r="I27" s="446"/>
      <c r="J27" s="446"/>
      <c r="K27" s="447"/>
    </row>
    <row r="28" spans="1:14" s="2106" customFormat="1" ht="13.5" customHeight="1">
      <c r="A28" s="1622" t="s">
        <v>1867</v>
      </c>
      <c r="B28" s="475" t="s">
        <v>512</v>
      </c>
      <c r="C28" s="469">
        <f ca="1">ROUND((C18+C19+C21+C24)/(1-C20-D21-D24-C27),0)</f>
        <v>42876</v>
      </c>
      <c r="D28" s="476"/>
      <c r="E28" s="468"/>
      <c r="F28" s="470"/>
      <c r="G28" s="1322" t="s">
        <v>2433</v>
      </c>
      <c r="H28" s="446"/>
      <c r="I28" s="446"/>
      <c r="J28" s="446"/>
      <c r="K28" s="447"/>
    </row>
    <row r="29" spans="1:14" s="2106" customFormat="1" ht="13.5" customHeight="1">
      <c r="A29" s="1622" t="s">
        <v>1868</v>
      </c>
      <c r="B29" s="475" t="s">
        <v>513</v>
      </c>
      <c r="C29" s="491">
        <f ca="1">IF(B1="",'数据-取费表'!N16,INDIRECT("'数据-取费表'!N"&amp;$K$1))</f>
        <v>0</v>
      </c>
      <c r="D29" s="492"/>
      <c r="E29" s="493"/>
      <c r="F29" s="494"/>
      <c r="G29" s="443"/>
      <c r="H29" s="446"/>
      <c r="I29" s="446"/>
      <c r="J29" s="446"/>
      <c r="K29" s="447"/>
    </row>
    <row r="30" spans="1:14" s="2106" customFormat="1" ht="13.5" customHeight="1">
      <c r="A30" s="442">
        <v>2</v>
      </c>
      <c r="B30" s="475" t="s">
        <v>514</v>
      </c>
      <c r="C30" s="496">
        <f ca="1">ROUND(C28*C29,0)</f>
        <v>0</v>
      </c>
      <c r="D30" s="492"/>
      <c r="E30" s="497"/>
      <c r="F30" s="498"/>
      <c r="G30" s="1324" t="s">
        <v>515</v>
      </c>
      <c r="H30" s="495"/>
      <c r="I30" s="495"/>
      <c r="J30" s="446"/>
      <c r="K30" s="447"/>
    </row>
    <row r="31" spans="1:14" s="2111" customFormat="1" ht="13.5" customHeight="1">
      <c r="A31" s="2446" t="s">
        <v>1864</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7"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521</v>
      </c>
      <c r="B6" s="512"/>
      <c r="C6" s="3392" t="s">
        <v>522</v>
      </c>
      <c r="D6" s="3393"/>
      <c r="E6" s="3416" t="s">
        <v>523</v>
      </c>
      <c r="F6" s="3417"/>
      <c r="G6" s="3392" t="s">
        <v>524</v>
      </c>
      <c r="H6" s="3393"/>
      <c r="I6" s="3392" t="s">
        <v>525</v>
      </c>
      <c r="J6" s="3393"/>
      <c r="K6" s="513" t="s">
        <v>526</v>
      </c>
      <c r="L6" s="2118"/>
      <c r="M6" s="2119"/>
      <c r="N6" s="2119"/>
      <c r="O6" s="2119"/>
      <c r="P6" s="3394" t="s">
        <v>527</v>
      </c>
      <c r="Q6" s="3395"/>
      <c r="R6" s="3380" t="s">
        <v>523</v>
      </c>
      <c r="S6" s="3381"/>
      <c r="T6" s="3380" t="s">
        <v>524</v>
      </c>
      <c r="U6" s="3381"/>
      <c r="V6" s="3400" t="s">
        <v>525</v>
      </c>
      <c r="W6" s="3400"/>
      <c r="X6" s="1553"/>
      <c r="Y6" s="3380" t="s">
        <v>527</v>
      </c>
      <c r="Z6" s="3381"/>
      <c r="AA6" s="3375" t="s">
        <v>523</v>
      </c>
      <c r="AB6" s="3376" t="s">
        <v>524</v>
      </c>
      <c r="AC6" s="3375" t="s">
        <v>525</v>
      </c>
    </row>
    <row r="7" spans="1:29" ht="15">
      <c r="A7" s="514"/>
      <c r="B7" s="515"/>
      <c r="C7" s="3403" t="s">
        <v>2930</v>
      </c>
      <c r="D7" s="3404"/>
      <c r="E7" s="3418" t="s">
        <v>2931</v>
      </c>
      <c r="F7" s="3419"/>
      <c r="G7" s="3403" t="s">
        <v>2932</v>
      </c>
      <c r="H7" s="3404"/>
      <c r="I7" s="3403" t="s">
        <v>2933</v>
      </c>
      <c r="J7" s="3404"/>
      <c r="K7" s="513"/>
      <c r="L7" s="2118"/>
      <c r="M7" s="2119"/>
      <c r="N7" s="2119"/>
      <c r="O7" s="2119"/>
      <c r="P7" s="3396"/>
      <c r="Q7" s="3397"/>
      <c r="R7" s="3382"/>
      <c r="S7" s="3383"/>
      <c r="T7" s="3382"/>
      <c r="U7" s="3383"/>
      <c r="V7" s="3400"/>
      <c r="W7" s="3400"/>
      <c r="X7" s="1553"/>
      <c r="Y7" s="3382"/>
      <c r="Z7" s="3383"/>
      <c r="AA7" s="3376"/>
      <c r="AB7" s="3376"/>
      <c r="AC7" s="3376"/>
    </row>
    <row r="8" spans="1:29" ht="15.75" thickBot="1">
      <c r="A8" s="516"/>
      <c r="B8" s="517"/>
      <c r="C8" s="3401" t="s">
        <v>2934</v>
      </c>
      <c r="D8" s="3402"/>
      <c r="E8" s="3420" t="s">
        <v>2934</v>
      </c>
      <c r="F8" s="3421"/>
      <c r="G8" s="3401" t="s">
        <v>2934</v>
      </c>
      <c r="H8" s="3402"/>
      <c r="I8" s="3401" t="s">
        <v>2934</v>
      </c>
      <c r="J8" s="3402"/>
      <c r="K8" s="513" t="s">
        <v>528</v>
      </c>
      <c r="L8" s="2118"/>
      <c r="M8" s="2119"/>
      <c r="N8" s="2119"/>
      <c r="O8" s="2119"/>
      <c r="P8" s="3398"/>
      <c r="Q8" s="3399"/>
      <c r="R8" s="3382"/>
      <c r="S8" s="3383"/>
      <c r="T8" s="3384"/>
      <c r="U8" s="3385"/>
      <c r="V8" s="3400"/>
      <c r="W8" s="3400"/>
      <c r="X8" s="1553"/>
      <c r="Y8" s="3384"/>
      <c r="Z8" s="3385"/>
      <c r="AA8" s="3377"/>
      <c r="AB8" s="3377"/>
      <c r="AC8" s="3377"/>
    </row>
    <row r="9" spans="1:29" s="1215" customFormat="1" ht="15.75" thickBot="1">
      <c r="A9" s="2867"/>
      <c r="B9" s="2874" t="s">
        <v>529</v>
      </c>
      <c r="C9" s="518">
        <f>'数据-取费表'!B2</f>
        <v>43734</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78" t="s">
        <v>530</v>
      </c>
      <c r="Q9" s="3387"/>
      <c r="R9" s="1554" t="s">
        <v>8</v>
      </c>
      <c r="S9" s="1555">
        <f t="shared" ref="S9:S17" si="0">F9</f>
        <v>0</v>
      </c>
      <c r="T9" s="1554" t="s">
        <v>8</v>
      </c>
      <c r="U9" s="1555">
        <f t="shared" ref="U9:U17" si="1">H9</f>
        <v>0</v>
      </c>
      <c r="V9" s="1554" t="s">
        <v>8</v>
      </c>
      <c r="W9" s="1555">
        <f t="shared" ref="W9:W17" si="2">J9</f>
        <v>0</v>
      </c>
      <c r="X9" s="1556"/>
      <c r="Y9" s="3378" t="s">
        <v>530</v>
      </c>
      <c r="Z9" s="3379"/>
      <c r="AA9" s="1557" t="e">
        <f>D9/F9</f>
        <v>#DIV/0!</v>
      </c>
      <c r="AB9" s="1557" t="e">
        <f>D9/H9</f>
        <v>#DIV/0!</v>
      </c>
      <c r="AC9" s="1557" t="e">
        <f>D9/J9</f>
        <v>#DIV/0!</v>
      </c>
    </row>
    <row r="10" spans="1:29" s="1215" customFormat="1" ht="15.75" thickBot="1">
      <c r="A10" s="2868"/>
      <c r="B10" s="2875"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78" t="s">
        <v>533</v>
      </c>
      <c r="Q10" s="3379"/>
      <c r="R10" s="1554" t="s">
        <v>8</v>
      </c>
      <c r="S10" s="1555">
        <f t="shared" si="0"/>
        <v>0</v>
      </c>
      <c r="T10" s="1554" t="s">
        <v>8</v>
      </c>
      <c r="U10" s="1555">
        <f t="shared" si="1"/>
        <v>0</v>
      </c>
      <c r="V10" s="1554" t="s">
        <v>8</v>
      </c>
      <c r="W10" s="1555">
        <f t="shared" si="2"/>
        <v>0</v>
      </c>
      <c r="X10" s="1556"/>
      <c r="Y10" s="3378" t="s">
        <v>533</v>
      </c>
      <c r="Z10" s="3379"/>
      <c r="AA10" s="1557" t="e">
        <f t="shared" ref="AA10:AA42" si="3">D10/F10</f>
        <v>#DIV/0!</v>
      </c>
      <c r="AB10" s="1557" t="e">
        <f t="shared" ref="AB10:AB42" si="4">D10/H10</f>
        <v>#DIV/0!</v>
      </c>
      <c r="AC10" s="1557" t="e">
        <f t="shared" ref="AC10:AC42" si="5">D10/J10</f>
        <v>#DIV/0!</v>
      </c>
    </row>
    <row r="11" spans="1:29" s="1215" customFormat="1" ht="15">
      <c r="A11" s="2869"/>
      <c r="B11" s="2876" t="s">
        <v>2755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86"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29" s="1333" customFormat="1" ht="27">
      <c r="A12" s="2870"/>
      <c r="B12" s="2875" t="s">
        <v>2756</v>
      </c>
      <c r="C12" s="527"/>
      <c r="D12" s="254">
        <v>100</v>
      </c>
      <c r="E12" s="527"/>
      <c r="F12" s="254">
        <f>ROUND(100/'数据-取费表'!G16,0)</f>
        <v>102</v>
      </c>
      <c r="G12" s="527"/>
      <c r="H12" s="254">
        <f>ROUND(100/'数据-取费表'!G16,0)</f>
        <v>102</v>
      </c>
      <c r="I12" s="527"/>
      <c r="J12" s="254">
        <f>ROUND(100/'数据-取费表'!G16,0)</f>
        <v>102</v>
      </c>
      <c r="K12" s="530"/>
      <c r="L12" s="2123"/>
      <c r="M12" s="2163"/>
      <c r="N12" s="2163"/>
      <c r="O12" s="2124"/>
      <c r="P12" s="3386"/>
      <c r="Q12" s="1146" t="str">
        <f t="shared" si="6"/>
        <v>土地使用年限（年）</v>
      </c>
      <c r="R12" s="1554" t="s">
        <v>8</v>
      </c>
      <c r="S12" s="1555">
        <f t="shared" si="0"/>
        <v>102</v>
      </c>
      <c r="T12" s="1554" t="s">
        <v>8</v>
      </c>
      <c r="U12" s="1555">
        <f t="shared" si="1"/>
        <v>102</v>
      </c>
      <c r="V12" s="1554" t="s">
        <v>8</v>
      </c>
      <c r="W12" s="1555">
        <f t="shared" si="2"/>
        <v>102</v>
      </c>
      <c r="X12" s="1556"/>
      <c r="Y12" s="3339"/>
      <c r="Z12" s="1145" t="str">
        <f t="shared" si="7"/>
        <v>土地使用年限（年）</v>
      </c>
      <c r="AA12" s="1557">
        <f t="shared" si="3"/>
        <v>0.98039215686274506</v>
      </c>
      <c r="AB12" s="1557">
        <f t="shared" si="4"/>
        <v>0.98039215686274506</v>
      </c>
      <c r="AC12" s="1557">
        <f t="shared" si="5"/>
        <v>0.98039215686274506</v>
      </c>
    </row>
    <row r="13" spans="1:29" ht="15">
      <c r="A13" s="2871"/>
      <c r="B13" s="2875"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86"/>
      <c r="Q13" s="1146" t="str">
        <f t="shared" si="6"/>
        <v>容积率</v>
      </c>
      <c r="R13" s="1554" t="s">
        <v>8</v>
      </c>
      <c r="S13" s="1555" t="e">
        <f t="shared" si="0"/>
        <v>#N/A</v>
      </c>
      <c r="T13" s="1554" t="s">
        <v>8</v>
      </c>
      <c r="U13" s="1555" t="e">
        <f t="shared" si="1"/>
        <v>#N/A</v>
      </c>
      <c r="V13" s="1554" t="s">
        <v>8</v>
      </c>
      <c r="W13" s="1555" t="e">
        <f t="shared" si="2"/>
        <v>#N/A</v>
      </c>
      <c r="X13" s="1556"/>
      <c r="Y13" s="3339"/>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86"/>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86"/>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 t="shared" si="3"/>
        <v>1</v>
      </c>
      <c r="AB16" s="1557">
        <f t="shared" si="4"/>
        <v>1</v>
      </c>
      <c r="AC16" s="1557">
        <f t="shared" si="5"/>
        <v>1</v>
      </c>
    </row>
    <row r="17" spans="1:29" ht="57">
      <c r="A17" s="2865"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88" t="s">
        <v>540</v>
      </c>
      <c r="Q17" s="1558" t="str">
        <f t="shared" si="6"/>
        <v>产业集聚程度</v>
      </c>
      <c r="R17" s="1559" t="s">
        <v>8</v>
      </c>
      <c r="S17" s="1560">
        <f t="shared" si="0"/>
        <v>100</v>
      </c>
      <c r="T17" s="1559" t="s">
        <v>8</v>
      </c>
      <c r="U17" s="1560">
        <f t="shared" si="1"/>
        <v>100</v>
      </c>
      <c r="V17" s="1559" t="s">
        <v>8</v>
      </c>
      <c r="W17" s="1560">
        <f t="shared" si="2"/>
        <v>100</v>
      </c>
      <c r="X17" s="1553"/>
      <c r="Y17" s="3388"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89"/>
      <c r="Q18" s="1558"/>
      <c r="R18" s="1559"/>
      <c r="S18" s="1560"/>
      <c r="T18" s="1559"/>
      <c r="U18" s="1560"/>
      <c r="V18" s="1559"/>
      <c r="W18" s="1560"/>
      <c r="X18" s="1553"/>
      <c r="Y18" s="3389"/>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89"/>
      <c r="Q19" s="1558" t="str">
        <f>B19</f>
        <v>交通便捷度</v>
      </c>
      <c r="R19" s="1559" t="s">
        <v>8</v>
      </c>
      <c r="S19" s="1560">
        <f>F19</f>
        <v>100</v>
      </c>
      <c r="T19" s="1559" t="s">
        <v>8</v>
      </c>
      <c r="U19" s="1560">
        <f>H19</f>
        <v>100</v>
      </c>
      <c r="V19" s="1559" t="s">
        <v>8</v>
      </c>
      <c r="W19" s="1560">
        <f>J19</f>
        <v>100</v>
      </c>
      <c r="X19" s="1553"/>
      <c r="Y19" s="3389"/>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89"/>
      <c r="Q20" s="1558"/>
      <c r="R20" s="1559"/>
      <c r="S20" s="1560"/>
      <c r="T20" s="1559"/>
      <c r="U20" s="1560"/>
      <c r="V20" s="1559"/>
      <c r="W20" s="1560"/>
      <c r="X20" s="1553"/>
      <c r="Y20" s="3389"/>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89"/>
      <c r="Q21" s="1558" t="str">
        <f t="shared" ref="Q21:Q35" si="8">B21</f>
        <v>区域土地利用方向</v>
      </c>
      <c r="R21" s="1559" t="s">
        <v>8</v>
      </c>
      <c r="S21" s="1560">
        <f>F21</f>
        <v>100</v>
      </c>
      <c r="T21" s="1559" t="s">
        <v>8</v>
      </c>
      <c r="U21" s="1560">
        <f>H21</f>
        <v>100</v>
      </c>
      <c r="V21" s="1559" t="s">
        <v>8</v>
      </c>
      <c r="W21" s="1560">
        <f>J21</f>
        <v>100</v>
      </c>
      <c r="X21" s="1553"/>
      <c r="Y21" s="3389"/>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89"/>
      <c r="Q22" s="1558"/>
      <c r="R22" s="1559"/>
      <c r="S22" s="1560"/>
      <c r="T22" s="1559"/>
      <c r="U22" s="1560"/>
      <c r="V22" s="1559"/>
      <c r="W22" s="1560"/>
      <c r="X22" s="1553"/>
      <c r="Y22" s="3389"/>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89"/>
      <c r="Q23" s="1558" t="str">
        <f t="shared" si="8"/>
        <v>环境状况</v>
      </c>
      <c r="R23" s="1559" t="s">
        <v>8</v>
      </c>
      <c r="S23" s="1560">
        <f>F23</f>
        <v>100</v>
      </c>
      <c r="T23" s="1559" t="s">
        <v>8</v>
      </c>
      <c r="U23" s="1560">
        <f>H23</f>
        <v>100</v>
      </c>
      <c r="V23" s="1559" t="s">
        <v>8</v>
      </c>
      <c r="W23" s="1560">
        <f>J23</f>
        <v>100</v>
      </c>
      <c r="X23" s="1553"/>
      <c r="Y23" s="3389"/>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89"/>
      <c r="Q24" s="1558"/>
      <c r="R24" s="1559"/>
      <c r="S24" s="1560"/>
      <c r="T24" s="1559"/>
      <c r="U24" s="1560"/>
      <c r="V24" s="1559"/>
      <c r="W24" s="1560"/>
      <c r="X24" s="1553"/>
      <c r="Y24" s="3389"/>
      <c r="Z24" s="1561"/>
      <c r="AA24" s="1562">
        <v>1</v>
      </c>
      <c r="AB24" s="1562">
        <v>1</v>
      </c>
      <c r="AC24" s="1562">
        <v>1</v>
      </c>
    </row>
    <row r="25" spans="1:29" s="1215" customFormat="1" ht="42.75">
      <c r="A25" s="576"/>
      <c r="B25" s="2557"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89"/>
      <c r="Q25" s="1146" t="str">
        <f t="shared" si="8"/>
        <v>公共配套设施</v>
      </c>
      <c r="R25" s="1554" t="s">
        <v>8</v>
      </c>
      <c r="S25" s="1555">
        <f>F25</f>
        <v>100</v>
      </c>
      <c r="T25" s="1554" t="s">
        <v>8</v>
      </c>
      <c r="U25" s="1555">
        <f>H25</f>
        <v>100</v>
      </c>
      <c r="V25" s="1554" t="s">
        <v>8</v>
      </c>
      <c r="W25" s="1555">
        <f>J25</f>
        <v>100</v>
      </c>
      <c r="X25" s="1556"/>
      <c r="Y25" s="3389"/>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89"/>
      <c r="Q26" s="1146"/>
      <c r="R26" s="1554"/>
      <c r="S26" s="1555"/>
      <c r="T26" s="1554"/>
      <c r="U26" s="1555"/>
      <c r="V26" s="1554"/>
      <c r="W26" s="1555"/>
      <c r="X26" s="1556"/>
      <c r="Y26" s="3389"/>
      <c r="Z26" s="1145"/>
      <c r="AA26" s="1557">
        <v>1</v>
      </c>
      <c r="AB26" s="1557">
        <v>1</v>
      </c>
      <c r="AC26" s="1557">
        <v>1</v>
      </c>
    </row>
    <row r="27" spans="1:29" s="1215" customFormat="1" ht="28.5">
      <c r="A27" s="576"/>
      <c r="B27" s="2557"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89"/>
      <c r="Q27" s="2542" t="str">
        <f t="shared" ref="Q27" si="9">B27</f>
        <v>基础设施水平</v>
      </c>
      <c r="R27" s="1554" t="s">
        <v>8</v>
      </c>
      <c r="S27" s="1555">
        <f>F27</f>
        <v>100</v>
      </c>
      <c r="T27" s="1554" t="s">
        <v>8</v>
      </c>
      <c r="U27" s="1555">
        <f>H27</f>
        <v>100</v>
      </c>
      <c r="V27" s="1554" t="s">
        <v>8</v>
      </c>
      <c r="W27" s="1555">
        <f>J27</f>
        <v>100</v>
      </c>
      <c r="X27" s="1556"/>
      <c r="Y27" s="3389"/>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89"/>
      <c r="Q28" s="2542"/>
      <c r="R28" s="1554"/>
      <c r="S28" s="1555"/>
      <c r="T28" s="1554"/>
      <c r="U28" s="1555"/>
      <c r="V28" s="1554"/>
      <c r="W28" s="1555"/>
      <c r="X28" s="1556"/>
      <c r="Y28" s="3389"/>
      <c r="Z28" s="2539"/>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8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9"/>
      <c r="Z29" s="1561" t="str">
        <f t="shared" ref="Z29:Z42" si="13">Q29</f>
        <v>临街状况</v>
      </c>
      <c r="AA29" s="1562">
        <f t="shared" si="3"/>
        <v>1</v>
      </c>
      <c r="AB29" s="1562">
        <f t="shared" si="4"/>
        <v>1</v>
      </c>
      <c r="AC29" s="1562">
        <f t="shared" si="5"/>
        <v>1</v>
      </c>
    </row>
    <row r="30" spans="1:29" ht="27">
      <c r="A30" s="531"/>
      <c r="B30" s="921" t="s">
        <v>548</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89"/>
      <c r="Q30" s="1558" t="str">
        <f t="shared" si="8"/>
        <v>毗邻道路的类型与等级</v>
      </c>
      <c r="R30" s="1559" t="s">
        <v>8</v>
      </c>
      <c r="S30" s="1560">
        <f t="shared" si="10"/>
        <v>100</v>
      </c>
      <c r="T30" s="1559" t="s">
        <v>8</v>
      </c>
      <c r="U30" s="1560">
        <f t="shared" si="11"/>
        <v>100</v>
      </c>
      <c r="V30" s="1559" t="s">
        <v>8</v>
      </c>
      <c r="W30" s="1560">
        <f t="shared" si="12"/>
        <v>100</v>
      </c>
      <c r="X30" s="1553"/>
      <c r="Y30" s="3389"/>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89"/>
      <c r="Q31" s="1558"/>
      <c r="R31" s="1559"/>
      <c r="S31" s="1560"/>
      <c r="T31" s="1559"/>
      <c r="U31" s="1560"/>
      <c r="V31" s="1559"/>
      <c r="W31" s="1560"/>
      <c r="X31" s="1553"/>
      <c r="Y31" s="3389"/>
      <c r="Z31" s="1561"/>
      <c r="AA31" s="1562">
        <v>1</v>
      </c>
      <c r="AB31" s="1562">
        <v>1</v>
      </c>
      <c r="AC31" s="1562">
        <v>1</v>
      </c>
    </row>
    <row r="32" spans="1:29" ht="15">
      <c r="A32" s="531"/>
      <c r="B32" s="526" t="s">
        <v>549</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89"/>
      <c r="Q32" s="1558" t="str">
        <f t="shared" si="8"/>
        <v>土地级别</v>
      </c>
      <c r="R32" s="1559" t="s">
        <v>8</v>
      </c>
      <c r="S32" s="1560">
        <f t="shared" si="10"/>
        <v>100</v>
      </c>
      <c r="T32" s="1559" t="s">
        <v>8</v>
      </c>
      <c r="U32" s="1560">
        <f t="shared" si="11"/>
        <v>100</v>
      </c>
      <c r="V32" s="1559" t="s">
        <v>8</v>
      </c>
      <c r="W32" s="1560">
        <f t="shared" si="12"/>
        <v>100</v>
      </c>
      <c r="X32" s="1553"/>
      <c r="Y32" s="3389"/>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89"/>
      <c r="Q33" s="1558">
        <f t="shared" si="8"/>
        <v>111</v>
      </c>
      <c r="R33" s="1559" t="s">
        <v>8</v>
      </c>
      <c r="S33" s="1560">
        <f t="shared" si="10"/>
        <v>100</v>
      </c>
      <c r="T33" s="1559" t="s">
        <v>8</v>
      </c>
      <c r="U33" s="1560">
        <f t="shared" si="11"/>
        <v>100</v>
      </c>
      <c r="V33" s="1559" t="s">
        <v>8</v>
      </c>
      <c r="W33" s="1560">
        <f t="shared" si="12"/>
        <v>100</v>
      </c>
      <c r="X33" s="1553"/>
      <c r="Y33" s="3389"/>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90" t="s">
        <v>550</v>
      </c>
      <c r="Q34" s="1558">
        <f t="shared" si="8"/>
        <v>111</v>
      </c>
      <c r="R34" s="1559" t="s">
        <v>8</v>
      </c>
      <c r="S34" s="1560">
        <f t="shared" si="10"/>
        <v>100</v>
      </c>
      <c r="T34" s="1559" t="s">
        <v>8</v>
      </c>
      <c r="U34" s="1560">
        <f t="shared" si="11"/>
        <v>100</v>
      </c>
      <c r="V34" s="1559" t="s">
        <v>8</v>
      </c>
      <c r="W34" s="1560">
        <f t="shared" si="12"/>
        <v>100</v>
      </c>
      <c r="X34" s="1553"/>
      <c r="Y34" s="3391" t="s">
        <v>550</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91"/>
      <c r="Q35" s="1558">
        <f t="shared" si="8"/>
        <v>111</v>
      </c>
      <c r="R35" s="1563" t="s">
        <v>8</v>
      </c>
      <c r="S35" s="1564">
        <f t="shared" si="10"/>
        <v>100</v>
      </c>
      <c r="T35" s="1563" t="s">
        <v>8</v>
      </c>
      <c r="U35" s="1564">
        <f t="shared" si="11"/>
        <v>100</v>
      </c>
      <c r="V35" s="1563" t="s">
        <v>8</v>
      </c>
      <c r="W35" s="1564">
        <f t="shared" si="12"/>
        <v>100</v>
      </c>
      <c r="X35" s="1565"/>
      <c r="Y35" s="3391"/>
      <c r="Z35" s="1566">
        <f t="shared" si="13"/>
        <v>111</v>
      </c>
      <c r="AA35" s="1562">
        <f t="shared" si="3"/>
        <v>1</v>
      </c>
      <c r="AB35" s="1562">
        <f t="shared" si="4"/>
        <v>1</v>
      </c>
      <c r="AC35" s="1562">
        <f t="shared" si="5"/>
        <v>1</v>
      </c>
    </row>
    <row r="36" spans="1:29" ht="15">
      <c r="A36" s="2862"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91"/>
      <c r="Q36" s="1558" t="str">
        <f>B36</f>
        <v>宗地面积</v>
      </c>
      <c r="R36" s="1559" t="s">
        <v>8</v>
      </c>
      <c r="S36" s="1560" t="e">
        <f t="shared" si="10"/>
        <v>#N/A</v>
      </c>
      <c r="T36" s="1559" t="s">
        <v>8</v>
      </c>
      <c r="U36" s="1560" t="e">
        <f t="shared" si="11"/>
        <v>#N/A</v>
      </c>
      <c r="V36" s="1559" t="s">
        <v>8</v>
      </c>
      <c r="W36" s="1560" t="e">
        <f t="shared" si="12"/>
        <v>#N/A</v>
      </c>
      <c r="X36" s="1553"/>
      <c r="Y36" s="3391"/>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91"/>
      <c r="Q37" s="1558" t="str">
        <f t="shared" ref="Q37:Q42" si="14">B37</f>
        <v>宗地形状</v>
      </c>
      <c r="R37" s="1559" t="s">
        <v>8</v>
      </c>
      <c r="S37" s="1560">
        <f t="shared" si="10"/>
        <v>100</v>
      </c>
      <c r="T37" s="1559" t="s">
        <v>8</v>
      </c>
      <c r="U37" s="1560">
        <f t="shared" si="11"/>
        <v>100</v>
      </c>
      <c r="V37" s="1559" t="s">
        <v>8</v>
      </c>
      <c r="W37" s="1560">
        <f t="shared" si="12"/>
        <v>100</v>
      </c>
      <c r="X37" s="1553"/>
      <c r="Y37" s="3391"/>
      <c r="Z37" s="1561" t="str">
        <f t="shared" si="13"/>
        <v>宗地形状</v>
      </c>
      <c r="AA37" s="1562">
        <f t="shared" si="3"/>
        <v>1</v>
      </c>
      <c r="AB37" s="1562">
        <f t="shared" si="4"/>
        <v>1</v>
      </c>
      <c r="AC37" s="1562">
        <f t="shared" si="5"/>
        <v>1</v>
      </c>
    </row>
    <row r="38" spans="1:29" s="1215" customFormat="1" ht="15">
      <c r="A38" s="599"/>
      <c r="B38" s="1880"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91"/>
      <c r="Q38" s="1558" t="str">
        <f t="shared" si="14"/>
        <v>宗地开发程度</v>
      </c>
      <c r="R38" s="1554" t="s">
        <v>8</v>
      </c>
      <c r="S38" s="1555">
        <f t="shared" si="10"/>
        <v>100</v>
      </c>
      <c r="T38" s="1554" t="s">
        <v>8</v>
      </c>
      <c r="U38" s="1555">
        <f t="shared" si="11"/>
        <v>100</v>
      </c>
      <c r="V38" s="1554" t="s">
        <v>8</v>
      </c>
      <c r="W38" s="1555">
        <f t="shared" si="12"/>
        <v>100</v>
      </c>
      <c r="X38" s="1556"/>
      <c r="Y38" s="3391"/>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1" t="s">
        <v>601</v>
      </c>
      <c r="Q39" s="1558" t="str">
        <f t="shared" si="14"/>
        <v>工程地质条件</v>
      </c>
      <c r="R39" s="1559" t="s">
        <v>8</v>
      </c>
      <c r="S39" s="1560">
        <f t="shared" si="10"/>
        <v>100</v>
      </c>
      <c r="T39" s="1559" t="s">
        <v>8</v>
      </c>
      <c r="U39" s="1560">
        <f t="shared" si="11"/>
        <v>100</v>
      </c>
      <c r="V39" s="1559" t="s">
        <v>8</v>
      </c>
      <c r="W39" s="1560">
        <f t="shared" si="12"/>
        <v>100</v>
      </c>
      <c r="X39" s="1553"/>
      <c r="Y39" s="3391"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91"/>
      <c r="Q40" s="1558">
        <f t="shared" si="14"/>
        <v>111</v>
      </c>
      <c r="R40" s="1559" t="s">
        <v>8</v>
      </c>
      <c r="S40" s="1560">
        <f t="shared" si="10"/>
        <v>100</v>
      </c>
      <c r="T40" s="1559" t="s">
        <v>8</v>
      </c>
      <c r="U40" s="1560">
        <f t="shared" si="11"/>
        <v>100</v>
      </c>
      <c r="V40" s="1559" t="s">
        <v>8</v>
      </c>
      <c r="W40" s="1560">
        <f t="shared" si="12"/>
        <v>100</v>
      </c>
      <c r="X40" s="1553"/>
      <c r="Y40" s="3391"/>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91"/>
      <c r="Q41" s="1558">
        <f t="shared" si="14"/>
        <v>111</v>
      </c>
      <c r="R41" s="1559" t="s">
        <v>8</v>
      </c>
      <c r="S41" s="1560">
        <f t="shared" si="10"/>
        <v>100</v>
      </c>
      <c r="T41" s="1559" t="s">
        <v>8</v>
      </c>
      <c r="U41" s="1560">
        <f t="shared" si="11"/>
        <v>100</v>
      </c>
      <c r="V41" s="1559" t="s">
        <v>8</v>
      </c>
      <c r="W41" s="1560">
        <f t="shared" si="12"/>
        <v>100</v>
      </c>
      <c r="X41" s="1553"/>
      <c r="Y41" s="3391"/>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91"/>
      <c r="Q42" s="1558">
        <f t="shared" si="14"/>
        <v>111</v>
      </c>
      <c r="R42" s="1563" t="s">
        <v>8</v>
      </c>
      <c r="S42" s="1564">
        <f t="shared" si="10"/>
        <v>100</v>
      </c>
      <c r="T42" s="1563" t="s">
        <v>8</v>
      </c>
      <c r="U42" s="1564">
        <f t="shared" si="11"/>
        <v>100</v>
      </c>
      <c r="V42" s="1563" t="s">
        <v>8</v>
      </c>
      <c r="W42" s="1564">
        <f t="shared" si="12"/>
        <v>100</v>
      </c>
      <c r="X42" s="1565"/>
      <c r="Y42" s="3391"/>
      <c r="Z42" s="1566">
        <f t="shared" si="13"/>
        <v>111</v>
      </c>
      <c r="AA42" s="1562">
        <f t="shared" si="3"/>
        <v>1</v>
      </c>
      <c r="AB42" s="1562">
        <f t="shared" si="4"/>
        <v>1</v>
      </c>
      <c r="AC42" s="1562">
        <f t="shared" si="5"/>
        <v>1</v>
      </c>
    </row>
    <row r="43" spans="1:29" ht="15">
      <c r="A43" s="606" t="s">
        <v>556</v>
      </c>
      <c r="B43" s="607" t="s">
        <v>2935</v>
      </c>
      <c r="C43" s="608" t="s">
        <v>1</v>
      </c>
      <c r="D43" s="609"/>
      <c r="E43" s="610"/>
      <c r="F43" s="611"/>
      <c r="G43" s="612"/>
      <c r="H43" s="613"/>
      <c r="I43" s="610"/>
      <c r="J43" s="613"/>
      <c r="K43" s="1335"/>
      <c r="L43" s="2129"/>
      <c r="M43" s="2119"/>
      <c r="N43" s="2119"/>
      <c r="O43" s="2130"/>
      <c r="P43" s="3386" t="str">
        <f>A43</f>
        <v>成交单价</v>
      </c>
      <c r="Q43" s="3386"/>
      <c r="R43" s="3400">
        <f>E43</f>
        <v>0</v>
      </c>
      <c r="S43" s="3400"/>
      <c r="T43" s="3400">
        <f>G43</f>
        <v>0</v>
      </c>
      <c r="U43" s="3400"/>
      <c r="V43" s="3400">
        <f>I43</f>
        <v>0</v>
      </c>
      <c r="W43" s="3400"/>
      <c r="X43" s="1545"/>
      <c r="Y43" s="1567"/>
      <c r="Z43" s="1545"/>
      <c r="AA43" s="1545"/>
      <c r="AB43" s="1545"/>
      <c r="AC43" s="1545"/>
    </row>
    <row r="44" spans="1:29" ht="15.75" thickBot="1">
      <c r="A44" s="614" t="s">
        <v>2692</v>
      </c>
      <c r="B44" s="615"/>
      <c r="C44" s="616" t="e">
        <f>R45</f>
        <v>#DIV/0!</v>
      </c>
      <c r="D44" s="617"/>
      <c r="E44" s="616" t="e">
        <f>R44</f>
        <v>#DIV/0!</v>
      </c>
      <c r="F44" s="618"/>
      <c r="G44" s="619" t="e">
        <f>T44</f>
        <v>#DIV/0!</v>
      </c>
      <c r="H44" s="617"/>
      <c r="I44" s="616" t="e">
        <f>V44</f>
        <v>#DIV/0!</v>
      </c>
      <c r="J44" s="617"/>
      <c r="K44" s="1336"/>
      <c r="L44" s="2129"/>
      <c r="M44" s="2119"/>
      <c r="N44" s="2119"/>
      <c r="O44" s="2130"/>
      <c r="P44" s="3386" t="str">
        <f>A44</f>
        <v>比较价格（元/平方米）</v>
      </c>
      <c r="Q44" s="3386"/>
      <c r="R44" s="3410" t="e">
        <f>ROUND(PRODUCT(R43,AA9:AA42),0)</f>
        <v>#DIV/0!</v>
      </c>
      <c r="S44" s="3410"/>
      <c r="T44" s="3410" t="e">
        <f>ROUND(PRODUCT(T43,AB9:AB42),0)</f>
        <v>#DIV/0!</v>
      </c>
      <c r="U44" s="3410"/>
      <c r="V44" s="3410" t="e">
        <f>ROUND(PRODUCT(V43,AC9:AC42),0)</f>
        <v>#DIV/0!</v>
      </c>
      <c r="W44" s="3410"/>
      <c r="X44" s="1545"/>
      <c r="Y44" s="1545"/>
      <c r="Z44" s="1545"/>
      <c r="AA44" s="1545"/>
      <c r="AB44" s="1545"/>
      <c r="AC44" s="1545"/>
    </row>
    <row r="45" spans="1:29" ht="15.75" thickBot="1">
      <c r="A45" s="620" t="s">
        <v>2936</v>
      </c>
      <c r="B45" s="621"/>
      <c r="C45" s="622" t="e">
        <f>R45</f>
        <v>#DIV/0!</v>
      </c>
      <c r="D45" s="622"/>
      <c r="E45" s="622"/>
      <c r="F45" s="622"/>
      <c r="G45" s="622"/>
      <c r="H45" s="622"/>
      <c r="I45" s="622"/>
      <c r="J45" s="622"/>
      <c r="K45" s="1337"/>
      <c r="L45" s="2129"/>
      <c r="M45" s="2119"/>
      <c r="N45" s="2119"/>
      <c r="O45" s="2130"/>
      <c r="P45" s="3407" t="str">
        <f>A45</f>
        <v>估价对象XX用房的比较价格（楼面单价，元/平方米）</v>
      </c>
      <c r="Q45" s="3408"/>
      <c r="R45" s="3409" t="e">
        <f>ROUND(AVERAGE(R44:V44),0)</f>
        <v>#DIV/0!</v>
      </c>
      <c r="S45" s="3409"/>
      <c r="T45" s="3409"/>
      <c r="U45" s="3409"/>
      <c r="V45" s="3409"/>
      <c r="W45" s="3409"/>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560</v>
      </c>
      <c r="B52" s="629" t="s">
        <v>561</v>
      </c>
      <c r="C52" s="1546" t="s">
        <v>1723</v>
      </c>
      <c r="D52" s="2212" t="s">
        <v>2292</v>
      </c>
      <c r="E52" s="630" t="s">
        <v>562</v>
      </c>
      <c r="F52" s="1936" t="s">
        <v>563</v>
      </c>
      <c r="G52" s="3411" t="s">
        <v>2283</v>
      </c>
      <c r="H52" s="3412"/>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564</v>
      </c>
      <c r="B53" s="633" t="e">
        <f>C45</f>
        <v>#DIV/0!</v>
      </c>
      <c r="C53" s="634">
        <v>1</v>
      </c>
      <c r="D53" s="2213">
        <v>1</v>
      </c>
      <c r="E53" s="634">
        <f>'数据-汇总表'!E8+'数据-汇总表'!E9</f>
        <v>92723.37</v>
      </c>
      <c r="F53" s="1935" t="e">
        <f t="shared" ref="F53:F62" si="15">ROUND(B53*E53/10000,0)</f>
        <v>#DIV/0!</v>
      </c>
      <c r="G53" s="3413"/>
      <c r="H53" s="3414"/>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565</v>
      </c>
      <c r="B54" s="637" t="e">
        <f>ROUND($C$45*C54*D54,0)</f>
        <v>#DIV/0!</v>
      </c>
      <c r="C54" s="377">
        <f t="shared" ref="C54:C62" si="16">IF($C$52="北京市系数",I54,J54)</f>
        <v>0</v>
      </c>
      <c r="D54" s="2214">
        <v>0.25</v>
      </c>
      <c r="E54" s="638"/>
      <c r="F54" s="1935" t="e">
        <f t="shared" si="15"/>
        <v>#DIV/0!</v>
      </c>
      <c r="G54" s="3415"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566</v>
      </c>
      <c r="B55" s="637" t="e">
        <f t="shared" ref="B55:B62" si="17">ROUND($C$45*C55*D55,0)</f>
        <v>#DIV/0!</v>
      </c>
      <c r="C55" s="377">
        <f t="shared" si="16"/>
        <v>0</v>
      </c>
      <c r="D55" s="2214">
        <v>0.25</v>
      </c>
      <c r="E55" s="638"/>
      <c r="F55" s="1935" t="e">
        <f t="shared" si="15"/>
        <v>#DIV/0!</v>
      </c>
      <c r="G55" s="3415"/>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567</v>
      </c>
      <c r="B56" s="637" t="e">
        <f t="shared" si="17"/>
        <v>#DIV/0!</v>
      </c>
      <c r="C56" s="377">
        <f t="shared" si="16"/>
        <v>0</v>
      </c>
      <c r="D56" s="2214">
        <v>0.25</v>
      </c>
      <c r="E56" s="638"/>
      <c r="F56" s="1935" t="e">
        <f t="shared" si="15"/>
        <v>#DIV/0!</v>
      </c>
      <c r="G56" s="3415"/>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568</v>
      </c>
      <c r="B57" s="637" t="e">
        <f t="shared" si="17"/>
        <v>#DIV/0!</v>
      </c>
      <c r="C57" s="377">
        <f t="shared" si="16"/>
        <v>0</v>
      </c>
      <c r="D57" s="2214">
        <v>0.25</v>
      </c>
      <c r="E57" s="638"/>
      <c r="F57" s="1935" t="e">
        <f t="shared" si="15"/>
        <v>#DIV/0!</v>
      </c>
      <c r="G57" s="3415"/>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7" t="e">
        <f t="shared" si="17"/>
        <v>#DIV/0!</v>
      </c>
      <c r="C58" s="377">
        <f t="shared" si="16"/>
        <v>0</v>
      </c>
      <c r="D58" s="2214">
        <v>0.25</v>
      </c>
      <c r="E58" s="640">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569</v>
      </c>
      <c r="B59" s="637" t="e">
        <f t="shared" si="17"/>
        <v>#DIV/0!</v>
      </c>
      <c r="C59" s="377">
        <f t="shared" si="16"/>
        <v>0</v>
      </c>
      <c r="D59" s="2214">
        <v>0.25</v>
      </c>
      <c r="E59" s="640">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570</v>
      </c>
      <c r="B60" s="637" t="e">
        <f t="shared" si="17"/>
        <v>#DIV/0!</v>
      </c>
      <c r="C60" s="377">
        <f t="shared" si="16"/>
        <v>0</v>
      </c>
      <c r="D60" s="2214">
        <v>0.25</v>
      </c>
      <c r="E60" s="640">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571</v>
      </c>
      <c r="B61" s="637" t="e">
        <f t="shared" si="17"/>
        <v>#DIV/0!</v>
      </c>
      <c r="C61" s="377">
        <f t="shared" si="16"/>
        <v>0</v>
      </c>
      <c r="D61" s="2214">
        <v>0.25</v>
      </c>
      <c r="E61" s="640">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572</v>
      </c>
      <c r="B62" s="637" t="e">
        <f t="shared" si="17"/>
        <v>#DIV/0!</v>
      </c>
      <c r="C62" s="377">
        <f t="shared" si="16"/>
        <v>0</v>
      </c>
      <c r="D62" s="2214">
        <v>0.25</v>
      </c>
      <c r="E62" s="640">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573</v>
      </c>
      <c r="B63" s="642" t="s">
        <v>17</v>
      </c>
      <c r="C63" s="642" t="s">
        <v>18</v>
      </c>
      <c r="D63" s="642" t="s">
        <v>2293</v>
      </c>
      <c r="E63" s="642">
        <f>IF(B43="楼面地价",SUM(E53:E62),'数据-汇总表'!D3)</f>
        <v>61815.58</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2019-9-1</v>
      </c>
      <c r="D65" s="2754">
        <f>EDATE(C65,-3)</f>
        <v>43617</v>
      </c>
      <c r="E65" s="2754">
        <f t="shared" ref="E65:N65" si="18">EDATE(D65,-3)</f>
        <v>43525</v>
      </c>
      <c r="F65" s="2754">
        <f t="shared" si="18"/>
        <v>43435</v>
      </c>
      <c r="G65" s="2754">
        <f t="shared" si="18"/>
        <v>43344</v>
      </c>
      <c r="H65" s="2754">
        <f t="shared" si="18"/>
        <v>43252</v>
      </c>
      <c r="I65" s="2754">
        <f t="shared" si="18"/>
        <v>43160</v>
      </c>
      <c r="J65" s="2754">
        <f t="shared" si="18"/>
        <v>43070</v>
      </c>
      <c r="K65" s="2754">
        <f t="shared" si="18"/>
        <v>42979</v>
      </c>
      <c r="L65" s="2754">
        <f t="shared" si="18"/>
        <v>42887</v>
      </c>
      <c r="M65" s="2754">
        <f t="shared" si="18"/>
        <v>42795</v>
      </c>
      <c r="N65" s="2754">
        <f t="shared" si="18"/>
        <v>42705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2532</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575</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531</v>
      </c>
      <c r="B70" s="647"/>
      <c r="C70" s="659" t="s">
        <v>576</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577</v>
      </c>
      <c r="B72" s="664" t="s">
        <v>534</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537</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539</v>
      </c>
      <c r="B85" s="664" t="s">
        <v>602</v>
      </c>
      <c r="C85" s="702" t="s">
        <v>579</v>
      </c>
      <c r="D85" s="702" t="s">
        <v>580</v>
      </c>
      <c r="E85" s="702" t="s">
        <v>581</v>
      </c>
      <c r="F85" s="702" t="s">
        <v>582</v>
      </c>
      <c r="G85" s="702" t="s">
        <v>583</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586</v>
      </c>
      <c r="C87" s="707" t="s">
        <v>579</v>
      </c>
      <c r="D87" s="707" t="s">
        <v>580</v>
      </c>
      <c r="E87" s="707" t="s">
        <v>581</v>
      </c>
      <c r="F87" s="707" t="s">
        <v>582</v>
      </c>
      <c r="G87" s="707" t="s">
        <v>583</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2547</v>
      </c>
      <c r="C93" s="702" t="s">
        <v>579</v>
      </c>
      <c r="D93" s="702" t="s">
        <v>580</v>
      </c>
      <c r="E93" s="702" t="s">
        <v>581</v>
      </c>
      <c r="F93" s="702" t="s">
        <v>582</v>
      </c>
      <c r="G93" s="702" t="s">
        <v>583</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2549</v>
      </c>
      <c r="C95" s="2562" t="s">
        <v>2550</v>
      </c>
      <c r="D95" s="2562" t="s">
        <v>2551</v>
      </c>
      <c r="E95" s="2562" t="s">
        <v>2552</v>
      </c>
      <c r="F95" s="2562" t="s">
        <v>2553</v>
      </c>
      <c r="G95" s="2562" t="s">
        <v>2554</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589</v>
      </c>
      <c r="D97" s="673" t="s">
        <v>590</v>
      </c>
      <c r="E97" s="673" t="s">
        <v>591</v>
      </c>
      <c r="F97" s="673" t="s">
        <v>592</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548</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549</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594</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2424</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596</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1" t="s">
        <v>2761</v>
      </c>
      <c r="S1" s="2891" t="s">
        <v>2762</v>
      </c>
      <c r="T1" s="2891" t="s">
        <v>2783</v>
      </c>
      <c r="U1" s="2891" t="s">
        <v>2784</v>
      </c>
      <c r="V1" s="2891" t="s">
        <v>2785</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8"/>
      <c r="L4" s="1870" t="s">
        <v>2240</v>
      </c>
      <c r="M4" s="1871">
        <f>SUMPRODUCT((区片价!B49:B75=I2)*(区片价!C3:F3=E2)*(区片价!C49:F75))</f>
        <v>0</v>
      </c>
      <c r="N4" s="1872">
        <f>SUMPRODUCT((因素修正幅度!B49:B75=I2)*(因素修正幅度!C3:F3=E2)*(因素修正幅度!C49:F75))</f>
        <v>0</v>
      </c>
      <c r="O4" s="3148"/>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2" t="e">
        <f>ROUND(C6+C16,0)</f>
        <v>#DIV/0!</v>
      </c>
      <c r="E5" s="3072"/>
      <c r="F5" s="1412"/>
      <c r="G5" s="1413"/>
      <c r="H5" s="1413"/>
      <c r="I5" s="1413"/>
      <c r="J5" s="1414"/>
      <c r="K5" s="3149"/>
      <c r="L5" s="1870" t="s">
        <v>2241</v>
      </c>
      <c r="M5" s="1871">
        <f>SUMPRODUCT((区片价!B76:B109=I2)*(区片价!C3:F3=E2)*(区片价!C76:F109))</f>
        <v>0</v>
      </c>
      <c r="N5" s="1872">
        <f>SUMPRODUCT((因素修正幅度!B76:B109=I2)*(因素修正幅度!C3:F3=E2)*(因素修正幅度!C76:F109))</f>
        <v>0</v>
      </c>
      <c r="O5" s="3149"/>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3"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7"/>
      <c r="AB7" s="2177"/>
      <c r="AC7" s="2178"/>
      <c r="AD7" s="2884"/>
      <c r="AE7" s="2884"/>
      <c r="AF7" s="2884"/>
      <c r="AG7" s="2884"/>
      <c r="AH7" s="2884"/>
      <c r="AI7" s="2884"/>
      <c r="AJ7" s="2885"/>
    </row>
    <row r="8" spans="1:39" ht="15">
      <c r="A8" s="3424"/>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4" t="s">
        <v>2782</v>
      </c>
      <c r="X8" s="3435"/>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24"/>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3"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4"/>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4"/>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3" t="s">
        <v>2780</v>
      </c>
      <c r="X11" s="1047" t="s">
        <v>2765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3"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3"/>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5"/>
      <c r="B13" s="1440" t="s">
        <v>1695</v>
      </c>
      <c r="C13" s="1441" t="s">
        <v>1696</v>
      </c>
      <c r="D13" s="1084" t="s">
        <v>1697</v>
      </c>
      <c r="E13" s="1084" t="s">
        <v>1698</v>
      </c>
      <c r="F13" s="1442" t="s">
        <v>947</v>
      </c>
      <c r="G13" s="1443" t="s">
        <v>1641</v>
      </c>
      <c r="H13" s="1444" t="s">
        <v>1641</v>
      </c>
      <c r="I13" s="1445" t="s">
        <v>1641</v>
      </c>
      <c r="J13" s="1446" t="s">
        <v>1641</v>
      </c>
      <c r="K13" s="3164"/>
      <c r="L13" s="3164"/>
      <c r="M13" s="3164"/>
      <c r="N13" s="3164"/>
      <c r="O13" s="3164"/>
      <c r="P13" s="1397"/>
      <c r="Q13" s="2174"/>
      <c r="R13" s="2892">
        <v>12</v>
      </c>
      <c r="S13" s="2881"/>
      <c r="T13" s="2892" t="e">
        <f t="shared" si="0"/>
        <v>#DIV/0!</v>
      </c>
      <c r="U13" s="2881"/>
      <c r="V13" s="2892" t="e">
        <f t="shared" si="1"/>
        <v>#DIV/0!</v>
      </c>
      <c r="W13" s="343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5"/>
      <c r="B14" s="1447"/>
      <c r="C14" s="1448"/>
      <c r="D14" s="1449"/>
      <c r="E14" s="1449"/>
      <c r="F14" s="1450"/>
      <c r="G14" s="1451" t="s">
        <v>948</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6"/>
      <c r="B15" s="3169" t="s">
        <v>1699</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3" t="s">
        <v>1837</v>
      </c>
      <c r="B16" s="1423" t="s">
        <v>949</v>
      </c>
      <c r="C16" s="1051" t="e">
        <f>ROUND(IF(F17="与级别开发程度一致",0,(G17-E17)/C17),0)</f>
        <v>#DIV/0!</v>
      </c>
      <c r="D16" s="3441" t="s">
        <v>953</v>
      </c>
      <c r="E16" s="3442"/>
      <c r="F16" s="3441" t="s">
        <v>950</v>
      </c>
      <c r="G16" s="3442"/>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7"/>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43734</v>
      </c>
      <c r="H19" s="1463" t="s">
        <v>2996</v>
      </c>
      <c r="I19" s="2740" t="str">
        <f>IF(H19="季度增幅（自定义）",SUMIF(N21:N24,E2,O21:O24),"")</f>
        <v/>
      </c>
      <c r="J19" s="1459"/>
      <c r="K19" s="3149"/>
      <c r="L19" s="2992" t="s">
        <v>2840</v>
      </c>
      <c r="M19" s="2993">
        <f>ROUND(SUMIF(地价!B2:F2,E2,地价!B27:F27),0)</f>
        <v>0</v>
      </c>
      <c r="N19" s="2742" t="s">
        <v>1675</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3">
        <f>IF(B21="容积率修正",IF(G3&lt;=10,D22,J22),C23)</f>
        <v>0</v>
      </c>
      <c r="D21" s="1469"/>
      <c r="E21" s="1469"/>
      <c r="F21" s="1469"/>
      <c r="G21" s="1469"/>
      <c r="H21" s="1469"/>
      <c r="I21" s="1469"/>
      <c r="J21" s="1470"/>
      <c r="K21" s="3149"/>
      <c r="L21" s="1469"/>
      <c r="M21" s="1469"/>
      <c r="N21" s="1466" t="s">
        <v>974</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2"/>
      <c r="L22" s="1469"/>
      <c r="M22" s="1469"/>
      <c r="N22" s="1466" t="s">
        <v>977</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922</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3"/>
      <c r="L24" s="1469"/>
      <c r="M24" s="1469"/>
      <c r="N24" s="1466" t="s">
        <v>980</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9" t="s">
        <v>2647</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0" t="s">
        <v>2961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1"/>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1"/>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2"/>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2988</v>
      </c>
      <c r="C41" s="838" t="e">
        <f>ROUND(POWER(1+E41,H41-G41)*(POWER(1+E41,G41)-1)/(POWER(1+E41,H41)-1),4)</f>
        <v>#DIV/0!</v>
      </c>
      <c r="D41" s="377" t="s">
        <v>2986</v>
      </c>
      <c r="E41" s="3146">
        <f>G20</f>
        <v>0</v>
      </c>
      <c r="F41" s="377" t="s">
        <v>2987</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9" t="s">
        <v>2938</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8" t="s">
        <v>2937</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9" t="s">
        <v>2939</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8" t="s">
        <v>2937</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8" t="s">
        <v>2937</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8" t="s">
        <v>2937</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8" t="s">
        <v>1632</v>
      </c>
      <c r="B90" s="3428"/>
      <c r="C90" s="3428"/>
      <c r="D90" s="3428"/>
      <c r="E90" s="3428"/>
      <c r="F90" s="3428"/>
      <c r="G90" s="3428"/>
      <c r="H90" s="3428"/>
      <c r="I90" s="3428"/>
      <c r="J90" s="3428"/>
      <c r="K90" s="2414"/>
      <c r="L90" s="2414"/>
      <c r="M90" s="2414"/>
      <c r="N90" s="2414"/>
    </row>
    <row r="91" spans="1:40">
      <c r="A91" s="3429" t="s">
        <v>1442</v>
      </c>
      <c r="B91" s="3429" t="s">
        <v>1633</v>
      </c>
      <c r="C91" s="1135" t="s">
        <v>1634</v>
      </c>
      <c r="D91" s="1136"/>
      <c r="E91" s="1136"/>
      <c r="F91" s="1136"/>
      <c r="G91" s="1136"/>
      <c r="H91" s="1136"/>
      <c r="I91" s="1136"/>
      <c r="J91" s="1137"/>
      <c r="K91" s="1129"/>
      <c r="L91" s="1129"/>
      <c r="M91" s="1129"/>
      <c r="N91" s="1129"/>
    </row>
    <row r="92" spans="1:40">
      <c r="A92" s="3429"/>
      <c r="B92" s="3429"/>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6"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7"/>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6"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7"/>
      <c r="B108" s="3439"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8"/>
      <c r="B109" s="344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2" t="s">
        <v>1638</v>
      </c>
      <c r="B110" s="3422"/>
      <c r="C110" s="3422"/>
      <c r="D110" s="3422"/>
      <c r="E110" s="3422"/>
      <c r="F110" s="3422"/>
      <c r="G110" s="3422"/>
      <c r="H110" s="3422"/>
      <c r="I110" s="3422"/>
      <c r="J110" s="3422"/>
      <c r="K110" s="2412"/>
      <c r="L110" s="2412"/>
      <c r="M110" s="2412"/>
      <c r="N110" s="2412"/>
    </row>
    <row r="112" spans="1:14" ht="12.75" thickBot="1"/>
    <row r="113" spans="1:13" ht="25.5" thickBot="1">
      <c r="A113" s="1015" t="s">
        <v>895</v>
      </c>
      <c r="B113" s="2415">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2991</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29" t="s">
        <v>1006</v>
      </c>
      <c r="B18" s="1149" t="s">
        <v>1445</v>
      </c>
      <c r="C18" s="1126" t="s">
        <v>1446</v>
      </c>
      <c r="D18" s="1127"/>
      <c r="E18" s="1149">
        <v>1</v>
      </c>
      <c r="F18" s="1128" t="s">
        <v>1447</v>
      </c>
      <c r="G18" s="1129"/>
      <c r="H18" s="1100"/>
      <c r="I18" s="1100"/>
    </row>
    <row r="19" spans="1:9" s="1584" customFormat="1" ht="19.5" customHeight="1">
      <c r="A19" s="3429"/>
      <c r="B19" s="3429" t="s">
        <v>1448</v>
      </c>
      <c r="C19" s="1126" t="s">
        <v>1449</v>
      </c>
      <c r="D19" s="1127"/>
      <c r="E19" s="1149">
        <v>0.9</v>
      </c>
      <c r="F19" s="1128" t="s">
        <v>1450</v>
      </c>
      <c r="G19" s="1129"/>
      <c r="H19" s="1100"/>
      <c r="I19" s="1100"/>
    </row>
    <row r="20" spans="1:9" s="1584" customFormat="1" ht="19.5" customHeight="1">
      <c r="A20" s="3429"/>
      <c r="B20" s="3429"/>
      <c r="C20" s="1126" t="s">
        <v>1451</v>
      </c>
      <c r="D20" s="1127"/>
      <c r="E20" s="1149">
        <v>1.1000000000000001</v>
      </c>
      <c r="F20" s="1128" t="s">
        <v>1452</v>
      </c>
      <c r="G20" s="1129"/>
      <c r="H20" s="1100"/>
      <c r="I20" s="1100"/>
    </row>
    <row r="21" spans="1:9" s="1584" customFormat="1" ht="19.5" customHeight="1">
      <c r="A21" s="3429"/>
      <c r="B21" s="3429"/>
      <c r="C21" s="1126" t="s">
        <v>1453</v>
      </c>
      <c r="D21" s="1127"/>
      <c r="E21" s="1149">
        <v>0.8</v>
      </c>
      <c r="F21" s="1128" t="s">
        <v>1454</v>
      </c>
      <c r="G21" s="1129"/>
      <c r="H21" s="1100"/>
      <c r="I21" s="1100"/>
    </row>
    <row r="22" spans="1:9" s="1584" customFormat="1" ht="19.5" customHeight="1">
      <c r="A22" s="3429"/>
      <c r="B22" s="3429"/>
      <c r="C22" s="1126" t="s">
        <v>1455</v>
      </c>
      <c r="D22" s="1127"/>
      <c r="E22" s="1149">
        <v>0.5</v>
      </c>
      <c r="F22" s="1128"/>
      <c r="G22" s="1129"/>
      <c r="H22" s="1100"/>
      <c r="I22" s="1100"/>
    </row>
    <row r="23" spans="1:9" s="1584" customFormat="1" ht="19.5" customHeight="1">
      <c r="A23" s="3429" t="s">
        <v>1028</v>
      </c>
      <c r="B23" s="1149" t="s">
        <v>1445</v>
      </c>
      <c r="C23" s="1126" t="s">
        <v>1456</v>
      </c>
      <c r="D23" s="1127"/>
      <c r="E23" s="1149">
        <v>1</v>
      </c>
      <c r="F23" s="1128" t="s">
        <v>1457</v>
      </c>
      <c r="G23" s="1129"/>
      <c r="H23" s="1100"/>
      <c r="I23" s="1100"/>
    </row>
    <row r="24" spans="1:9" s="1584" customFormat="1" ht="19.5" customHeight="1">
      <c r="A24" s="3429"/>
      <c r="B24" s="3429" t="s">
        <v>1448</v>
      </c>
      <c r="C24" s="1126" t="s">
        <v>1458</v>
      </c>
      <c r="D24" s="1127"/>
      <c r="E24" s="1149">
        <v>0.5</v>
      </c>
      <c r="F24" s="1128"/>
      <c r="G24" s="1129"/>
      <c r="H24" s="1100"/>
      <c r="I24" s="1100"/>
    </row>
    <row r="25" spans="1:9" s="1584" customFormat="1" ht="19.5" customHeight="1">
      <c r="A25" s="3429"/>
      <c r="B25" s="3429"/>
      <c r="C25" s="1126" t="s">
        <v>1459</v>
      </c>
      <c r="D25" s="1127"/>
      <c r="E25" s="1149">
        <v>1.1000000000000001</v>
      </c>
      <c r="F25" s="1128"/>
      <c r="G25" s="1129"/>
      <c r="H25" s="1100"/>
      <c r="I25" s="1100"/>
    </row>
    <row r="26" spans="1:9" s="1584" customFormat="1" ht="19.5" customHeight="1">
      <c r="A26" s="3429"/>
      <c r="B26" s="3429"/>
      <c r="C26" s="1126" t="s">
        <v>1460</v>
      </c>
      <c r="D26" s="1127"/>
      <c r="E26" s="1149">
        <v>1.1000000000000001</v>
      </c>
      <c r="F26" s="1128"/>
      <c r="G26" s="1129"/>
      <c r="H26" s="1100"/>
      <c r="I26" s="1100"/>
    </row>
    <row r="27" spans="1:9" s="1584" customFormat="1" ht="19.5" customHeight="1">
      <c r="A27" s="3429"/>
      <c r="B27" s="3429"/>
      <c r="C27" s="1126" t="s">
        <v>1461</v>
      </c>
      <c r="D27" s="1127"/>
      <c r="E27" s="1149">
        <v>0.9</v>
      </c>
      <c r="F27" s="1128" t="s">
        <v>1462</v>
      </c>
      <c r="G27" s="1129"/>
      <c r="H27" s="1100"/>
      <c r="I27" s="1100"/>
    </row>
    <row r="28" spans="1:9" s="1584" customFormat="1" ht="19.5" customHeight="1">
      <c r="A28" s="3429"/>
      <c r="B28" s="3429"/>
      <c r="C28" s="1126" t="s">
        <v>1463</v>
      </c>
      <c r="D28" s="1127"/>
      <c r="E28" s="1149">
        <v>0.9</v>
      </c>
      <c r="F28" s="1128" t="s">
        <v>1464</v>
      </c>
      <c r="G28" s="1129"/>
      <c r="H28" s="1100"/>
      <c r="I28" s="1100"/>
    </row>
    <row r="29" spans="1:9" s="1584" customFormat="1" ht="19.5" customHeight="1">
      <c r="A29" s="3429"/>
      <c r="B29" s="3429"/>
      <c r="C29" s="1126" t="s">
        <v>1465</v>
      </c>
      <c r="D29" s="1127"/>
      <c r="E29" s="1149">
        <v>0.9</v>
      </c>
      <c r="F29" s="1128" t="s">
        <v>1466</v>
      </c>
      <c r="G29" s="1129"/>
      <c r="H29" s="1100"/>
      <c r="I29" s="1100"/>
    </row>
    <row r="30" spans="1:9" s="1584" customFormat="1" ht="19.5" customHeight="1">
      <c r="A30" s="3429"/>
      <c r="B30" s="3429"/>
      <c r="C30" s="1126" t="s">
        <v>1467</v>
      </c>
      <c r="D30" s="1127"/>
      <c r="E30" s="1149">
        <v>0.9</v>
      </c>
      <c r="F30" s="1128" t="s">
        <v>1468</v>
      </c>
      <c r="G30" s="1129"/>
      <c r="H30" s="1100"/>
      <c r="I30" s="1100"/>
    </row>
    <row r="31" spans="1:9" s="1584" customFormat="1" ht="19.5" customHeight="1">
      <c r="A31" s="3429"/>
      <c r="B31" s="3429"/>
      <c r="C31" s="1126" t="s">
        <v>1469</v>
      </c>
      <c r="D31" s="1127"/>
      <c r="E31" s="1149">
        <v>0.8</v>
      </c>
      <c r="F31" s="1128" t="s">
        <v>1470</v>
      </c>
      <c r="G31" s="1129"/>
      <c r="H31" s="1100"/>
      <c r="I31" s="1100"/>
    </row>
    <row r="32" spans="1:9" s="1584" customFormat="1" ht="19.5" customHeight="1">
      <c r="A32" s="3429"/>
      <c r="B32" s="3429"/>
      <c r="C32" s="1126" t="s">
        <v>1471</v>
      </c>
      <c r="D32" s="1127"/>
      <c r="E32" s="1149">
        <v>0.8</v>
      </c>
      <c r="F32" s="1128" t="s">
        <v>1472</v>
      </c>
      <c r="G32" s="1129"/>
      <c r="H32" s="1100"/>
      <c r="I32" s="1100"/>
    </row>
    <row r="33" spans="1:9" s="1584" customFormat="1" ht="19.5" customHeight="1">
      <c r="A33" s="3429" t="s">
        <v>1473</v>
      </c>
      <c r="B33" s="1149" t="s">
        <v>1445</v>
      </c>
      <c r="C33" s="1126" t="s">
        <v>1474</v>
      </c>
      <c r="D33" s="1127"/>
      <c r="E33" s="1149">
        <v>1</v>
      </c>
      <c r="F33" s="1128" t="s">
        <v>1475</v>
      </c>
      <c r="G33" s="1129"/>
      <c r="H33" s="1100"/>
      <c r="I33" s="1100"/>
    </row>
    <row r="34" spans="1:9" s="1584" customFormat="1" ht="19.5" customHeight="1">
      <c r="A34" s="3429"/>
      <c r="B34" s="1149" t="s">
        <v>1448</v>
      </c>
      <c r="C34" s="1126" t="s">
        <v>1476</v>
      </c>
      <c r="D34" s="1127"/>
      <c r="E34" s="1149">
        <v>1.5</v>
      </c>
      <c r="F34" s="1128" t="s">
        <v>1477</v>
      </c>
      <c r="G34" s="1129"/>
      <c r="H34" s="1100"/>
      <c r="I34" s="1100"/>
    </row>
    <row r="35" spans="1:9" s="1584" customFormat="1" ht="19.5" customHeight="1">
      <c r="A35" s="3429" t="s">
        <v>1431</v>
      </c>
      <c r="B35" s="1149" t="s">
        <v>1445</v>
      </c>
      <c r="C35" s="1126" t="s">
        <v>1478</v>
      </c>
      <c r="D35" s="1127"/>
      <c r="E35" s="1149">
        <v>1</v>
      </c>
      <c r="F35" s="1128" t="s">
        <v>1479</v>
      </c>
      <c r="G35" s="1129"/>
      <c r="H35" s="1100"/>
      <c r="I35" s="1100"/>
    </row>
    <row r="36" spans="1:9" s="1584" customFormat="1" ht="19.5" customHeight="1">
      <c r="A36" s="3429"/>
      <c r="B36" s="3429" t="s">
        <v>1448</v>
      </c>
      <c r="C36" s="1126" t="s">
        <v>1480</v>
      </c>
      <c r="D36" s="1127"/>
      <c r="E36" s="1149">
        <v>1</v>
      </c>
      <c r="F36" s="1128" t="s">
        <v>1481</v>
      </c>
      <c r="G36" s="1129"/>
      <c r="H36" s="1100"/>
      <c r="I36" s="1100"/>
    </row>
    <row r="37" spans="1:9" s="1584" customFormat="1" ht="19.5" customHeight="1">
      <c r="A37" s="3429"/>
      <c r="B37" s="3429"/>
      <c r="C37" s="1126" t="s">
        <v>1482</v>
      </c>
      <c r="D37" s="1127"/>
      <c r="E37" s="1149">
        <v>1.5</v>
      </c>
      <c r="F37" s="1128" t="s">
        <v>1483</v>
      </c>
      <c r="G37" s="1129"/>
      <c r="H37" s="1100"/>
      <c r="I37" s="1100"/>
    </row>
    <row r="38" spans="1:9" s="1584" customFormat="1" ht="19.5" customHeight="1">
      <c r="A38" s="3429"/>
      <c r="B38" s="3429"/>
      <c r="C38" s="1126" t="s">
        <v>1484</v>
      </c>
      <c r="D38" s="1127"/>
      <c r="E38" s="1149">
        <v>1</v>
      </c>
      <c r="F38" s="1128" t="s">
        <v>1485</v>
      </c>
      <c r="G38" s="1129"/>
      <c r="H38" s="1100"/>
      <c r="I38" s="1100"/>
    </row>
    <row r="39" spans="1:9" s="1584" customFormat="1" ht="19.5" customHeight="1">
      <c r="A39" s="3429"/>
      <c r="B39" s="3429"/>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29" t="s">
        <v>1500</v>
      </c>
      <c r="C61" s="1063" t="s">
        <v>1501</v>
      </c>
      <c r="D61" s="1063" t="s">
        <v>1502</v>
      </c>
      <c r="E61" s="1134">
        <v>0.5</v>
      </c>
      <c r="F61" s="1149">
        <v>80</v>
      </c>
      <c r="H61" s="1100">
        <f>SUMIF(C59:C119,基准地价!C8,E59:E119)</f>
        <v>0</v>
      </c>
    </row>
    <row r="62" spans="1:8" s="1100" customFormat="1" ht="24">
      <c r="A62" s="1149">
        <v>2</v>
      </c>
      <c r="B62" s="3429"/>
      <c r="C62" s="1063" t="s">
        <v>1503</v>
      </c>
      <c r="D62" s="1063" t="s">
        <v>1504</v>
      </c>
      <c r="E62" s="1134">
        <v>0.5</v>
      </c>
      <c r="F62" s="1149">
        <v>80</v>
      </c>
    </row>
    <row r="63" spans="1:8" s="1100" customFormat="1" ht="36">
      <c r="A63" s="1149">
        <v>3</v>
      </c>
      <c r="B63" s="3429"/>
      <c r="C63" s="1063" t="s">
        <v>1505</v>
      </c>
      <c r="D63" s="1063" t="s">
        <v>1506</v>
      </c>
      <c r="E63" s="1134">
        <v>0.5</v>
      </c>
      <c r="F63" s="1149">
        <v>80</v>
      </c>
    </row>
    <row r="64" spans="1:8" s="1100" customFormat="1" ht="36">
      <c r="A64" s="1149">
        <v>4</v>
      </c>
      <c r="B64" s="3429"/>
      <c r="C64" s="1063" t="s">
        <v>1507</v>
      </c>
      <c r="D64" s="1063" t="s">
        <v>1508</v>
      </c>
      <c r="E64" s="1134">
        <v>0.4</v>
      </c>
      <c r="F64" s="1149">
        <v>60</v>
      </c>
    </row>
    <row r="65" spans="1:6" s="1100" customFormat="1" ht="36">
      <c r="A65" s="1149">
        <v>5</v>
      </c>
      <c r="B65" s="3429"/>
      <c r="C65" s="1063" t="s">
        <v>1509</v>
      </c>
      <c r="D65" s="1063" t="s">
        <v>1510</v>
      </c>
      <c r="E65" s="1134">
        <v>0.2</v>
      </c>
      <c r="F65" s="1149">
        <v>30</v>
      </c>
    </row>
    <row r="66" spans="1:6" s="1100" customFormat="1" ht="36">
      <c r="A66" s="1149">
        <v>6</v>
      </c>
      <c r="B66" s="3429"/>
      <c r="C66" s="1063" t="s">
        <v>1511</v>
      </c>
      <c r="D66" s="1063" t="s">
        <v>1512</v>
      </c>
      <c r="E66" s="1134">
        <v>0.3</v>
      </c>
      <c r="F66" s="1149">
        <v>50</v>
      </c>
    </row>
    <row r="67" spans="1:6" s="1100" customFormat="1" ht="36">
      <c r="A67" s="1149">
        <v>7</v>
      </c>
      <c r="B67" s="3429"/>
      <c r="C67" s="1063" t="s">
        <v>1513</v>
      </c>
      <c r="D67" s="1063" t="s">
        <v>1514</v>
      </c>
      <c r="E67" s="1134">
        <v>0.2</v>
      </c>
      <c r="F67" s="1149">
        <v>30</v>
      </c>
    </row>
    <row r="68" spans="1:6" s="1100" customFormat="1" ht="36">
      <c r="A68" s="1149">
        <v>8</v>
      </c>
      <c r="B68" s="3429"/>
      <c r="C68" s="1063" t="s">
        <v>1515</v>
      </c>
      <c r="D68" s="1063" t="s">
        <v>1516</v>
      </c>
      <c r="E68" s="1134">
        <v>0.2</v>
      </c>
      <c r="F68" s="1149">
        <v>30</v>
      </c>
    </row>
    <row r="69" spans="1:6" s="1100" customFormat="1" ht="36">
      <c r="A69" s="1149">
        <v>9</v>
      </c>
      <c r="B69" s="3429"/>
      <c r="C69" s="1063" t="s">
        <v>1517</v>
      </c>
      <c r="D69" s="1063" t="s">
        <v>1518</v>
      </c>
      <c r="E69" s="1134">
        <v>0.2</v>
      </c>
      <c r="F69" s="1149">
        <v>30</v>
      </c>
    </row>
    <row r="70" spans="1:6" s="1100" customFormat="1" ht="48">
      <c r="A70" s="1149">
        <v>10</v>
      </c>
      <c r="B70" s="3429"/>
      <c r="C70" s="1063" t="s">
        <v>1519</v>
      </c>
      <c r="D70" s="1063" t="s">
        <v>1520</v>
      </c>
      <c r="E70" s="1134">
        <v>0.2</v>
      </c>
      <c r="F70" s="1149">
        <v>30</v>
      </c>
    </row>
    <row r="71" spans="1:6" s="1100" customFormat="1" ht="48">
      <c r="A71" s="1149">
        <v>11</v>
      </c>
      <c r="B71" s="3429"/>
      <c r="C71" s="1063" t="s">
        <v>1521</v>
      </c>
      <c r="D71" s="1063" t="s">
        <v>1522</v>
      </c>
      <c r="E71" s="1134">
        <v>0.2</v>
      </c>
      <c r="F71" s="1149">
        <v>30</v>
      </c>
    </row>
    <row r="72" spans="1:6" s="1100" customFormat="1" ht="36">
      <c r="A72" s="1149">
        <v>12</v>
      </c>
      <c r="B72" s="3429"/>
      <c r="C72" s="1063" t="s">
        <v>1523</v>
      </c>
      <c r="D72" s="1063" t="s">
        <v>1524</v>
      </c>
      <c r="E72" s="1134">
        <v>0.5</v>
      </c>
      <c r="F72" s="1149">
        <v>80</v>
      </c>
    </row>
    <row r="73" spans="1:6" s="1100" customFormat="1" ht="24">
      <c r="A73" s="1149">
        <v>13</v>
      </c>
      <c r="B73" s="3429"/>
      <c r="C73" s="1063" t="s">
        <v>1525</v>
      </c>
      <c r="D73" s="1063" t="s">
        <v>1526</v>
      </c>
      <c r="E73" s="1134">
        <v>0.4</v>
      </c>
      <c r="F73" s="1149">
        <v>60</v>
      </c>
    </row>
    <row r="74" spans="1:6" s="1100" customFormat="1" ht="24">
      <c r="A74" s="1149">
        <v>14</v>
      </c>
      <c r="B74" s="3429"/>
      <c r="C74" s="1063" t="s">
        <v>1527</v>
      </c>
      <c r="D74" s="1063" t="s">
        <v>1528</v>
      </c>
      <c r="E74" s="1134">
        <v>0.2</v>
      </c>
      <c r="F74" s="1149">
        <v>30</v>
      </c>
    </row>
    <row r="75" spans="1:6" s="1100" customFormat="1" ht="24">
      <c r="A75" s="1149">
        <v>15</v>
      </c>
      <c r="B75" s="3429"/>
      <c r="C75" s="1063" t="s">
        <v>1529</v>
      </c>
      <c r="D75" s="1063" t="s">
        <v>1530</v>
      </c>
      <c r="E75" s="1134">
        <v>0.2</v>
      </c>
      <c r="F75" s="1149">
        <v>30</v>
      </c>
    </row>
    <row r="76" spans="1:6" s="1100" customFormat="1" ht="24">
      <c r="A76" s="1149">
        <v>16</v>
      </c>
      <c r="B76" s="3429" t="s">
        <v>1531</v>
      </c>
      <c r="C76" s="1063" t="s">
        <v>1532</v>
      </c>
      <c r="D76" s="1063" t="s">
        <v>1533</v>
      </c>
      <c r="E76" s="1134">
        <v>0.5</v>
      </c>
      <c r="F76" s="1149">
        <v>80</v>
      </c>
    </row>
    <row r="77" spans="1:6" s="1100" customFormat="1" ht="24">
      <c r="A77" s="1149">
        <v>17</v>
      </c>
      <c r="B77" s="3429"/>
      <c r="C77" s="1063" t="s">
        <v>1534</v>
      </c>
      <c r="D77" s="1063" t="s">
        <v>1535</v>
      </c>
      <c r="E77" s="1134">
        <v>0.5</v>
      </c>
      <c r="F77" s="1149">
        <v>80</v>
      </c>
    </row>
    <row r="78" spans="1:6" s="1100" customFormat="1" ht="24">
      <c r="A78" s="1149">
        <v>18</v>
      </c>
      <c r="B78" s="3429"/>
      <c r="C78" s="1063" t="s">
        <v>1536</v>
      </c>
      <c r="D78" s="1063" t="s">
        <v>1537</v>
      </c>
      <c r="E78" s="1134">
        <v>0.2</v>
      </c>
      <c r="F78" s="1149">
        <v>30</v>
      </c>
    </row>
    <row r="79" spans="1:6" s="1100" customFormat="1" ht="24">
      <c r="A79" s="1149">
        <v>19</v>
      </c>
      <c r="B79" s="3429"/>
      <c r="C79" s="1063" t="s">
        <v>1538</v>
      </c>
      <c r="D79" s="1063" t="s">
        <v>1539</v>
      </c>
      <c r="E79" s="1134">
        <v>0.5</v>
      </c>
      <c r="F79" s="1149">
        <v>80</v>
      </c>
    </row>
    <row r="80" spans="1:6" s="1100" customFormat="1" ht="36">
      <c r="A80" s="1149">
        <v>20</v>
      </c>
      <c r="B80" s="3429"/>
      <c r="C80" s="1063" t="s">
        <v>1540</v>
      </c>
      <c r="D80" s="1063" t="s">
        <v>1541</v>
      </c>
      <c r="E80" s="1134">
        <v>0.2</v>
      </c>
      <c r="F80" s="1149">
        <v>30</v>
      </c>
    </row>
    <row r="81" spans="1:6" s="1100" customFormat="1" ht="36">
      <c r="A81" s="1149">
        <v>21</v>
      </c>
      <c r="B81" s="3429"/>
      <c r="C81" s="1063" t="s">
        <v>1542</v>
      </c>
      <c r="D81" s="1063" t="s">
        <v>1543</v>
      </c>
      <c r="E81" s="1134">
        <v>0.2</v>
      </c>
      <c r="F81" s="1149">
        <v>30</v>
      </c>
    </row>
    <row r="82" spans="1:6" s="1100" customFormat="1" ht="48">
      <c r="A82" s="1149">
        <v>22</v>
      </c>
      <c r="B82" s="3429"/>
      <c r="C82" s="1063" t="s">
        <v>1544</v>
      </c>
      <c r="D82" s="1063" t="s">
        <v>1545</v>
      </c>
      <c r="E82" s="1134">
        <v>0.2</v>
      </c>
      <c r="F82" s="1149">
        <v>30</v>
      </c>
    </row>
    <row r="83" spans="1:6" s="1100" customFormat="1" ht="48">
      <c r="A83" s="1149">
        <v>23</v>
      </c>
      <c r="B83" s="3429"/>
      <c r="C83" s="1063" t="s">
        <v>1546</v>
      </c>
      <c r="D83" s="1063" t="s">
        <v>1547</v>
      </c>
      <c r="E83" s="1134">
        <v>0.2</v>
      </c>
      <c r="F83" s="1149">
        <v>30</v>
      </c>
    </row>
    <row r="84" spans="1:6" s="1100" customFormat="1" ht="36">
      <c r="A84" s="1149">
        <v>24</v>
      </c>
      <c r="B84" s="3429"/>
      <c r="C84" s="1063" t="s">
        <v>1548</v>
      </c>
      <c r="D84" s="1063" t="s">
        <v>1549</v>
      </c>
      <c r="E84" s="1134">
        <v>0.2</v>
      </c>
      <c r="F84" s="1149">
        <v>30</v>
      </c>
    </row>
    <row r="85" spans="1:6" s="1100" customFormat="1" ht="36">
      <c r="A85" s="1149">
        <v>25</v>
      </c>
      <c r="B85" s="3429"/>
      <c r="C85" s="1063" t="s">
        <v>1550</v>
      </c>
      <c r="D85" s="1063" t="s">
        <v>1551</v>
      </c>
      <c r="E85" s="1134">
        <v>0.5</v>
      </c>
      <c r="F85" s="1149">
        <v>80</v>
      </c>
    </row>
    <row r="86" spans="1:6" s="1100" customFormat="1" ht="36">
      <c r="A86" s="1149">
        <v>26</v>
      </c>
      <c r="B86" s="3429"/>
      <c r="C86" s="1063" t="s">
        <v>1552</v>
      </c>
      <c r="D86" s="1063" t="s">
        <v>1553</v>
      </c>
      <c r="E86" s="1134">
        <v>0.2</v>
      </c>
      <c r="F86" s="1149">
        <v>30</v>
      </c>
    </row>
    <row r="87" spans="1:6" s="1100" customFormat="1" ht="36">
      <c r="A87" s="1149">
        <v>27</v>
      </c>
      <c r="B87" s="3429"/>
      <c r="C87" s="1063" t="s">
        <v>1554</v>
      </c>
      <c r="D87" s="1063" t="s">
        <v>1555</v>
      </c>
      <c r="E87" s="1134">
        <v>0.2</v>
      </c>
      <c r="F87" s="1149">
        <v>30</v>
      </c>
    </row>
    <row r="88" spans="1:6" s="1100" customFormat="1" ht="36">
      <c r="A88" s="1149">
        <v>28</v>
      </c>
      <c r="B88" s="3429"/>
      <c r="C88" s="1063" t="s">
        <v>1556</v>
      </c>
      <c r="D88" s="1063" t="s">
        <v>1557</v>
      </c>
      <c r="E88" s="1134">
        <v>0.2</v>
      </c>
      <c r="F88" s="1149">
        <v>30</v>
      </c>
    </row>
    <row r="89" spans="1:6" s="1100" customFormat="1" ht="24">
      <c r="A89" s="1149">
        <v>29</v>
      </c>
      <c r="B89" s="3429"/>
      <c r="C89" s="1063" t="s">
        <v>1558</v>
      </c>
      <c r="D89" s="1063" t="s">
        <v>1559</v>
      </c>
      <c r="E89" s="1134">
        <v>0.2</v>
      </c>
      <c r="F89" s="1149">
        <v>30</v>
      </c>
    </row>
    <row r="90" spans="1:6" s="1100" customFormat="1" ht="24">
      <c r="A90" s="1149">
        <v>30</v>
      </c>
      <c r="B90" s="3429"/>
      <c r="C90" s="1063" t="s">
        <v>1560</v>
      </c>
      <c r="D90" s="1063" t="s">
        <v>1561</v>
      </c>
      <c r="E90" s="1134">
        <v>0.2</v>
      </c>
      <c r="F90" s="1149">
        <v>30</v>
      </c>
    </row>
    <row r="91" spans="1:6" s="1100" customFormat="1" ht="36">
      <c r="A91" s="1149">
        <v>31</v>
      </c>
      <c r="B91" s="3429"/>
      <c r="C91" s="1063" t="s">
        <v>1562</v>
      </c>
      <c r="D91" s="1063" t="s">
        <v>1563</v>
      </c>
      <c r="E91" s="1134">
        <v>0.2</v>
      </c>
      <c r="F91" s="1149">
        <v>30</v>
      </c>
    </row>
    <row r="92" spans="1:6" s="1100" customFormat="1" ht="24">
      <c r="A92" s="1149">
        <v>32</v>
      </c>
      <c r="B92" s="3429" t="s">
        <v>1564</v>
      </c>
      <c r="C92" s="1149" t="s">
        <v>1565</v>
      </c>
      <c r="D92" s="1063" t="s">
        <v>1566</v>
      </c>
      <c r="E92" s="1134">
        <v>0.2</v>
      </c>
      <c r="F92" s="1149">
        <v>30</v>
      </c>
    </row>
    <row r="93" spans="1:6" s="1100" customFormat="1" ht="36">
      <c r="A93" s="1149">
        <v>33</v>
      </c>
      <c r="B93" s="3429"/>
      <c r="C93" s="1149" t="s">
        <v>1567</v>
      </c>
      <c r="D93" s="1063" t="s">
        <v>1568</v>
      </c>
      <c r="E93" s="1134">
        <v>0.2</v>
      </c>
      <c r="F93" s="1149">
        <v>30</v>
      </c>
    </row>
    <row r="94" spans="1:6" s="1100" customFormat="1" ht="48">
      <c r="A94" s="1149">
        <v>34</v>
      </c>
      <c r="B94" s="3429"/>
      <c r="C94" s="1149" t="s">
        <v>1569</v>
      </c>
      <c r="D94" s="1063" t="s">
        <v>1570</v>
      </c>
      <c r="E94" s="1134">
        <v>0.2</v>
      </c>
      <c r="F94" s="1149">
        <v>30</v>
      </c>
    </row>
    <row r="95" spans="1:6" s="1100" customFormat="1" ht="36">
      <c r="A95" s="1149">
        <v>35</v>
      </c>
      <c r="B95" s="3429"/>
      <c r="C95" s="1149" t="s">
        <v>1571</v>
      </c>
      <c r="D95" s="1063" t="s">
        <v>1572</v>
      </c>
      <c r="E95" s="1134">
        <v>0.2</v>
      </c>
      <c r="F95" s="1149">
        <v>30</v>
      </c>
    </row>
    <row r="96" spans="1:6" s="1100" customFormat="1" ht="48">
      <c r="A96" s="1149">
        <v>36</v>
      </c>
      <c r="B96" s="3429"/>
      <c r="C96" s="1063" t="s">
        <v>1573</v>
      </c>
      <c r="D96" s="1063" t="s">
        <v>1574</v>
      </c>
      <c r="E96" s="1134">
        <v>0.2</v>
      </c>
      <c r="F96" s="1149">
        <v>30</v>
      </c>
    </row>
    <row r="97" spans="1:6" s="1100" customFormat="1" ht="36">
      <c r="A97" s="1149">
        <v>37</v>
      </c>
      <c r="B97" s="3429"/>
      <c r="C97" s="1149" t="s">
        <v>1575</v>
      </c>
      <c r="D97" s="1063" t="s">
        <v>1576</v>
      </c>
      <c r="E97" s="1134">
        <v>0.2</v>
      </c>
      <c r="F97" s="1149">
        <v>30</v>
      </c>
    </row>
    <row r="98" spans="1:6" s="1100" customFormat="1" ht="36">
      <c r="A98" s="1149">
        <v>38</v>
      </c>
      <c r="B98" s="3429"/>
      <c r="C98" s="1149" t="s">
        <v>1577</v>
      </c>
      <c r="D98" s="1063" t="s">
        <v>1578</v>
      </c>
      <c r="E98" s="1134">
        <v>0.2</v>
      </c>
      <c r="F98" s="1149">
        <v>30</v>
      </c>
    </row>
    <row r="99" spans="1:6" s="1100" customFormat="1" ht="36">
      <c r="A99" s="1149">
        <v>39</v>
      </c>
      <c r="B99" s="3429" t="s">
        <v>1579</v>
      </c>
      <c r="C99" s="1149" t="s">
        <v>1580</v>
      </c>
      <c r="D99" s="1063" t="s">
        <v>1581</v>
      </c>
      <c r="E99" s="1134">
        <v>0.3</v>
      </c>
      <c r="F99" s="1149">
        <v>50</v>
      </c>
    </row>
    <row r="100" spans="1:6" s="1100" customFormat="1" ht="24">
      <c r="A100" s="1149">
        <v>40</v>
      </c>
      <c r="B100" s="3429"/>
      <c r="C100" s="1149" t="s">
        <v>1582</v>
      </c>
      <c r="D100" s="1063" t="s">
        <v>1583</v>
      </c>
      <c r="E100" s="1134">
        <v>0.2</v>
      </c>
      <c r="F100" s="1149">
        <v>30</v>
      </c>
    </row>
    <row r="101" spans="1:6" s="1100" customFormat="1" ht="36">
      <c r="A101" s="1149">
        <v>41</v>
      </c>
      <c r="B101" s="3429"/>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29" t="s">
        <v>1594</v>
      </c>
      <c r="C105" s="1149" t="s">
        <v>1595</v>
      </c>
      <c r="D105" s="1063" t="s">
        <v>1596</v>
      </c>
      <c r="E105" s="1134">
        <v>0.2</v>
      </c>
      <c r="F105" s="1149">
        <v>30</v>
      </c>
    </row>
    <row r="106" spans="1:6" s="1100" customFormat="1" ht="36">
      <c r="A106" s="1149">
        <v>46</v>
      </c>
      <c r="B106" s="3429"/>
      <c r="C106" s="1149" t="s">
        <v>1597</v>
      </c>
      <c r="D106" s="1063" t="s">
        <v>1598</v>
      </c>
      <c r="E106" s="1134">
        <v>0.2</v>
      </c>
      <c r="F106" s="1149">
        <v>30</v>
      </c>
    </row>
    <row r="107" spans="1:6" s="1100" customFormat="1" ht="36">
      <c r="A107" s="1149">
        <v>47</v>
      </c>
      <c r="B107" s="3429" t="s">
        <v>1599</v>
      </c>
      <c r="C107" s="1149" t="s">
        <v>1600</v>
      </c>
      <c r="D107" s="1063" t="s">
        <v>1601</v>
      </c>
      <c r="E107" s="1134">
        <v>0.3</v>
      </c>
      <c r="F107" s="1149">
        <v>50</v>
      </c>
    </row>
    <row r="108" spans="1:6" s="1100" customFormat="1" ht="36">
      <c r="A108" s="1149">
        <v>48</v>
      </c>
      <c r="B108" s="342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29" t="s">
        <v>1610</v>
      </c>
      <c r="C111" s="1149" t="s">
        <v>1611</v>
      </c>
      <c r="D111" s="1063" t="s">
        <v>1612</v>
      </c>
      <c r="E111" s="1134">
        <v>0.2</v>
      </c>
      <c r="F111" s="1149">
        <v>30</v>
      </c>
    </row>
    <row r="112" spans="1:6" s="1100" customFormat="1" ht="24">
      <c r="A112" s="1149">
        <v>52</v>
      </c>
      <c r="B112" s="3429"/>
      <c r="C112" s="1149" t="s">
        <v>1613</v>
      </c>
      <c r="D112" s="1063" t="s">
        <v>1614</v>
      </c>
      <c r="E112" s="1134">
        <v>0.2</v>
      </c>
      <c r="F112" s="1149">
        <v>30</v>
      </c>
    </row>
    <row r="113" spans="1:14" s="1100" customFormat="1" ht="24">
      <c r="A113" s="1149">
        <v>53</v>
      </c>
      <c r="B113" s="3429"/>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29" t="s">
        <v>1623</v>
      </c>
      <c r="C116" s="1149" t="s">
        <v>1624</v>
      </c>
      <c r="D116" s="1063" t="s">
        <v>1625</v>
      </c>
      <c r="E116" s="1134">
        <v>0.2</v>
      </c>
      <c r="F116" s="1149">
        <v>30</v>
      </c>
    </row>
    <row r="117" spans="1:14" ht="36">
      <c r="A117" s="1149">
        <v>57</v>
      </c>
      <c r="B117" s="342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28" t="s">
        <v>1632</v>
      </c>
      <c r="B121" s="3428"/>
      <c r="C121" s="3428"/>
      <c r="D121" s="3428"/>
      <c r="E121" s="3428"/>
      <c r="F121" s="3428"/>
      <c r="G121" s="3428"/>
      <c r="H121" s="3428"/>
      <c r="I121" s="3428"/>
      <c r="J121" s="342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3" t="s">
        <v>1038</v>
      </c>
      <c r="B1" s="3443"/>
      <c r="C1" s="3443"/>
      <c r="D1" s="3443"/>
      <c r="E1" s="3443"/>
      <c r="F1" s="344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44" t="s">
        <v>1051</v>
      </c>
      <c r="B2" s="3444"/>
      <c r="C2" s="3444"/>
      <c r="D2" s="3444"/>
      <c r="E2" s="3444"/>
      <c r="F2" s="344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7" t="s">
        <v>2078</v>
      </c>
      <c r="B1" s="3447"/>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0" t="s">
        <v>2575</v>
      </c>
      <c r="C1" s="3450"/>
      <c r="D1" s="3450"/>
      <c r="E1" s="3450"/>
      <c r="F1" s="3450"/>
      <c r="G1" s="3449" t="s">
        <v>2576</v>
      </c>
      <c r="H1" s="3449"/>
      <c r="I1" s="3449"/>
      <c r="J1" s="3449"/>
      <c r="K1" s="3449"/>
      <c r="L1" s="3449"/>
      <c r="N1" s="3449" t="s">
        <v>2577</v>
      </c>
      <c r="O1" s="3449"/>
      <c r="P1" s="3449"/>
      <c r="Q1" s="3449"/>
      <c r="R1" s="2618"/>
      <c r="S1" s="3449" t="s">
        <v>2578</v>
      </c>
      <c r="T1" s="3449"/>
      <c r="U1" s="3449"/>
      <c r="V1" s="3449"/>
      <c r="X1" s="3448" t="s">
        <v>2638</v>
      </c>
      <c r="Y1" s="3449"/>
      <c r="Z1" s="3449"/>
      <c r="AA1" s="3449"/>
      <c r="AB1" s="3449"/>
      <c r="AD1" s="3448" t="s">
        <v>2642</v>
      </c>
      <c r="AE1" s="3449"/>
      <c r="AF1" s="3449"/>
      <c r="AG1" s="3449"/>
      <c r="AH1" s="3449"/>
    </row>
    <row r="2" spans="1:34" s="2719" customFormat="1" ht="14.25" thickBot="1">
      <c r="B2" s="2727" t="s">
        <v>2579</v>
      </c>
      <c r="C2" s="2727" t="s">
        <v>2640</v>
      </c>
      <c r="D2" s="2720" t="s">
        <v>1643</v>
      </c>
      <c r="E2" s="2720" t="s">
        <v>1948</v>
      </c>
      <c r="F2" s="2727" t="s">
        <v>2641</v>
      </c>
      <c r="G2" s="2723"/>
      <c r="H2" s="2722"/>
      <c r="I2" s="2727" t="s">
        <v>2956</v>
      </c>
      <c r="J2" s="2720" t="s">
        <v>2958</v>
      </c>
      <c r="K2" s="2720" t="s">
        <v>2959</v>
      </c>
      <c r="L2" s="2727" t="s">
        <v>2960</v>
      </c>
      <c r="N2" s="2727" t="s">
        <v>2579</v>
      </c>
      <c r="O2" s="2720" t="s">
        <v>2957</v>
      </c>
      <c r="P2" s="2720" t="s">
        <v>1948</v>
      </c>
      <c r="Q2" s="2727" t="s">
        <v>2641</v>
      </c>
      <c r="R2" s="2721"/>
      <c r="S2" s="2727" t="s">
        <v>2579</v>
      </c>
      <c r="T2" s="2720" t="s">
        <v>2957</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25">
      <c r="A3" s="3095" t="s">
        <v>2969</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2995</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2970</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2994</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2992</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2989</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52">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2979</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52"/>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2980</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52"/>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2976</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8"/>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2967</v>
      </c>
      <c r="B12" s="3097">
        <v>439</v>
      </c>
      <c r="C12" s="3097">
        <v>327</v>
      </c>
      <c r="D12" s="3097">
        <f t="shared" si="65"/>
        <v>327</v>
      </c>
      <c r="E12" s="3097">
        <v>627</v>
      </c>
      <c r="F12" s="3098">
        <v>283</v>
      </c>
      <c r="G12" s="3457">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2971</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52"/>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52"/>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58"/>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57">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52"/>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52"/>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53"/>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51">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52"/>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52"/>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53"/>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51">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52"/>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52"/>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53"/>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2582</v>
      </c>
      <c r="B28" s="2624">
        <v>299</v>
      </c>
      <c r="C28" s="2624">
        <v>252</v>
      </c>
      <c r="D28" s="2624">
        <f t="shared" si="87"/>
        <v>252</v>
      </c>
      <c r="E28" s="2624">
        <v>409</v>
      </c>
      <c r="F28" s="2625">
        <v>227</v>
      </c>
      <c r="G28" s="3454">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5"/>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55"/>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56"/>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51">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52"/>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52"/>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53"/>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51">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52">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52">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53">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51">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52">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52">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53">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51">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52">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52">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53">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51">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52">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52">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53">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51">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52">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52">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53">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51">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52">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52">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53">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51">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52">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52">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53">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51">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52">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52">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53">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51">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52">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52">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53">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51">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52">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52">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53">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2949</v>
      </c>
      <c r="B1" s="3057"/>
      <c r="C1" s="3057"/>
      <c r="D1" s="3057"/>
      <c r="E1" s="3057"/>
      <c r="F1" s="3057"/>
    </row>
    <row r="2" spans="1:6" ht="14.25">
      <c r="A2" s="3058" t="s">
        <v>2944</v>
      </c>
      <c r="B2" s="3059" t="e">
        <f ca="1">SUMIF(B7:B14,"&lt;&gt;#ref!",B7:B14)</f>
        <v>#DIV/0!</v>
      </c>
      <c r="C2" s="3058" t="s">
        <v>2945</v>
      </c>
      <c r="D2" s="3057"/>
      <c r="E2" s="3057"/>
      <c r="F2" s="3057"/>
    </row>
    <row r="3" spans="1:6" ht="14.25">
      <c r="A3" s="3058" t="s">
        <v>2977</v>
      </c>
      <c r="B3" s="3059" t="e">
        <f ca="1">ROUND(B2*10000/E3,0)</f>
        <v>#DIV/0!</v>
      </c>
      <c r="C3" s="3058" t="s">
        <v>2077</v>
      </c>
      <c r="D3" s="3058" t="s">
        <v>2946</v>
      </c>
      <c r="E3" s="3059">
        <f ca="1">SUMIF(E7:E14,"&lt;&gt;#ref!",E7:E14)</f>
        <v>0</v>
      </c>
      <c r="F3" s="3057"/>
    </row>
    <row r="4" spans="1:6" ht="14.25">
      <c r="A4" s="3058" t="s">
        <v>2953</v>
      </c>
      <c r="B4" s="3059" t="e">
        <f ca="1">ROUND(B2*10000/E4,0)</f>
        <v>#DIV/0!</v>
      </c>
      <c r="C4" s="3058" t="s">
        <v>2077</v>
      </c>
      <c r="D4" s="3058" t="s">
        <v>2954</v>
      </c>
      <c r="E4" s="3059">
        <f ca="1">SUMIF(F7:F14,"&lt;&gt;#ref!",F7:F14)</f>
        <v>0</v>
      </c>
      <c r="F4" s="3057"/>
    </row>
    <row r="5" spans="1:6" ht="14.25">
      <c r="A5" s="3060"/>
      <c r="B5" s="1866"/>
      <c r="C5" s="1866"/>
      <c r="D5" s="1866"/>
      <c r="E5" s="1866"/>
      <c r="F5" s="3057"/>
    </row>
    <row r="6" spans="1:6" ht="28.5">
      <c r="A6" s="3061" t="s">
        <v>2950</v>
      </c>
      <c r="B6" s="3058" t="s">
        <v>2947</v>
      </c>
      <c r="C6" s="3059"/>
      <c r="D6" s="1866"/>
      <c r="E6" s="3058" t="s">
        <v>2948</v>
      </c>
      <c r="F6" s="3058" t="s">
        <v>2952</v>
      </c>
    </row>
    <row r="7" spans="1:6" ht="14.25">
      <c r="A7" s="259" t="s">
        <v>2951</v>
      </c>
      <c r="B7" s="3062" t="e">
        <f ca="1">SUMIF(INDIRECT("'"&amp;A7&amp;"'"&amp;"!A:A"),"总价",INDIRECT("'"&amp;A7&amp;"'"&amp;"!B:B"))</f>
        <v>#DIV/0!</v>
      </c>
      <c r="C7" s="3058" t="s">
        <v>2945</v>
      </c>
      <c r="D7" s="1866"/>
      <c r="E7" s="3063">
        <f ca="1">SUMIF(INDIRECT("'"&amp;A7&amp;"'"&amp;"!C:C"),"建筑面积",INDIRECT("'"&amp;A7&amp;"'"&amp;"!D:D"))</f>
        <v>0</v>
      </c>
      <c r="F7" s="3063">
        <f ca="1">SUMIF(INDIRECT("'"&amp;A7&amp;"'"&amp;"!E:E"),"土地面积",INDIRECT("'"&amp;A7&amp;"'"&amp;"!F:F"))</f>
        <v>0</v>
      </c>
    </row>
    <row r="8" spans="1:6" ht="14.25">
      <c r="A8" s="259"/>
      <c r="B8" s="3062" t="e">
        <f t="shared" ref="B8:B14" ca="1" si="0">SUMIF(INDIRECT("'"&amp;A8&amp;"'"&amp;"!A:A"),"总价",INDIRECT("'"&amp;A8&amp;"'"&amp;"!B:B"))</f>
        <v>#REF!</v>
      </c>
      <c r="C8" s="3058" t="s">
        <v>2945</v>
      </c>
      <c r="D8" s="1866"/>
      <c r="E8" s="3063" t="e">
        <f t="shared" ref="E8:E14" ca="1" si="1">SUMIF(INDIRECT("'"&amp;A8&amp;"'"&amp;"!C:C"),"建筑面积",INDIRECT("'"&amp;A8&amp;"'"&amp;"!D:D"))</f>
        <v>#REF!</v>
      </c>
      <c r="F8" s="3063" t="e">
        <f t="shared" ref="F8:F14" ca="1" si="2">SUMIF(INDIRECT("'"&amp;A8&amp;"'"&amp;"!E:E"),"土地面积",INDIRECT("'"&amp;A8&amp;"'"&amp;"!F:F"))</f>
        <v>#REF!</v>
      </c>
    </row>
    <row r="9" spans="1:6" ht="14.25">
      <c r="A9" s="259"/>
      <c r="B9" s="3062" t="e">
        <f t="shared" ca="1" si="0"/>
        <v>#REF!</v>
      </c>
      <c r="C9" s="3058" t="s">
        <v>2945</v>
      </c>
      <c r="D9" s="1866"/>
      <c r="E9" s="3063" t="e">
        <f t="shared" ca="1" si="1"/>
        <v>#REF!</v>
      </c>
      <c r="F9" s="3063" t="e">
        <f t="shared" ca="1" si="2"/>
        <v>#REF!</v>
      </c>
    </row>
    <row r="10" spans="1:6" ht="14.25">
      <c r="A10" s="259"/>
      <c r="B10" s="3062" t="e">
        <f t="shared" ca="1" si="0"/>
        <v>#REF!</v>
      </c>
      <c r="C10" s="3058" t="s">
        <v>2945</v>
      </c>
      <c r="D10" s="1866"/>
      <c r="E10" s="3063" t="e">
        <f t="shared" ca="1" si="1"/>
        <v>#REF!</v>
      </c>
      <c r="F10" s="3063" t="e">
        <f t="shared" ca="1" si="2"/>
        <v>#REF!</v>
      </c>
    </row>
    <row r="11" spans="1:6" ht="14.25">
      <c r="A11" s="259"/>
      <c r="B11" s="3062" t="e">
        <f t="shared" ca="1" si="0"/>
        <v>#REF!</v>
      </c>
      <c r="C11" s="3058" t="s">
        <v>2945</v>
      </c>
      <c r="D11" s="1866"/>
      <c r="E11" s="3063" t="e">
        <f t="shared" ca="1" si="1"/>
        <v>#REF!</v>
      </c>
      <c r="F11" s="3063" t="e">
        <f t="shared" ca="1" si="2"/>
        <v>#REF!</v>
      </c>
    </row>
    <row r="12" spans="1:6" ht="14.25">
      <c r="A12" s="259"/>
      <c r="B12" s="3062" t="e">
        <f t="shared" ca="1" si="0"/>
        <v>#REF!</v>
      </c>
      <c r="C12" s="3058" t="s">
        <v>2945</v>
      </c>
      <c r="D12" s="1866"/>
      <c r="E12" s="3063" t="e">
        <f t="shared" ca="1" si="1"/>
        <v>#REF!</v>
      </c>
      <c r="F12" s="3063" t="e">
        <f t="shared" ca="1" si="2"/>
        <v>#REF!</v>
      </c>
    </row>
    <row r="13" spans="1:6" ht="14.25">
      <c r="A13" s="259"/>
      <c r="B13" s="3062" t="e">
        <f t="shared" ca="1" si="0"/>
        <v>#REF!</v>
      </c>
      <c r="C13" s="3058" t="s">
        <v>2945</v>
      </c>
      <c r="D13" s="1866"/>
      <c r="E13" s="3063" t="e">
        <f t="shared" ca="1" si="1"/>
        <v>#REF!</v>
      </c>
      <c r="F13" s="3063" t="e">
        <f t="shared" ca="1" si="2"/>
        <v>#REF!</v>
      </c>
    </row>
    <row r="14" spans="1:6" ht="14.25">
      <c r="A14" s="3056"/>
      <c r="B14" s="3062" t="e">
        <f t="shared" ca="1" si="0"/>
        <v>#REF!</v>
      </c>
      <c r="C14" s="3058" t="s">
        <v>2945</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61815.58平方米。根据《建设工程规划许可证》[]、《出让合同》[]，估价对象规划建筑面积为92723.37平方米。</v>
      </c>
    </row>
    <row r="7" spans="1:4" ht="56.25">
      <c r="A7" s="1780" t="s">
        <v>2746</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2019年9月26日（评估专业人员勘察现场之日）</v>
      </c>
    </row>
    <row r="12" spans="1:4" ht="18.75">
      <c r="A12" s="1782" t="s">
        <v>2024</v>
      </c>
    </row>
    <row r="13" spans="1:4" ht="18.75">
      <c r="A13" s="1776" t="s">
        <v>2942</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根据《国有土地使用证》[]，估价对象（分摊）出让国有建设用地使用权面积为61815.58平方米。根据《建设工程规划许可证》[]、《出让合同》[]，估价对象规划建筑面积为92723.37平方米。</v>
      </c>
    </row>
    <row r="21" spans="1:1" ht="18.75">
      <c r="A21" s="1776" t="s">
        <v>2073</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3月31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628</v>
      </c>
      <c r="B1" s="737"/>
      <c r="C1" s="772"/>
      <c r="D1" s="2035"/>
      <c r="E1" s="2351" t="s">
        <v>2373</v>
      </c>
      <c r="F1" s="2352">
        <f ca="1">J54</f>
        <v>-2.5</v>
      </c>
      <c r="G1" s="773">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4">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5" t="s">
        <v>695</v>
      </c>
      <c r="I3" s="2042"/>
      <c r="J3" s="2042"/>
      <c r="K3" s="2043"/>
      <c r="L3" s="2042"/>
      <c r="M3" s="2042"/>
    </row>
    <row r="4" spans="1:25" ht="18" customHeight="1">
      <c r="A4" s="1631" t="s">
        <v>696</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697</v>
      </c>
      <c r="D5" s="2040"/>
      <c r="E5" s="2041"/>
      <c r="F5" s="2041"/>
      <c r="G5" s="1576"/>
      <c r="H5" s="775"/>
      <c r="I5" s="2042"/>
      <c r="J5" s="2042"/>
      <c r="K5" s="2043"/>
      <c r="L5" s="2042"/>
      <c r="M5" s="2042"/>
    </row>
    <row r="6" spans="1:25" ht="18" customHeight="1">
      <c r="A6" s="1813" t="s">
        <v>698</v>
      </c>
      <c r="B6" s="1805" t="s">
        <v>699</v>
      </c>
      <c r="C6" s="1805" t="s">
        <v>632</v>
      </c>
      <c r="D6" s="1805" t="s">
        <v>633</v>
      </c>
      <c r="E6" s="778" t="s">
        <v>634</v>
      </c>
      <c r="F6" s="779"/>
      <c r="G6" s="1578"/>
      <c r="H6" s="1813" t="s">
        <v>630</v>
      </c>
      <c r="I6" s="1805" t="s">
        <v>631</v>
      </c>
      <c r="J6" s="1805" t="s">
        <v>632</v>
      </c>
      <c r="K6" s="1805" t="s">
        <v>633</v>
      </c>
      <c r="L6" s="778" t="s">
        <v>634</v>
      </c>
      <c r="M6" s="779"/>
    </row>
    <row r="7" spans="1:25" ht="18" customHeight="1">
      <c r="A7" s="780">
        <v>1</v>
      </c>
      <c r="B7" s="781" t="s">
        <v>2457</v>
      </c>
      <c r="C7" s="53">
        <f ca="1">C8+C12+C14</f>
        <v>0</v>
      </c>
      <c r="D7" s="2460" t="s">
        <v>2460</v>
      </c>
      <c r="E7" s="2454"/>
      <c r="F7" s="2455"/>
      <c r="G7" s="1578"/>
      <c r="H7" s="780">
        <v>1</v>
      </c>
      <c r="I7" s="781" t="s">
        <v>2457</v>
      </c>
      <c r="J7" s="53">
        <f ca="1">J8+J12+J14</f>
        <v>0</v>
      </c>
      <c r="K7" s="2460" t="s">
        <v>2460</v>
      </c>
      <c r="L7" s="2454"/>
      <c r="M7" s="2455"/>
    </row>
    <row r="8" spans="1:25" ht="18" customHeight="1">
      <c r="A8" s="1815" t="s">
        <v>1823</v>
      </c>
      <c r="B8" s="3460" t="s">
        <v>2462</v>
      </c>
      <c r="C8" s="1810">
        <f ca="1">ROUND(F8*F10*F9*(1-F11)/10000,0)</f>
        <v>0</v>
      </c>
      <c r="D8" s="1807" t="s">
        <v>2533</v>
      </c>
      <c r="E8" s="61" t="s">
        <v>637</v>
      </c>
      <c r="F8" s="784">
        <f ca="1">INDIRECT("'数据-取费表'!u"&amp;$G$1)</f>
        <v>0</v>
      </c>
      <c r="G8" s="1578"/>
      <c r="H8" s="2468" t="s">
        <v>1823</v>
      </c>
      <c r="I8" s="3460" t="s">
        <v>2462</v>
      </c>
      <c r="J8" s="782">
        <f ca="1">ROUND(M8*M10*M9*(1-M11)/10000,0)</f>
        <v>0</v>
      </c>
      <c r="K8" s="340" t="s">
        <v>2533</v>
      </c>
      <c r="L8" s="783" t="s">
        <v>1737</v>
      </c>
      <c r="M8" s="784">
        <f ca="1">INDIRECT("'数据-取费表'!z"&amp;$G$1)</f>
        <v>0</v>
      </c>
    </row>
    <row r="9" spans="1:25" ht="18" customHeight="1">
      <c r="A9" s="2464"/>
      <c r="B9" s="3461"/>
      <c r="C9" s="1811"/>
      <c r="D9" s="1808"/>
      <c r="E9" s="61" t="s">
        <v>638</v>
      </c>
      <c r="F9" s="784">
        <f ca="1">IF(INDIRECT("'数据-取费表'!ah"&amp;$G$1)="",INDIRECT("'数据-取费表'!k"&amp;$G$1),INDIRECT("'数据-取费表'!ah"&amp;$G$1))</f>
        <v>0</v>
      </c>
      <c r="G9" s="1578"/>
      <c r="H9" s="2453"/>
      <c r="I9" s="3461"/>
      <c r="J9" s="787"/>
      <c r="K9" s="788"/>
      <c r="L9" s="783" t="s">
        <v>1738</v>
      </c>
      <c r="M9" s="784">
        <f ca="1">F9</f>
        <v>0</v>
      </c>
    </row>
    <row r="10" spans="1:25" ht="18" customHeight="1">
      <c r="A10" s="2457"/>
      <c r="B10" s="3462"/>
      <c r="C10" s="1811"/>
      <c r="D10" s="1808"/>
      <c r="E10" s="61" t="s">
        <v>639</v>
      </c>
      <c r="F10" s="784">
        <f ca="1">INDIRECT("'数据-取费表'!ai"&amp;$G$1)</f>
        <v>0</v>
      </c>
      <c r="G10" s="1578"/>
      <c r="H10" s="2453"/>
      <c r="I10" s="3462"/>
      <c r="J10" s="787"/>
      <c r="K10" s="788"/>
      <c r="L10" s="783" t="s">
        <v>1739</v>
      </c>
      <c r="M10" s="784">
        <f ca="1">INDIRECT("'数据-取费表'!ai"&amp;$G$1)</f>
        <v>0</v>
      </c>
    </row>
    <row r="11" spans="1:25" ht="18" customHeight="1">
      <c r="A11" s="785"/>
      <c r="B11" s="3463"/>
      <c r="C11" s="1811"/>
      <c r="D11" s="1808"/>
      <c r="E11" s="61" t="s">
        <v>640</v>
      </c>
      <c r="F11" s="793">
        <f ca="1">INDIRECT("'数据-取费表'!w"&amp;$G$1)</f>
        <v>0</v>
      </c>
      <c r="G11" s="1578"/>
      <c r="H11" s="2469"/>
      <c r="I11" s="3462"/>
      <c r="J11" s="787"/>
      <c r="K11" s="788"/>
      <c r="L11" s="794" t="s">
        <v>1740</v>
      </c>
      <c r="M11" s="795">
        <f ca="1">INDIRECT("'数据-取费表'!ab"&amp;$G$1)</f>
        <v>0</v>
      </c>
    </row>
    <row r="12" spans="1:25" ht="18" customHeight="1">
      <c r="A12" s="1815" t="s">
        <v>1824</v>
      </c>
      <c r="B12" s="2458" t="s">
        <v>2458</v>
      </c>
      <c r="C12" s="798">
        <f ca="1">ROUND(IF(F12="押一",C8/12*F13,IF(F12="押二",C8/12*2*F13,IF(F12="押三",C8/12*3*F13,C13*F13))),0)</f>
        <v>0</v>
      </c>
      <c r="D12" s="2465" t="s">
        <v>2974</v>
      </c>
      <c r="E12" s="2462" t="s">
        <v>2463</v>
      </c>
      <c r="F12" s="2585"/>
      <c r="G12" s="1578"/>
      <c r="H12" s="2525" t="s">
        <v>1824</v>
      </c>
      <c r="I12" s="2530" t="s">
        <v>2458</v>
      </c>
      <c r="J12" s="782">
        <f ca="1">ROUND(IF(M12="押一",J8/12*M13,IF(M12="押二",J8/12*2*M13,IF(M12="押三",J8/12*3*M13,J13*M13))),0)</f>
        <v>0</v>
      </c>
      <c r="K12" s="2465" t="s">
        <v>2974</v>
      </c>
      <c r="L12" s="2462" t="s">
        <v>2463</v>
      </c>
      <c r="M12" s="2585"/>
    </row>
    <row r="13" spans="1:25" ht="18" customHeight="1">
      <c r="A13" s="789"/>
      <c r="B13" s="2459" t="s">
        <v>2572</v>
      </c>
      <c r="C13" s="2463"/>
      <c r="D13" s="788"/>
      <c r="E13" s="2462" t="s">
        <v>2455</v>
      </c>
      <c r="F13" s="795">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1">
        <f ca="1">ROUND(C31*F15,0)</f>
        <v>0</v>
      </c>
      <c r="D15" s="1819" t="s">
        <v>642</v>
      </c>
      <c r="E15" s="794" t="s">
        <v>643</v>
      </c>
      <c r="F15" s="799">
        <f ca="1">INDIRECT("'数据-取费表'!y"&amp;$G$1)</f>
        <v>0</v>
      </c>
      <c r="G15" s="1578"/>
      <c r="H15" s="1814" t="s">
        <v>1825</v>
      </c>
      <c r="I15" s="1812" t="s">
        <v>644</v>
      </c>
      <c r="J15" s="1804">
        <f ca="1">ROUND(J16*J17,0)</f>
        <v>0</v>
      </c>
      <c r="K15" s="1806" t="s">
        <v>642</v>
      </c>
      <c r="L15" s="800"/>
      <c r="M15" s="801"/>
    </row>
    <row r="16" spans="1:25" ht="18" customHeight="1">
      <c r="A16" s="802" t="s">
        <v>1874</v>
      </c>
      <c r="B16" s="783" t="s">
        <v>645</v>
      </c>
      <c r="C16" s="803">
        <f ca="1">INDIRECT("'数据-取费表'!m"&amp;$G$1)+INDIRECT("'数据-取费表'!t"&amp;$G$1)</f>
        <v>0</v>
      </c>
      <c r="D16" s="1964" t="s">
        <v>646</v>
      </c>
      <c r="E16" s="1965"/>
      <c r="F16" s="804"/>
      <c r="G16" s="1578"/>
      <c r="H16" s="802" t="s">
        <v>2068</v>
      </c>
      <c r="I16" s="2216" t="s">
        <v>2824</v>
      </c>
      <c r="J16" s="53">
        <f ca="1">C31</f>
        <v>0</v>
      </c>
      <c r="K16" s="26"/>
      <c r="L16" s="800"/>
      <c r="M16" s="801"/>
    </row>
    <row r="17" spans="1:25" s="2049" customFormat="1" ht="18" customHeight="1">
      <c r="A17" s="802" t="s">
        <v>1848</v>
      </c>
      <c r="B17" s="783" t="s">
        <v>647</v>
      </c>
      <c r="C17" s="53">
        <f ca="1">ROUND(C16*F17,0)</f>
        <v>0</v>
      </c>
      <c r="D17" s="805" t="s">
        <v>648</v>
      </c>
      <c r="E17" s="805" t="s">
        <v>649</v>
      </c>
      <c r="F17" s="806">
        <f>'数据-取费表'!B33</f>
        <v>0.05</v>
      </c>
      <c r="G17" s="1579"/>
      <c r="H17" s="802" t="s">
        <v>2069</v>
      </c>
      <c r="I17" s="783" t="s">
        <v>643</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8"/>
      <c r="H18" s="796" t="s">
        <v>1826</v>
      </c>
      <c r="I18" s="797" t="s">
        <v>651</v>
      </c>
      <c r="J18" s="798">
        <f ca="1">ROUND(J19+J24+J25+J26,0)</f>
        <v>0</v>
      </c>
      <c r="K18" s="26" t="s">
        <v>652</v>
      </c>
      <c r="L18" s="1967"/>
      <c r="M18" s="56"/>
    </row>
    <row r="19" spans="1:25" s="2049" customFormat="1" ht="18" customHeight="1">
      <c r="A19" s="802" t="s">
        <v>1850</v>
      </c>
      <c r="B19" s="783" t="s">
        <v>653</v>
      </c>
      <c r="C19" s="53">
        <f ca="1">ROUND(F19*(INDIRECT("'数据-取费表'!k"&amp;$G$1)+INDIRECT("'数据-取费表'!S"&amp;$G$1))/10000,0)</f>
        <v>0</v>
      </c>
      <c r="D19" s="783" t="s">
        <v>654</v>
      </c>
      <c r="E19" s="783" t="s">
        <v>655</v>
      </c>
      <c r="F19" s="56">
        <f>'数据-取费表'!B35</f>
        <v>200</v>
      </c>
      <c r="G19" s="1579"/>
      <c r="H19" s="802" t="s">
        <v>2068</v>
      </c>
      <c r="I19" s="783" t="s">
        <v>656</v>
      </c>
      <c r="J19" s="53">
        <f ca="1">ROUND(IF(项目基本情况!B11="自然人",J8*M19/(1+'数据-取费表'!C42),J20+J21+J22),0)</f>
        <v>0</v>
      </c>
      <c r="K19" s="1964" t="s">
        <v>657</v>
      </c>
      <c r="L19" s="1962" t="s">
        <v>658</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1851</v>
      </c>
      <c r="B20" s="783" t="s">
        <v>659</v>
      </c>
      <c r="C20" s="53">
        <f ca="1">ROUND(C16*F20,0)</f>
        <v>0</v>
      </c>
      <c r="D20" s="783" t="s">
        <v>648</v>
      </c>
      <c r="E20" s="783" t="s">
        <v>649</v>
      </c>
      <c r="F20" s="808">
        <f>'数据-取费表'!B36</f>
        <v>1.4999999999999999E-2</v>
      </c>
      <c r="G20" s="1579"/>
      <c r="H20" s="802" t="s">
        <v>1830</v>
      </c>
      <c r="I20" s="783" t="s">
        <v>660</v>
      </c>
      <c r="J20" s="53">
        <f ca="1">ROUND(J8*M20/(1+'数据-取费表'!C42),1)</f>
        <v>0</v>
      </c>
      <c r="K20" s="1962" t="s">
        <v>661</v>
      </c>
      <c r="L20" s="783" t="s">
        <v>649</v>
      </c>
      <c r="M20" s="808">
        <f>'数据-取费表'!B41</f>
        <v>5.5000000000000007E-2</v>
      </c>
      <c r="N20" s="2048"/>
      <c r="O20" s="2048"/>
      <c r="P20" s="2048"/>
      <c r="Q20" s="2048"/>
      <c r="R20" s="2048"/>
      <c r="S20" s="2048"/>
      <c r="T20" s="2048"/>
      <c r="U20" s="2048"/>
      <c r="V20" s="2048"/>
      <c r="W20" s="2048"/>
      <c r="X20" s="2048"/>
      <c r="Y20" s="2048"/>
    </row>
    <row r="21" spans="1:25" ht="18" customHeight="1">
      <c r="A21" s="802" t="s">
        <v>1875</v>
      </c>
      <c r="B21" s="783" t="s">
        <v>662</v>
      </c>
      <c r="C21" s="53">
        <f ca="1">SUM(C16:C20)</f>
        <v>0</v>
      </c>
      <c r="D21" s="260" t="s">
        <v>663</v>
      </c>
      <c r="E21" s="1967"/>
      <c r="F21" s="56"/>
      <c r="G21" s="1578"/>
      <c r="H21" s="1815"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9" customFormat="1" ht="18" customHeight="1">
      <c r="A22" s="802" t="s">
        <v>1876</v>
      </c>
      <c r="B22" s="783" t="s">
        <v>666</v>
      </c>
      <c r="C22" s="53">
        <f ca="1">ROUND(C21*F22,0)</f>
        <v>0</v>
      </c>
      <c r="D22" s="811" t="s">
        <v>667</v>
      </c>
      <c r="E22" s="783" t="s">
        <v>649</v>
      </c>
      <c r="F22" s="808">
        <f>'数据-取费表'!B37</f>
        <v>1.4999999999999999E-2</v>
      </c>
      <c r="G22" s="1579"/>
      <c r="H22" s="1817" t="s">
        <v>1849</v>
      </c>
      <c r="I22" s="1807" t="s">
        <v>668</v>
      </c>
      <c r="J22" s="54">
        <f ca="1">ROUND(M22*M23/10000,0)</f>
        <v>0</v>
      </c>
      <c r="K22" s="813" t="s">
        <v>669</v>
      </c>
      <c r="L22" s="783" t="s">
        <v>670</v>
      </c>
      <c r="M22" s="639">
        <f>'数据-取费表'!B52</f>
        <v>5</v>
      </c>
      <c r="N22" s="2048"/>
      <c r="O22" s="2048"/>
      <c r="P22" s="2048"/>
      <c r="Q22" s="2048"/>
      <c r="R22" s="2048"/>
      <c r="S22" s="2048"/>
      <c r="T22" s="2048"/>
      <c r="U22" s="2048"/>
      <c r="V22" s="2048"/>
      <c r="W22" s="2048"/>
      <c r="X22" s="2048"/>
      <c r="Y22" s="2048"/>
    </row>
    <row r="23" spans="1:25" s="2049" customFormat="1" ht="18" customHeight="1">
      <c r="A23" s="802" t="s">
        <v>1877</v>
      </c>
      <c r="B23" s="783" t="s">
        <v>671</v>
      </c>
      <c r="C23" s="53" t="s">
        <v>1</v>
      </c>
      <c r="D23" s="811" t="s">
        <v>672</v>
      </c>
      <c r="E23" s="783" t="s">
        <v>673</v>
      </c>
      <c r="F23" s="808">
        <f>'数据-取费表'!B38</f>
        <v>2.5000000000000001E-2</v>
      </c>
      <c r="G23" s="1579"/>
      <c r="H23" s="1818"/>
      <c r="I23" s="1809"/>
      <c r="J23" s="69"/>
      <c r="K23" s="815"/>
      <c r="L23" s="783" t="s">
        <v>674</v>
      </c>
      <c r="M23" s="784">
        <f ca="1">INDIRECT("'数据-取费表'!r"&amp;$G$1)</f>
        <v>0</v>
      </c>
      <c r="N23" s="2048"/>
      <c r="O23" s="2048"/>
      <c r="P23" s="2048"/>
      <c r="Q23" s="2048"/>
      <c r="R23" s="2048"/>
      <c r="S23" s="2048"/>
      <c r="T23" s="2048"/>
      <c r="U23" s="2048"/>
      <c r="V23" s="2048"/>
      <c r="W23" s="2048"/>
      <c r="X23" s="2048"/>
      <c r="Y23" s="2048"/>
    </row>
    <row r="24" spans="1:25" ht="18" customHeight="1">
      <c r="A24" s="802" t="s">
        <v>1878</v>
      </c>
      <c r="B24" s="783" t="s">
        <v>675</v>
      </c>
      <c r="C24" s="53"/>
      <c r="D24" s="2536" t="str">
        <f>IF(F25&lt;=1,"单利计息。","复利计息。")&amp;"建造成本、管理费用、销售费用产生的利息。"</f>
        <v>复利计息。建造成本、管理费用、销售费用产生的利息。</v>
      </c>
      <c r="E24" s="1967"/>
      <c r="F24" s="56"/>
      <c r="G24" s="1578"/>
      <c r="H24" s="1816" t="s">
        <v>2069</v>
      </c>
      <c r="I24" s="783" t="s">
        <v>676</v>
      </c>
      <c r="J24" s="53">
        <f ca="1">ROUND(J16*M24,0)</f>
        <v>0</v>
      </c>
      <c r="K24" s="1962" t="s">
        <v>677</v>
      </c>
      <c r="L24" s="783" t="s">
        <v>649</v>
      </c>
      <c r="M24" s="816">
        <f ca="1">INDIRECT("'数据-取费表'!Ak"&amp;$G$1)</f>
        <v>0</v>
      </c>
    </row>
    <row r="25" spans="1:25" s="2049" customFormat="1" ht="18" customHeight="1">
      <c r="A25" s="802" t="s">
        <v>1874</v>
      </c>
      <c r="B25" s="783" t="s">
        <v>2436</v>
      </c>
      <c r="C25" s="53">
        <f ca="1">ROUND(IF('数据-取费表'!B22&lt;=1,(C21+C22)*F26*F25/2,(C21+C22)*(POWER((1+F26),F25/2)-1)),0)</f>
        <v>0</v>
      </c>
      <c r="D25" s="2535" t="str">
        <f>IF(F25&lt;=1,"(建造成本+管理费用)×利率×(建设周期÷2)","(建造成本+管理费用)×((1+利率)^(建设周期÷2)-1)")</f>
        <v>(建造成本+管理费用)×((1+利率)^(建设周期÷2)-1)</v>
      </c>
      <c r="E25" s="783" t="s">
        <v>678</v>
      </c>
      <c r="F25" s="639">
        <f>'数据-取费表'!B20</f>
        <v>2.5</v>
      </c>
      <c r="G25" s="1579"/>
      <c r="H25" s="802" t="s">
        <v>1877</v>
      </c>
      <c r="I25" s="783" t="s">
        <v>679</v>
      </c>
      <c r="J25" s="53">
        <f ca="1">ROUND(J15*M25,0)</f>
        <v>0</v>
      </c>
      <c r="K25" s="1962" t="s">
        <v>680</v>
      </c>
      <c r="L25" s="783" t="s">
        <v>649</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1848</v>
      </c>
      <c r="B26" s="783" t="s">
        <v>681</v>
      </c>
      <c r="C26" s="53">
        <f ca="1">ROUND(IF('数据-取费表'!B22&lt;=1,F23*F26*F25/2,F23*(POWER((1+F26),F25/2)-1)),4)</f>
        <v>1.5E-3</v>
      </c>
      <c r="D26" s="2535" t="str">
        <f>IF(F25&lt;=1,"销售费用×利率×(建设周期÷2)","销售费用×((1+利率)^(建设周期÷2)-1)")</f>
        <v>销售费用×((1+利率)^(建设周期÷2)-1)</v>
      </c>
      <c r="E26" s="783" t="s">
        <v>682</v>
      </c>
      <c r="F26" s="818">
        <f ca="1">'数据-取费表'!B40</f>
        <v>4.7500000000000001E-2</v>
      </c>
      <c r="G26" s="1579"/>
      <c r="H26" s="802" t="s">
        <v>1878</v>
      </c>
      <c r="I26" s="783" t="s">
        <v>666</v>
      </c>
      <c r="J26" s="53">
        <f ca="1">ROUND(J7*M26,0)</f>
        <v>0</v>
      </c>
      <c r="K26" s="1962" t="s">
        <v>683</v>
      </c>
      <c r="L26" s="783" t="s">
        <v>649</v>
      </c>
      <c r="M26" s="793">
        <f ca="1">INDIRECT("'数据-取费表'!Am"&amp;$G$1)</f>
        <v>0</v>
      </c>
      <c r="N26" s="2048"/>
      <c r="O26" s="2048"/>
      <c r="P26" s="2048"/>
      <c r="Q26" s="2048"/>
      <c r="R26" s="2048"/>
      <c r="S26" s="2048"/>
      <c r="T26" s="2048"/>
      <c r="U26" s="2048"/>
      <c r="V26" s="2048"/>
      <c r="W26" s="2048"/>
      <c r="X26" s="2048"/>
      <c r="Y26" s="2048"/>
    </row>
    <row r="27" spans="1:25" ht="18" customHeight="1">
      <c r="A27" s="802" t="s">
        <v>1880</v>
      </c>
      <c r="B27" s="783" t="s">
        <v>684</v>
      </c>
      <c r="C27" s="53"/>
      <c r="D27" s="260" t="s">
        <v>685</v>
      </c>
      <c r="E27" s="1967"/>
      <c r="F27" s="56"/>
      <c r="G27" s="1578"/>
      <c r="H27" s="796" t="s">
        <v>1827</v>
      </c>
      <c r="I27" s="2963" t="s">
        <v>2821</v>
      </c>
      <c r="J27" s="798">
        <f ca="1">J7-J18</f>
        <v>0</v>
      </c>
      <c r="K27" s="1964" t="s">
        <v>700</v>
      </c>
      <c r="L27" s="1966"/>
      <c r="M27" s="819"/>
    </row>
    <row r="28" spans="1:25" ht="18" customHeight="1">
      <c r="A28" s="802" t="s">
        <v>1874</v>
      </c>
      <c r="B28" s="783" t="s">
        <v>2437</v>
      </c>
      <c r="C28" s="53">
        <f ca="1">ROUND((C21+C22)*F28,0)</f>
        <v>0</v>
      </c>
      <c r="D28" s="811" t="s">
        <v>701</v>
      </c>
      <c r="E28" s="794" t="s">
        <v>702</v>
      </c>
      <c r="F28" s="793">
        <f ca="1">INDIRECT("'数据-取费表'!q"&amp;$G$1)</f>
        <v>0</v>
      </c>
      <c r="G28" s="1578"/>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9" customFormat="1" ht="18" customHeight="1">
      <c r="A30" s="802" t="s">
        <v>1881</v>
      </c>
      <c r="B30" s="783" t="s">
        <v>687</v>
      </c>
      <c r="C30" s="53">
        <f>ROUND(F30/(1+'数据-取费表'!C42),4)</f>
        <v>5.2400000000000002E-2</v>
      </c>
      <c r="D30" s="811" t="s">
        <v>709</v>
      </c>
      <c r="E30" s="783" t="s">
        <v>649</v>
      </c>
      <c r="F30" s="808">
        <f>'数据-取费表'!B41</f>
        <v>5.5000000000000007E-2</v>
      </c>
      <c r="G30" s="1579"/>
      <c r="H30" s="789"/>
      <c r="I30" s="790"/>
      <c r="J30" s="791"/>
      <c r="K30" s="815"/>
      <c r="L30" s="783" t="s">
        <v>710</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2" t="s">
        <v>1871</v>
      </c>
      <c r="I31" s="2964" t="s">
        <v>2823</v>
      </c>
      <c r="J31" s="824">
        <f ca="1">ROUND(J28/(1+F45)^F46,0)</f>
        <v>0</v>
      </c>
      <c r="K31" s="825" t="s">
        <v>688</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1">
        <f ca="1">ROUND(C33+C38+C39+C40,0)</f>
        <v>0</v>
      </c>
      <c r="D32" s="1806" t="s">
        <v>652</v>
      </c>
      <c r="E32" s="2451"/>
      <c r="F32" s="2455"/>
      <c r="G32" s="2047"/>
      <c r="H32" s="2050"/>
      <c r="I32" s="2051"/>
      <c r="J32" s="2052"/>
      <c r="K32" s="2053"/>
      <c r="L32" s="2054"/>
      <c r="M32" s="2055"/>
    </row>
    <row r="33" spans="1:18" ht="18" customHeight="1">
      <c r="A33" s="802" t="s">
        <v>1875</v>
      </c>
      <c r="B33" s="783" t="s">
        <v>656</v>
      </c>
      <c r="C33" s="53">
        <f ca="1">ROUND(IF(项目基本情况!B11="自然人",C8*F33/(1+'数据-取费表'!C42),C34+C35+C36),1)</f>
        <v>0</v>
      </c>
      <c r="D33" s="1964" t="s">
        <v>657</v>
      </c>
      <c r="E33" s="1962" t="s">
        <v>690</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1874</v>
      </c>
      <c r="B34" s="783" t="s">
        <v>660</v>
      </c>
      <c r="C34" s="53">
        <f ca="1">ROUND(C8*F34/(1+'数据-取费表'!C42),1)</f>
        <v>0</v>
      </c>
      <c r="D34" s="1962" t="s">
        <v>661</v>
      </c>
      <c r="E34" s="783" t="s">
        <v>649</v>
      </c>
      <c r="F34" s="808">
        <f>'数据-取费表'!B41</f>
        <v>5.5000000000000007E-2</v>
      </c>
      <c r="G34" s="2047"/>
      <c r="H34" s="2056"/>
      <c r="I34" s="2057"/>
      <c r="J34" s="2058"/>
      <c r="K34" s="2059"/>
      <c r="L34" s="2060"/>
      <c r="M34" s="2061"/>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7"/>
      <c r="H35" s="2062"/>
      <c r="I35" s="2062"/>
      <c r="J35" s="2062"/>
      <c r="K35" s="2063"/>
      <c r="L35" s="2062"/>
      <c r="M35" s="2062"/>
    </row>
    <row r="36" spans="1:18" ht="18" customHeight="1">
      <c r="A36" s="812" t="s">
        <v>1879</v>
      </c>
      <c r="B36" s="340" t="s">
        <v>668</v>
      </c>
      <c r="C36" s="54">
        <f ca="1">ROUND(F36*F37/10000,1)</f>
        <v>0</v>
      </c>
      <c r="D36" s="813" t="s">
        <v>669</v>
      </c>
      <c r="E36" s="783" t="s">
        <v>670</v>
      </c>
      <c r="F36" s="639">
        <f>'数据-取费表'!B52</f>
        <v>5</v>
      </c>
      <c r="G36" s="2047"/>
      <c r="H36" s="2050"/>
      <c r="I36" s="3459"/>
      <c r="J36" s="2064"/>
      <c r="K36" s="2065"/>
      <c r="L36" s="2064"/>
      <c r="M36" s="2064"/>
    </row>
    <row r="37" spans="1:18" ht="18" customHeight="1">
      <c r="A37" s="814"/>
      <c r="B37" s="792"/>
      <c r="C37" s="69"/>
      <c r="D37" s="815"/>
      <c r="E37" s="783" t="s">
        <v>674</v>
      </c>
      <c r="F37" s="784">
        <f ca="1">INDIRECT("'数据-取费表'!r"&amp;$G$1)</f>
        <v>0</v>
      </c>
      <c r="G37" s="2047"/>
      <c r="H37" s="2050"/>
      <c r="I37" s="3459"/>
      <c r="J37" s="2062"/>
      <c r="K37" s="2063"/>
      <c r="L37" s="2062"/>
      <c r="M37" s="2062"/>
    </row>
    <row r="38" spans="1:18" ht="18" customHeight="1">
      <c r="A38" s="802" t="s">
        <v>1876</v>
      </c>
      <c r="B38" s="783" t="s">
        <v>676</v>
      </c>
      <c r="C38" s="53">
        <f ca="1">ROUND(C31*F38,1)</f>
        <v>0</v>
      </c>
      <c r="D38" s="1962" t="s">
        <v>691</v>
      </c>
      <c r="E38" s="783" t="s">
        <v>649</v>
      </c>
      <c r="F38" s="816">
        <f ca="1">INDIRECT("'数据-取费表'!Ak"&amp;$G$1)</f>
        <v>0</v>
      </c>
      <c r="G38" s="2047"/>
      <c r="H38" s="2062"/>
      <c r="I38" s="2066"/>
      <c r="J38" s="1973"/>
      <c r="K38" s="2067"/>
      <c r="L38" s="2062"/>
      <c r="M38" s="2062"/>
    </row>
    <row r="39" spans="1:18" ht="18" customHeight="1">
      <c r="A39" s="802" t="s">
        <v>1877</v>
      </c>
      <c r="B39" s="783" t="s">
        <v>679</v>
      </c>
      <c r="C39" s="53">
        <f ca="1">ROUND(C15*F39,1)</f>
        <v>0</v>
      </c>
      <c r="D39" s="1962" t="s">
        <v>680</v>
      </c>
      <c r="E39" s="783" t="s">
        <v>649</v>
      </c>
      <c r="F39" s="817">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2" t="s">
        <v>1875</v>
      </c>
      <c r="B42" s="834" t="s">
        <v>693</v>
      </c>
      <c r="C42" s="828">
        <f ca="1">C7-C32</f>
        <v>0</v>
      </c>
      <c r="D42" s="1964" t="s">
        <v>694</v>
      </c>
      <c r="E42" s="1966"/>
      <c r="F42" s="819"/>
      <c r="G42" s="2047"/>
      <c r="H42" s="2047"/>
      <c r="I42" s="2047"/>
      <c r="J42" s="2047"/>
      <c r="K42" s="2068"/>
      <c r="L42" s="2047"/>
      <c r="M42" s="2047"/>
    </row>
    <row r="43" spans="1:18" ht="18" customHeight="1">
      <c r="A43" s="802" t="s">
        <v>1876</v>
      </c>
      <c r="B43" s="834" t="s">
        <v>711</v>
      </c>
      <c r="C43" s="835">
        <f ca="1">ROUND(C15*F43,0)</f>
        <v>0</v>
      </c>
      <c r="D43" s="1351" t="s">
        <v>712</v>
      </c>
      <c r="E43" s="3074" t="s">
        <v>2962</v>
      </c>
      <c r="F43" s="3075">
        <f ca="1">INDIRECT("'数据-取费表'!j"&amp;$G$1)</f>
        <v>0</v>
      </c>
      <c r="G43" s="2047"/>
      <c r="H43" s="2047"/>
      <c r="I43" s="2047"/>
      <c r="J43" s="2047"/>
      <c r="K43" s="2068"/>
      <c r="L43" s="2047"/>
      <c r="M43" s="2047"/>
    </row>
    <row r="44" spans="1:18" ht="18" customHeight="1">
      <c r="A44" s="802" t="s">
        <v>1877</v>
      </c>
      <c r="B44" s="834" t="s">
        <v>713</v>
      </c>
      <c r="C44" s="1352">
        <f ca="1">C42-C43</f>
        <v>0</v>
      </c>
      <c r="D44" s="462" t="s">
        <v>714</v>
      </c>
      <c r="E44" s="463"/>
      <c r="F44" s="464"/>
      <c r="G44" s="2047"/>
      <c r="H44" s="2047"/>
      <c r="I44" s="2047"/>
      <c r="J44" s="2047"/>
      <c r="K44" s="2068"/>
      <c r="L44" s="2047"/>
      <c r="M44" s="2047"/>
    </row>
    <row r="45" spans="1:18" ht="18" customHeight="1">
      <c r="A45" s="802" t="s">
        <v>1878</v>
      </c>
      <c r="B45" s="1351" t="s">
        <v>715</v>
      </c>
      <c r="C45" s="2990">
        <f ca="1">ROUND(-PV(F45,F46,C44,0),0)</f>
        <v>0</v>
      </c>
      <c r="D45" s="1353" t="s">
        <v>716</v>
      </c>
      <c r="E45" s="805" t="s">
        <v>717</v>
      </c>
      <c r="F45" s="829">
        <f ca="1">INDIRECT("'数据-取费表'!h"&amp;$G$1)</f>
        <v>0</v>
      </c>
      <c r="G45" s="2047"/>
      <c r="H45" s="2047"/>
      <c r="I45" s="2047"/>
      <c r="J45" s="2047"/>
      <c r="K45" s="2068"/>
      <c r="L45" s="2047"/>
      <c r="M45" s="2047"/>
    </row>
    <row r="46" spans="1:18" ht="18" customHeight="1" thickBot="1">
      <c r="A46" s="830"/>
      <c r="B46" s="1354"/>
      <c r="C46" s="1355"/>
      <c r="D46" s="1356"/>
      <c r="E46" s="3076" t="s">
        <v>2965</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8"/>
      <c r="Q47" s="1589"/>
      <c r="R47" s="1578"/>
    </row>
    <row r="48" spans="1:18" s="2044" customFormat="1" ht="18" customHeight="1" thickBot="1">
      <c r="A48" s="2069"/>
      <c r="C48" s="2072"/>
      <c r="D48" s="2073"/>
      <c r="E48" s="2073"/>
      <c r="F48" s="2074"/>
      <c r="G48" s="2075"/>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8" t="s">
        <v>2344</v>
      </c>
      <c r="J49" s="2346"/>
      <c r="K49" s="3106"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8"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8" t="s">
        <v>2346</v>
      </c>
      <c r="J51" s="3103">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1" t="s">
        <v>2420</v>
      </c>
      <c r="J53" s="2349"/>
      <c r="K53" s="3101" t="s">
        <v>2419</v>
      </c>
      <c r="L53" s="2349"/>
      <c r="O53" s="2365" t="s">
        <v>2385</v>
      </c>
      <c r="P53" s="2363" t="s">
        <v>2386</v>
      </c>
      <c r="Q53" s="2366">
        <f>J53</f>
        <v>0</v>
      </c>
      <c r="R53" s="2367"/>
    </row>
    <row r="54" spans="1:18" s="2044" customFormat="1" ht="29.25" thickBot="1">
      <c r="A54" s="2081"/>
      <c r="I54" s="3102" t="s">
        <v>2978</v>
      </c>
      <c r="J54" s="3181">
        <f ca="1">IF(M48="住宅",MAX(J52,L49-'数据-取费表'!B20),MIN(J52,L49-'数据-取费表'!B20))</f>
        <v>-2.5</v>
      </c>
      <c r="K54" s="3464"/>
      <c r="L54" s="3465"/>
      <c r="O54" s="2365" t="s">
        <v>2387</v>
      </c>
      <c r="P54" s="2363" t="s">
        <v>2388</v>
      </c>
      <c r="Q54" s="2364">
        <f ca="1">J54</f>
        <v>-2.5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5" thickBot="1">
      <c r="A56" s="2081"/>
      <c r="B56" s="2082"/>
      <c r="C56" s="2082"/>
      <c r="I56" s="3113" t="s">
        <v>2354</v>
      </c>
      <c r="J56" s="3053" t="e">
        <f ca="1">ROUND(IF(J48="钢混",J58/J51,1-(1-2%)*(J51-J58)/J51),3)</f>
        <v>#VALUE!</v>
      </c>
      <c r="K56" s="3114" t="s">
        <v>2355</v>
      </c>
      <c r="L56" s="2350"/>
      <c r="O56" s="2368" t="s">
        <v>2410</v>
      </c>
      <c r="P56" s="1578"/>
      <c r="Q56" s="1589"/>
      <c r="R56" s="1578"/>
    </row>
    <row r="57" spans="1:18" s="2044" customFormat="1" ht="43.5" thickBot="1">
      <c r="A57" s="2081"/>
      <c r="B57" s="2082"/>
      <c r="C57" s="2082"/>
      <c r="I57" s="3115" t="s">
        <v>2356</v>
      </c>
      <c r="J57" s="3125" t="s">
        <v>1677</v>
      </c>
      <c r="K57" s="3078" t="s">
        <v>2361</v>
      </c>
      <c r="L57" s="1893">
        <f ca="1">IF(L49&lt;J52,"——",L49-J52)</f>
        <v>0</v>
      </c>
      <c r="O57" s="2359" t="s">
        <v>2374</v>
      </c>
      <c r="P57" s="2360" t="s">
        <v>2375</v>
      </c>
      <c r="Q57" s="2361" t="s">
        <v>2376</v>
      </c>
      <c r="R57" s="2360" t="s">
        <v>2377</v>
      </c>
    </row>
    <row r="58" spans="1:18" s="2044" customFormat="1" ht="29.25" thickBot="1">
      <c r="A58" s="2081"/>
      <c r="B58" s="2082"/>
      <c r="C58" s="2082"/>
      <c r="I58" s="3116" t="s">
        <v>2357</v>
      </c>
      <c r="J58" s="3117" t="str">
        <f ca="1">IF(OR(M48="住宅",J52&lt;L49,J57="是"),"——",J52-L49)</f>
        <v>——</v>
      </c>
      <c r="K58" s="3078"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6" t="s">
        <v>2358</v>
      </c>
      <c r="J59" s="3054" t="e">
        <f ca="1">IF(J56&lt;0.4,0.4,J56)</f>
        <v>#VALUE!</v>
      </c>
      <c r="K59" s="3078"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6" t="s">
        <v>2359</v>
      </c>
      <c r="J60" s="3117" t="str">
        <f ca="1">IF(OR(M48="住宅",J52&lt;L49,J57="是"),"——",ROUND(C30*J59,0))</f>
        <v>——</v>
      </c>
      <c r="K60" s="3078"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1" t="s">
        <v>2366</v>
      </c>
      <c r="J63" s="3122" t="s">
        <v>2367</v>
      </c>
      <c r="K63" s="3122" t="s">
        <v>2368</v>
      </c>
      <c r="L63" s="3122" t="s">
        <v>2349</v>
      </c>
      <c r="M63" s="3123" t="s">
        <v>2943</v>
      </c>
      <c r="O63" s="2365" t="s">
        <v>2387</v>
      </c>
      <c r="P63" s="2363" t="s">
        <v>2395</v>
      </c>
      <c r="Q63" s="2364">
        <f ca="1">L60</f>
        <v>0</v>
      </c>
      <c r="R63" s="2367" t="s">
        <v>2396</v>
      </c>
    </row>
    <row r="64" spans="1:18" s="2044" customFormat="1" ht="15.75"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5" thickBot="1">
      <c r="A65" s="2081"/>
      <c r="B65" s="2082"/>
      <c r="C65" s="2082"/>
      <c r="I65" s="3121" t="s">
        <v>2370</v>
      </c>
      <c r="J65" s="3122">
        <v>50</v>
      </c>
      <c r="K65" s="3122">
        <v>35</v>
      </c>
      <c r="L65" s="3122">
        <v>60</v>
      </c>
      <c r="M65" s="845">
        <v>0</v>
      </c>
      <c r="O65" s="2368" t="s">
        <v>2414</v>
      </c>
      <c r="P65" s="1578"/>
      <c r="Q65" s="1589"/>
      <c r="R65" s="1578"/>
    </row>
    <row r="66" spans="1:18" s="2044" customFormat="1" ht="15.75"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7" zoomScale="80" zoomScaleNormal="80" workbookViewId="0">
      <selection activeCell="J70" sqref="J7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1724</v>
      </c>
      <c r="B1" s="737"/>
      <c r="C1" s="772" t="s">
        <v>2998</v>
      </c>
      <c r="D1" s="3077" t="s">
        <v>3263</v>
      </c>
      <c r="E1" s="2351" t="s">
        <v>2373</v>
      </c>
      <c r="F1" s="2352">
        <f ca="1">J53</f>
        <v>35.03</v>
      </c>
      <c r="G1" s="773">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1725</v>
      </c>
      <c r="B2" s="774">
        <f ca="1">C40+J29+L46</f>
        <v>54631</v>
      </c>
      <c r="C2" s="2042"/>
      <c r="D2" s="2040"/>
      <c r="E2" s="2041"/>
      <c r="F2" s="2041"/>
      <c r="G2" s="1576"/>
      <c r="H2" s="2042"/>
      <c r="I2" s="2042"/>
      <c r="J2" s="2042"/>
      <c r="K2" s="2043"/>
      <c r="L2" s="2042"/>
      <c r="M2" s="2042"/>
    </row>
    <row r="3" spans="1:33" ht="18" customHeight="1" thickBot="1">
      <c r="A3" s="832" t="s">
        <v>1726</v>
      </c>
      <c r="B3" s="833">
        <f ca="1">IF(ISERROR(B2*10000/F43),0,ROUND(B2*10000/F43,0))</f>
        <v>5892</v>
      </c>
      <c r="C3" s="2042"/>
      <c r="D3" s="2040"/>
      <c r="E3" s="2041"/>
      <c r="F3" s="2041"/>
      <c r="G3" s="1576"/>
      <c r="H3" s="775" t="s">
        <v>695</v>
      </c>
      <c r="I3" s="1358"/>
      <c r="J3" s="1358"/>
      <c r="K3" s="1577"/>
      <c r="L3" s="1358"/>
      <c r="M3" s="1358"/>
    </row>
    <row r="4" spans="1:33" ht="18" customHeight="1">
      <c r="A4" s="776" t="s">
        <v>1727</v>
      </c>
      <c r="B4" s="777" t="s">
        <v>1728</v>
      </c>
      <c r="C4" s="777" t="s">
        <v>1729</v>
      </c>
      <c r="D4" s="777" t="s">
        <v>633</v>
      </c>
      <c r="E4" s="778" t="s">
        <v>1730</v>
      </c>
      <c r="F4" s="779"/>
      <c r="G4" s="1578"/>
      <c r="H4" s="776" t="s">
        <v>1731</v>
      </c>
      <c r="I4" s="777" t="s">
        <v>1732</v>
      </c>
      <c r="J4" s="777" t="s">
        <v>1733</v>
      </c>
      <c r="K4" s="777" t="s">
        <v>1734</v>
      </c>
      <c r="L4" s="778" t="s">
        <v>1735</v>
      </c>
      <c r="M4" s="779"/>
    </row>
    <row r="5" spans="1:33" ht="18" customHeight="1">
      <c r="A5" s="780">
        <v>1</v>
      </c>
      <c r="B5" s="781" t="s">
        <v>2457</v>
      </c>
      <c r="C5" s="55">
        <f ca="1">C6+C10+C12</f>
        <v>4027</v>
      </c>
      <c r="D5" s="2460" t="s">
        <v>2460</v>
      </c>
      <c r="E5" s="2454"/>
      <c r="F5" s="2455"/>
      <c r="G5" s="1578"/>
      <c r="H5" s="780">
        <v>1</v>
      </c>
      <c r="I5" s="781" t="s">
        <v>2457</v>
      </c>
      <c r="J5" s="55">
        <f ca="1">J6+J10+J12</f>
        <v>0</v>
      </c>
      <c r="K5" s="2460" t="s">
        <v>2460</v>
      </c>
      <c r="L5" s="2454"/>
      <c r="M5" s="2455"/>
    </row>
    <row r="6" spans="1:33" ht="18" customHeight="1">
      <c r="A6" s="1815" t="s">
        <v>1823</v>
      </c>
      <c r="B6" s="3460" t="s">
        <v>2462</v>
      </c>
      <c r="C6" s="782">
        <f ca="1">ROUND(F6*F8*F7*(1-F9)/10000,0)</f>
        <v>4027</v>
      </c>
      <c r="D6" s="2461" t="s">
        <v>2461</v>
      </c>
      <c r="E6" s="783" t="s">
        <v>1737</v>
      </c>
      <c r="F6" s="784">
        <f ca="1">INDIRECT("'数据-取费表'!u"&amp;$G$1)</f>
        <v>1.4</v>
      </c>
      <c r="G6" s="1578"/>
      <c r="H6" s="2468" t="s">
        <v>2467</v>
      </c>
      <c r="I6" s="3460" t="s">
        <v>2462</v>
      </c>
      <c r="J6" s="782">
        <f ca="1">ROUND(M6*M8*M7*(1-M9)/10000,0)</f>
        <v>0</v>
      </c>
      <c r="K6" s="340" t="s">
        <v>1736</v>
      </c>
      <c r="L6" s="783" t="s">
        <v>1737</v>
      </c>
      <c r="M6" s="784">
        <f ca="1">INDIRECT("'数据-取费表'!z"&amp;$G$1)</f>
        <v>0</v>
      </c>
    </row>
    <row r="7" spans="1:33" ht="18" customHeight="1">
      <c r="A7" s="2464"/>
      <c r="B7" s="3461"/>
      <c r="C7" s="787"/>
      <c r="D7" s="788"/>
      <c r="E7" s="783" t="s">
        <v>1738</v>
      </c>
      <c r="F7" s="784">
        <f ca="1">IF(INDIRECT("'数据-取费表'!ah"&amp;$G$1)="",INDIRECT("'数据-取费表'!k"&amp;$G$1),INDIRECT("'数据-取费表'!ah"&amp;$G$1))</f>
        <v>92723.37</v>
      </c>
      <c r="G7" s="1578"/>
      <c r="H7" s="2453"/>
      <c r="I7" s="3461"/>
      <c r="J7" s="787"/>
      <c r="K7" s="788"/>
      <c r="L7" s="783" t="s">
        <v>1738</v>
      </c>
      <c r="M7" s="784">
        <f ca="1">F7</f>
        <v>92723.37</v>
      </c>
    </row>
    <row r="8" spans="1:33" ht="18" customHeight="1">
      <c r="A8" s="2457"/>
      <c r="B8" s="3462"/>
      <c r="C8" s="787"/>
      <c r="D8" s="788"/>
      <c r="E8" s="783" t="s">
        <v>1739</v>
      </c>
      <c r="F8" s="784">
        <f ca="1">INDIRECT("'数据-取费表'!ai"&amp;$G$1)</f>
        <v>365</v>
      </c>
      <c r="G8" s="1578"/>
      <c r="H8" s="2453"/>
      <c r="I8" s="3462"/>
      <c r="J8" s="787"/>
      <c r="K8" s="788"/>
      <c r="L8" s="783" t="s">
        <v>1739</v>
      </c>
      <c r="M8" s="784">
        <f ca="1">INDIRECT("'数据-取费表'!ai"&amp;$G$1)</f>
        <v>365</v>
      </c>
    </row>
    <row r="9" spans="1:33" ht="18" customHeight="1">
      <c r="A9" s="785"/>
      <c r="B9" s="3463"/>
      <c r="C9" s="787"/>
      <c r="D9" s="788"/>
      <c r="E9" s="783" t="s">
        <v>1740</v>
      </c>
      <c r="F9" s="793">
        <f ca="1">INDIRECT("'数据-取费表'!w"&amp;$G$1)</f>
        <v>0.15</v>
      </c>
      <c r="G9" s="1578"/>
      <c r="H9" s="2469"/>
      <c r="I9" s="3462"/>
      <c r="J9" s="787"/>
      <c r="K9" s="788"/>
      <c r="L9" s="794" t="s">
        <v>1740</v>
      </c>
      <c r="M9" s="795">
        <f ca="1">INDIRECT("'数据-取费表'!ab"&amp;$G$1)</f>
        <v>0</v>
      </c>
    </row>
    <row r="10" spans="1:33" ht="18" customHeight="1">
      <c r="A10" s="1815" t="s">
        <v>2465</v>
      </c>
      <c r="B10" s="2458" t="s">
        <v>2458</v>
      </c>
      <c r="C10" s="798">
        <f ca="1">ROUND(IF(F10="押一",C6/12*F11,IF(F10="押二",C6/12*2*F11,IF(F10="押三",C6/12*3*F11,C11*F11))),0)</f>
        <v>0</v>
      </c>
      <c r="D10" s="2465" t="s">
        <v>2974</v>
      </c>
      <c r="E10" s="2462" t="s">
        <v>2463</v>
      </c>
      <c r="F10" s="2585" t="s">
        <v>3006</v>
      </c>
      <c r="G10" s="1578"/>
      <c r="H10" s="2525" t="s">
        <v>2468</v>
      </c>
      <c r="I10" s="2530" t="s">
        <v>2458</v>
      </c>
      <c r="J10" s="782">
        <f ca="1">ROUND(IF(M10="押一",J6/12*M11,IF(M10="押二",J6/12*2*M11,IF(M10="押三",J6/12*3*M11,J11*M11))),0)</f>
        <v>0</v>
      </c>
      <c r="K10" s="2465" t="s">
        <v>2974</v>
      </c>
      <c r="L10" s="2462" t="s">
        <v>2463</v>
      </c>
      <c r="M10" s="2585"/>
    </row>
    <row r="11" spans="1:33" ht="18" customHeight="1">
      <c r="A11" s="789"/>
      <c r="B11" s="2459" t="s">
        <v>2572</v>
      </c>
      <c r="C11" s="2463"/>
      <c r="D11" s="788"/>
      <c r="E11" s="2462" t="s">
        <v>2464</v>
      </c>
      <c r="F11" s="795">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1">
        <f ca="1">ROUND(C29*F13,0)</f>
        <v>42876</v>
      </c>
      <c r="D13" s="1819" t="s">
        <v>2296</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3" t="s">
        <v>645</v>
      </c>
      <c r="C14" s="803">
        <f ca="1">INDIRECT("'数据-取费表'!m"&amp;$G$1)+INDIRECT("'数据-取费表'!t"&amp;$G$1)</f>
        <v>25963</v>
      </c>
      <c r="D14" s="1964" t="s">
        <v>1744</v>
      </c>
      <c r="E14" s="1965"/>
      <c r="F14" s="804"/>
      <c r="G14" s="1578"/>
      <c r="H14" s="1634" t="s">
        <v>1829</v>
      </c>
      <c r="I14" s="2216" t="s">
        <v>2825</v>
      </c>
      <c r="J14" s="53">
        <f ca="1">C29</f>
        <v>42876</v>
      </c>
      <c r="K14" s="26"/>
      <c r="L14" s="800"/>
      <c r="M14" s="801"/>
    </row>
    <row r="15" spans="1:33" s="2049" customFormat="1" ht="18" customHeight="1" thickBot="1">
      <c r="A15" s="1633" t="s">
        <v>1884</v>
      </c>
      <c r="B15" s="783" t="s">
        <v>647</v>
      </c>
      <c r="C15" s="53">
        <f ca="1">ROUND(C14*F15,0)</f>
        <v>1298</v>
      </c>
      <c r="D15" s="805" t="s">
        <v>1745</v>
      </c>
      <c r="E15" s="805" t="s">
        <v>1746</v>
      </c>
      <c r="F15" s="806">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3" t="s">
        <v>650</v>
      </c>
      <c r="C16" s="53">
        <f ca="1">ROUND(INDIRECT("'数据-取费表'!m"&amp;$G$1)*F16,0)</f>
        <v>0</v>
      </c>
      <c r="D16" s="783" t="s">
        <v>1745</v>
      </c>
      <c r="E16" s="783" t="s">
        <v>1746</v>
      </c>
      <c r="F16" s="808">
        <f ca="1">IF(INDIRECT("'数据-取费表'!c"&amp;$G$1)="住宅",'数据-取费表'!B34,0)</f>
        <v>0</v>
      </c>
      <c r="G16" s="1578"/>
      <c r="H16" s="1814" t="s">
        <v>1747</v>
      </c>
      <c r="I16" s="1812" t="s">
        <v>1748</v>
      </c>
      <c r="J16" s="791">
        <f ca="1">ROUND(J17+J22+J23+J24,0)</f>
        <v>4276</v>
      </c>
      <c r="K16" s="1806" t="s">
        <v>1749</v>
      </c>
      <c r="L16" s="2450"/>
      <c r="M16" s="2455"/>
    </row>
    <row r="17" spans="1:33" s="2049" customFormat="1" ht="18" customHeight="1">
      <c r="A17" s="1633" t="s">
        <v>1886</v>
      </c>
      <c r="B17" s="783" t="s">
        <v>653</v>
      </c>
      <c r="C17" s="53">
        <f ca="1">ROUND(F17*(F43+INDIRECT("'数据-取费表'!S"&amp;$G$1))/10000,0)</f>
        <v>1854</v>
      </c>
      <c r="D17" s="783" t="s">
        <v>1750</v>
      </c>
      <c r="E17" s="783" t="s">
        <v>1751</v>
      </c>
      <c r="F17" s="56">
        <f>'数据-取费表'!B35</f>
        <v>200</v>
      </c>
      <c r="G17" s="1579"/>
      <c r="H17" s="1634" t="s">
        <v>1829</v>
      </c>
      <c r="I17" s="783" t="s">
        <v>656</v>
      </c>
      <c r="J17" s="53">
        <f ca="1">ROUND(IF(项目基本情况!B11="自然人",J6*M17/(1+'数据-取费表'!C42),J18+J19+J20),0)</f>
        <v>3633</v>
      </c>
      <c r="K17" s="2449" t="s">
        <v>1752</v>
      </c>
      <c r="L17" s="2448" t="s">
        <v>1753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3" t="s">
        <v>659</v>
      </c>
      <c r="C18" s="53">
        <f ca="1">ROUND(C14*F18,0)</f>
        <v>389</v>
      </c>
      <c r="D18" s="783" t="s">
        <v>1745</v>
      </c>
      <c r="E18" s="783" t="s">
        <v>1746</v>
      </c>
      <c r="F18" s="808">
        <f>'数据-取费表'!B36</f>
        <v>1.4999999999999999E-2</v>
      </c>
      <c r="G18" s="1579"/>
      <c r="H18" s="1633" t="s">
        <v>1883</v>
      </c>
      <c r="I18" s="783" t="s">
        <v>1754</v>
      </c>
      <c r="J18" s="53">
        <f ca="1">ROUND(J6*M18/(1+'数据-取费表'!C42),1)</f>
        <v>0</v>
      </c>
      <c r="K18" s="2448" t="s">
        <v>1755</v>
      </c>
      <c r="L18" s="783" t="s">
        <v>1746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3" t="s">
        <v>662</v>
      </c>
      <c r="C19" s="53">
        <f ca="1">SUM(C14:C18)</f>
        <v>29504</v>
      </c>
      <c r="D19" s="260" t="s">
        <v>1756</v>
      </c>
      <c r="E19" s="1967"/>
      <c r="F19" s="56"/>
      <c r="G19" s="1578"/>
      <c r="H19" s="1633" t="s">
        <v>1884</v>
      </c>
      <c r="I19" s="783" t="s">
        <v>1757</v>
      </c>
      <c r="J19" s="53">
        <f ca="1">IF(K19="按租金收入计税",ROUND(J6*M19/(1+'数据-取费表'!C42),1),ROUND(C29*F33*0.7,1))</f>
        <v>3601.6</v>
      </c>
      <c r="K19" s="810" t="s">
        <v>665</v>
      </c>
      <c r="L19" s="783" t="s">
        <v>1746</v>
      </c>
      <c r="M19" s="808">
        <f>IF(K19="按租金收入计税",'数据-取费表'!B51,'数据-取费表'!B50)</f>
        <v>1.2E-2</v>
      </c>
    </row>
    <row r="20" spans="1:33" s="2049" customFormat="1" ht="18" customHeight="1">
      <c r="A20" s="1634" t="s">
        <v>1888</v>
      </c>
      <c r="B20" s="783" t="s">
        <v>666</v>
      </c>
      <c r="C20" s="53">
        <f ca="1">ROUND(C19*F20,0)</f>
        <v>443</v>
      </c>
      <c r="D20" s="811" t="s">
        <v>1758</v>
      </c>
      <c r="E20" s="783" t="s">
        <v>1746</v>
      </c>
      <c r="F20" s="808">
        <f>'数据-取费表'!B37</f>
        <v>1.4999999999999999E-2</v>
      </c>
      <c r="G20" s="1579"/>
      <c r="H20" s="1636" t="s">
        <v>1879</v>
      </c>
      <c r="I20" s="340" t="s">
        <v>1759</v>
      </c>
      <c r="J20" s="54">
        <f ca="1">ROUND(M20*M21/10000,0)</f>
        <v>31</v>
      </c>
      <c r="K20" s="813" t="s">
        <v>1760</v>
      </c>
      <c r="L20" s="783" t="s">
        <v>1761</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3" t="s">
        <v>1762</v>
      </c>
      <c r="C21" s="53" t="s">
        <v>1763</v>
      </c>
      <c r="D21" s="811" t="s">
        <v>2297</v>
      </c>
      <c r="E21" s="783" t="s">
        <v>1764</v>
      </c>
      <c r="F21" s="808">
        <f>'数据-取费表'!B38</f>
        <v>2.5000000000000001E-2</v>
      </c>
      <c r="G21" s="1579"/>
      <c r="H21" s="2470"/>
      <c r="I21" s="792"/>
      <c r="J21" s="69"/>
      <c r="K21" s="815"/>
      <c r="L21" s="783" t="s">
        <v>1765</v>
      </c>
      <c r="M21" s="784">
        <f ca="1">INDIRECT("'数据-取费表'!r"&amp;$G$1)</f>
        <v>61815.58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3" t="s">
        <v>1766</v>
      </c>
      <c r="C22" s="53"/>
      <c r="D22" s="2536" t="str">
        <f>IF(F23&lt;=1,"单利计息。","复利计息。")&amp;"建造成本、管理费用、销售费用产生的利息。"</f>
        <v>复利计息。建造成本、管理费用、销售费用产生的利息。</v>
      </c>
      <c r="E22" s="1967"/>
      <c r="F22" s="56"/>
      <c r="G22" s="1578"/>
      <c r="H22" s="1634" t="s">
        <v>1888</v>
      </c>
      <c r="I22" s="783" t="s">
        <v>1767</v>
      </c>
      <c r="J22" s="53">
        <f ca="1">ROUND(J14*M22,0)</f>
        <v>643</v>
      </c>
      <c r="K22" s="2448" t="s">
        <v>1768</v>
      </c>
      <c r="L22" s="783" t="s">
        <v>1746</v>
      </c>
      <c r="M22" s="816">
        <f ca="1">INDIRECT("'数据-取费表'!Ak"&amp;$G$1)</f>
        <v>1.4999999999999999E-2</v>
      </c>
    </row>
    <row r="23" spans="1:33" s="2049" customFormat="1" ht="18" customHeight="1">
      <c r="A23" s="1633" t="s">
        <v>1830</v>
      </c>
      <c r="B23" s="783" t="s">
        <v>2534</v>
      </c>
      <c r="C23" s="53">
        <f ca="1">ROUND(IF('数据-取费表'!B22&lt;=1,(C19+C20)*F24*F23/2,(C19+C20)*(POWER((1+F24),F23/2)-1)),0)</f>
        <v>1789</v>
      </c>
      <c r="D23" s="2535" t="str">
        <f>IF(F23&lt;=1,"(建造成本+管理费用)×利率×(建设周期÷2)","(建造成本+管理费用)×((1+利率)^(建设周期÷2)-1)")</f>
        <v>(建造成本+管理费用)×((1+利率)^(建设周期÷2)-1)</v>
      </c>
      <c r="E23" s="783" t="s">
        <v>1769</v>
      </c>
      <c r="F23" s="639">
        <f>'数据-取费表'!B20</f>
        <v>2.5</v>
      </c>
      <c r="G23" s="1579"/>
      <c r="H23" s="1634" t="s">
        <v>1889</v>
      </c>
      <c r="I23" s="783" t="s">
        <v>679</v>
      </c>
      <c r="J23" s="53">
        <f ca="1">ROUND(J13*M23,0)</f>
        <v>0</v>
      </c>
      <c r="K23" s="2448" t="s">
        <v>1770</v>
      </c>
      <c r="L23" s="783" t="s">
        <v>1746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3" t="s">
        <v>1771</v>
      </c>
      <c r="C24" s="53">
        <f ca="1">ROUND(IF('数据-取费表'!B22&lt;=1,F21*F24*F23/2,F21*(POWER((1+F24),F23/2)-1)),4)</f>
        <v>1.5E-3</v>
      </c>
      <c r="D24" s="2535" t="str">
        <f>IF(F23&lt;=1,"销售费用×利率×(建设周期÷2)","销售费用×((1+利率)^(建设周期÷2)-1)")</f>
        <v>销售费用×((1+利率)^(建设周期÷2)-1)</v>
      </c>
      <c r="E24" s="783" t="s">
        <v>1772</v>
      </c>
      <c r="F24" s="818">
        <f ca="1">'数据-取费表'!B40</f>
        <v>4.7500000000000001E-2</v>
      </c>
      <c r="G24" s="1579"/>
      <c r="H24" s="2515" t="s">
        <v>1890</v>
      </c>
      <c r="I24" s="2510" t="s">
        <v>666</v>
      </c>
      <c r="J24" s="2508">
        <f ca="1">ROUND(J5*M24,0)</f>
        <v>0</v>
      </c>
      <c r="K24" s="2509" t="s">
        <v>1773</v>
      </c>
      <c r="L24" s="2510" t="s">
        <v>1746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3" t="s">
        <v>684</v>
      </c>
      <c r="C25" s="53"/>
      <c r="D25" s="260" t="s">
        <v>1774</v>
      </c>
      <c r="E25" s="1967"/>
      <c r="F25" s="56"/>
      <c r="G25" s="1578"/>
      <c r="H25" s="1814" t="s">
        <v>1775</v>
      </c>
      <c r="I25" s="2962" t="s">
        <v>2821</v>
      </c>
      <c r="J25" s="791">
        <f ca="1">J5-J16</f>
        <v>-4276</v>
      </c>
      <c r="K25" s="2512" t="s">
        <v>1776</v>
      </c>
      <c r="L25" s="2513"/>
      <c r="M25" s="2514"/>
    </row>
    <row r="26" spans="1:33" ht="18" customHeight="1">
      <c r="A26" s="1633" t="s">
        <v>1830</v>
      </c>
      <c r="B26" s="783" t="s">
        <v>2437</v>
      </c>
      <c r="C26" s="53">
        <f ca="1">ROUND((C19+C20)*F26,0)</f>
        <v>7487</v>
      </c>
      <c r="D26" s="811" t="s">
        <v>1777</v>
      </c>
      <c r="E26" s="794" t="s">
        <v>1778</v>
      </c>
      <c r="F26" s="793">
        <f ca="1">INDIRECT("'数据-取费表'!q"&amp;$G$1)</f>
        <v>0.25</v>
      </c>
      <c r="G26" s="1578"/>
      <c r="H26" s="2466" t="s">
        <v>1779</v>
      </c>
      <c r="I26" s="2217" t="s">
        <v>2826</v>
      </c>
      <c r="J26" s="782">
        <f ca="1">IF(J5&lt;&gt;0,ROUND(J25*(1-((1+M28)/(1+M26))^M27)/(M26-M28),0),0)</f>
        <v>0</v>
      </c>
      <c r="K26" s="813" t="s">
        <v>1780</v>
      </c>
      <c r="L26" s="783" t="s">
        <v>2418</v>
      </c>
      <c r="M26" s="793">
        <f ca="1">INDIRECT("'数据-取费表'!I"&amp;$G$1)</f>
        <v>5.5E-2</v>
      </c>
    </row>
    <row r="27" spans="1:33" ht="18" customHeight="1">
      <c r="A27" s="1633" t="s">
        <v>1831</v>
      </c>
      <c r="B27" s="783" t="s">
        <v>686</v>
      </c>
      <c r="C27" s="53">
        <f ca="1">ROUND(F21*F26,4)</f>
        <v>6.3E-3</v>
      </c>
      <c r="D27" s="811" t="s">
        <v>1781</v>
      </c>
      <c r="E27" s="805"/>
      <c r="F27" s="806"/>
      <c r="G27" s="1578"/>
      <c r="H27" s="2467"/>
      <c r="I27" s="786"/>
      <c r="J27" s="787"/>
      <c r="K27" s="820" t="s">
        <v>1782</v>
      </c>
      <c r="L27" s="783" t="s">
        <v>1783</v>
      </c>
      <c r="M27" s="821">
        <f ca="1">INDIRECT("'数据-取费表'!ag"&amp;$G$1)</f>
        <v>0</v>
      </c>
    </row>
    <row r="28" spans="1:33" s="2049" customFormat="1" ht="18" customHeight="1">
      <c r="A28" s="1635" t="s">
        <v>1840</v>
      </c>
      <c r="B28" s="783" t="s">
        <v>687</v>
      </c>
      <c r="C28" s="53">
        <f>ROUND(F28/(1+'数据-取费表'!C42),4)</f>
        <v>5.2400000000000002E-2</v>
      </c>
      <c r="D28" s="811" t="s">
        <v>2298</v>
      </c>
      <c r="E28" s="783" t="s">
        <v>1784</v>
      </c>
      <c r="F28" s="808">
        <f>'数据-取费表'!B41</f>
        <v>5.5000000000000007E-2</v>
      </c>
      <c r="G28" s="1579"/>
      <c r="H28" s="1814"/>
      <c r="I28" s="790"/>
      <c r="J28" s="791"/>
      <c r="K28" s="815"/>
      <c r="L28" s="783" t="s">
        <v>1785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42876</v>
      </c>
      <c r="D29" s="2509"/>
      <c r="E29" s="2510"/>
      <c r="F29" s="2511"/>
      <c r="G29" s="1579"/>
      <c r="H29" s="822" t="s">
        <v>1786</v>
      </c>
      <c r="I29" s="823" t="s">
        <v>1787</v>
      </c>
      <c r="J29" s="824">
        <f ca="1">ROUND(J26/(1+F40)^F41,0)</f>
        <v>0</v>
      </c>
      <c r="K29" s="825" t="s">
        <v>1788</v>
      </c>
      <c r="L29" s="826"/>
      <c r="M29" s="827">
        <f ca="1">INDIRECT("'数据-取费表'!k"&amp;$G$1)</f>
        <v>92723.37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1">
        <f ca="1">ROUND(C31+C36+C37+C38,0)</f>
        <v>1450</v>
      </c>
      <c r="D30" s="1806" t="s">
        <v>1790</v>
      </c>
      <c r="E30" s="2450"/>
      <c r="F30" s="2455"/>
      <c r="G30" s="2047"/>
      <c r="H30" s="2050"/>
      <c r="I30" s="2051"/>
      <c r="J30" s="2052"/>
      <c r="K30" s="2053"/>
      <c r="L30" s="2054"/>
      <c r="M30" s="2055"/>
    </row>
    <row r="31" spans="1:33" ht="18" customHeight="1">
      <c r="A31" s="1634" t="s">
        <v>1829</v>
      </c>
      <c r="B31" s="783" t="s">
        <v>656</v>
      </c>
      <c r="C31" s="53">
        <f ca="1">ROUND(IF(项目基本情况!B11="自然人",C6*F31/(1+'数据-取费表'!C42),C32+C33+C34),1)</f>
        <v>702</v>
      </c>
      <c r="D31" s="1964" t="s">
        <v>1791</v>
      </c>
      <c r="E31" s="1962" t="s">
        <v>1792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1830</v>
      </c>
      <c r="B32" s="783" t="s">
        <v>1793</v>
      </c>
      <c r="C32" s="53">
        <f ca="1">ROUND(C6*F32/(1+'数据-取费表'!C42),1)</f>
        <v>210.9</v>
      </c>
      <c r="D32" s="1962" t="s">
        <v>1794</v>
      </c>
      <c r="E32" s="783" t="s">
        <v>1795</v>
      </c>
      <c r="F32" s="808">
        <f>'数据-取费表'!B41</f>
        <v>5.5000000000000007E-2</v>
      </c>
      <c r="G32" s="2047"/>
      <c r="H32" s="2056"/>
      <c r="I32" s="2057"/>
      <c r="J32" s="2058"/>
      <c r="K32" s="2059"/>
      <c r="L32" s="2060"/>
      <c r="M32" s="2061"/>
    </row>
    <row r="33" spans="1:18" ht="18" customHeight="1">
      <c r="A33" s="1633" t="s">
        <v>1831</v>
      </c>
      <c r="B33" s="783" t="s">
        <v>1796</v>
      </c>
      <c r="C33" s="53">
        <f ca="1">IF(D33="按租金收入计税",ROUND(C6*F33/(1+'数据-取费表'!C42),1),IF(D33="按房产原值计税",ROUND(C29*F33*0.7,1),INDIRECT("'数据-取费表'!Aj"&amp;$G$1)))</f>
        <v>460.2</v>
      </c>
      <c r="D33" s="810" t="s">
        <v>3007</v>
      </c>
      <c r="E33" s="783" t="s">
        <v>1795</v>
      </c>
      <c r="F33" s="808">
        <f>IF(D33="按租金收入计税",'数据-取费表'!B51,'数据-取费表'!B50)</f>
        <v>0.12</v>
      </c>
      <c r="G33" s="2047"/>
      <c r="H33" s="2062"/>
      <c r="I33" s="2062"/>
      <c r="J33" s="2062"/>
      <c r="K33" s="2063"/>
      <c r="L33" s="2062"/>
      <c r="M33" s="2062"/>
    </row>
    <row r="34" spans="1:18" ht="18" customHeight="1">
      <c r="A34" s="1636" t="s">
        <v>1832</v>
      </c>
      <c r="B34" s="340" t="s">
        <v>1797</v>
      </c>
      <c r="C34" s="54">
        <f ca="1">ROUND(F34*F35/10000,1)</f>
        <v>30.9</v>
      </c>
      <c r="D34" s="813" t="s">
        <v>1798</v>
      </c>
      <c r="E34" s="783" t="s">
        <v>1799</v>
      </c>
      <c r="F34" s="639">
        <f>'数据-取费表'!B52</f>
        <v>5</v>
      </c>
      <c r="G34" s="2047"/>
      <c r="H34" s="2050"/>
      <c r="I34" s="834" t="s">
        <v>1812</v>
      </c>
      <c r="J34" s="835"/>
      <c r="K34" s="2065"/>
      <c r="L34" s="2064"/>
      <c r="M34" s="2064"/>
    </row>
    <row r="35" spans="1:18" ht="18" customHeight="1">
      <c r="A35" s="814"/>
      <c r="B35" s="792"/>
      <c r="C35" s="69"/>
      <c r="D35" s="815"/>
      <c r="E35" s="783" t="s">
        <v>1800</v>
      </c>
      <c r="F35" s="784">
        <f ca="1">INDIRECT("'数据-取费表'!r"&amp;$G$1)</f>
        <v>61815.58</v>
      </c>
      <c r="G35" s="2047"/>
      <c r="H35" s="2050"/>
      <c r="I35" s="836" t="s">
        <v>1813</v>
      </c>
      <c r="J35" s="837">
        <f ca="1">ROUND(C13*J36,0)</f>
        <v>3644</v>
      </c>
      <c r="K35" s="2063"/>
      <c r="L35" s="2062"/>
      <c r="M35" s="2062"/>
    </row>
    <row r="36" spans="1:18" ht="18" customHeight="1">
      <c r="A36" s="1634" t="s">
        <v>1888</v>
      </c>
      <c r="B36" s="783" t="s">
        <v>1801</v>
      </c>
      <c r="C36" s="53">
        <f ca="1">ROUND(C29*F36,1)</f>
        <v>643.1</v>
      </c>
      <c r="D36" s="1962" t="s">
        <v>1802</v>
      </c>
      <c r="E36" s="783" t="s">
        <v>1795</v>
      </c>
      <c r="F36" s="816">
        <f ca="1">INDIRECT("'数据-取费表'!Ak"&amp;$G$1)</f>
        <v>1.4999999999999999E-2</v>
      </c>
      <c r="G36" s="2047"/>
      <c r="H36" s="2062"/>
      <c r="I36" s="838" t="s">
        <v>1814</v>
      </c>
      <c r="J36" s="839">
        <f ca="1">INDIRECT("'数据-取费表'!j"&amp;$G$1)</f>
        <v>8.5000000000000006E-2</v>
      </c>
      <c r="K36" s="2067"/>
      <c r="L36" s="2062"/>
      <c r="M36" s="2062"/>
    </row>
    <row r="37" spans="1:18" ht="18" customHeight="1">
      <c r="A37" s="1634" t="s">
        <v>1889</v>
      </c>
      <c r="B37" s="783" t="s">
        <v>679</v>
      </c>
      <c r="C37" s="53">
        <f ca="1">ROUND(C13*F37,1)</f>
        <v>64.3</v>
      </c>
      <c r="D37" s="1962" t="s">
        <v>1803</v>
      </c>
      <c r="E37" s="783" t="s">
        <v>1795</v>
      </c>
      <c r="F37" s="817">
        <f ca="1">INDIRECT("'数据-取费表'!Al"&amp;$G$1)</f>
        <v>1.5E-3</v>
      </c>
      <c r="G37" s="2047"/>
      <c r="H37" s="2062"/>
      <c r="I37" s="840" t="s">
        <v>1815</v>
      </c>
      <c r="J37" s="841"/>
      <c r="K37" s="2067"/>
      <c r="L37" s="2062"/>
      <c r="M37" s="2062"/>
    </row>
    <row r="38" spans="1:18" ht="18" customHeight="1" thickBot="1">
      <c r="A38" s="2515" t="s">
        <v>1890</v>
      </c>
      <c r="B38" s="2510" t="s">
        <v>666</v>
      </c>
      <c r="C38" s="2508">
        <f ca="1">ROUND(C5*F38,1)</f>
        <v>40.299999999999997</v>
      </c>
      <c r="D38" s="2509" t="s">
        <v>1804</v>
      </c>
      <c r="E38" s="2510" t="s">
        <v>1795</v>
      </c>
      <c r="F38" s="2506">
        <f ca="1">INDIRECT("'数据-取费表'!Am"&amp;$G$1)</f>
        <v>0.01</v>
      </c>
      <c r="G38" s="2047"/>
      <c r="H38" s="2062"/>
      <c r="I38" s="842" t="s">
        <v>1816</v>
      </c>
      <c r="J38" s="843"/>
      <c r="K38" s="2068"/>
      <c r="L38" s="2062"/>
      <c r="M38" s="2062"/>
    </row>
    <row r="39" spans="1:18" ht="24.6" customHeight="1" thickTop="1">
      <c r="A39" s="1814" t="s">
        <v>1893</v>
      </c>
      <c r="B39" s="2962" t="s">
        <v>2821</v>
      </c>
      <c r="C39" s="791">
        <f ca="1">C5-C30</f>
        <v>2577</v>
      </c>
      <c r="D39" s="2512" t="s">
        <v>1805</v>
      </c>
      <c r="E39" s="2513"/>
      <c r="F39" s="2514"/>
      <c r="G39" s="2047"/>
      <c r="H39" s="2062"/>
      <c r="I39" s="836" t="s">
        <v>1817</v>
      </c>
      <c r="J39" s="844">
        <f ca="1">ROUND(J35/C39,3)</f>
        <v>1.4139999999999999</v>
      </c>
      <c r="K39" s="2068"/>
      <c r="L39" s="2062"/>
      <c r="M39" s="2062"/>
    </row>
    <row r="40" spans="1:18" ht="18" customHeight="1">
      <c r="A40" s="780" t="s">
        <v>1894</v>
      </c>
      <c r="B40" s="2217" t="s">
        <v>2300</v>
      </c>
      <c r="C40" s="782">
        <f ca="1">ROUND(C39*(1-((1+F42)/(1+F40))^F41)/(F40-F42),0)</f>
        <v>54631</v>
      </c>
      <c r="D40" s="813" t="s">
        <v>1806</v>
      </c>
      <c r="E40" s="783" t="s">
        <v>2418</v>
      </c>
      <c r="F40" s="793">
        <f ca="1">INDIRECT("'数据-取费表'!I"&amp;$G$1)</f>
        <v>5.5E-2</v>
      </c>
      <c r="G40" s="2047"/>
      <c r="H40" s="2047"/>
      <c r="I40" s="836" t="s">
        <v>1818</v>
      </c>
      <c r="J40" s="844">
        <f ca="1">1-J39</f>
        <v>-0.41399999999999992</v>
      </c>
      <c r="K40" s="2068"/>
      <c r="L40" s="2047"/>
      <c r="M40" s="2047"/>
    </row>
    <row r="41" spans="1:18" ht="18" customHeight="1">
      <c r="A41" s="785"/>
      <c r="B41" s="786"/>
      <c r="C41" s="787"/>
      <c r="D41" s="820" t="s">
        <v>1807</v>
      </c>
      <c r="E41" s="783" t="s">
        <v>2964</v>
      </c>
      <c r="F41" s="821">
        <f ca="1">IF(INDIRECT("'数据-取费表'!af"&amp;$G$1)=0,INDIRECT("'数据-取费表'!ae"&amp;$G$1),INDIRECT("'数据-取费表'!af"&amp;$G$1))</f>
        <v>35.03</v>
      </c>
      <c r="G41" s="2047"/>
      <c r="H41" s="1973"/>
      <c r="I41" s="842" t="s">
        <v>1819</v>
      </c>
      <c r="J41" s="845"/>
      <c r="K41" s="2067"/>
      <c r="L41" s="1973"/>
      <c r="M41" s="1973"/>
    </row>
    <row r="42" spans="1:18" ht="18" customHeight="1">
      <c r="A42" s="789"/>
      <c r="B42" s="790"/>
      <c r="C42" s="791"/>
      <c r="D42" s="815"/>
      <c r="E42" s="783" t="s">
        <v>1808</v>
      </c>
      <c r="F42" s="793">
        <f ca="1">INDIRECT("'数据-取费表'!v"&amp;$G$1)</f>
        <v>2.5000000000000001E-2</v>
      </c>
      <c r="G42" s="2047"/>
      <c r="H42" s="1973"/>
      <c r="I42" s="846" t="s">
        <v>1820</v>
      </c>
      <c r="J42" s="844">
        <f ca="1">ROUND(C13/C40,3)</f>
        <v>0.78500000000000003</v>
      </c>
      <c r="K42" s="2067"/>
      <c r="L42" s="1973"/>
      <c r="M42" s="1973"/>
    </row>
    <row r="43" spans="1:18" ht="18" customHeight="1" thickBot="1">
      <c r="A43" s="822" t="s">
        <v>1786</v>
      </c>
      <c r="B43" s="823" t="s">
        <v>1809</v>
      </c>
      <c r="C43" s="824">
        <f ca="1">ROUND(C40*10000/F43,0)</f>
        <v>5892</v>
      </c>
      <c r="D43" s="825" t="s">
        <v>1810</v>
      </c>
      <c r="E43" s="826" t="s">
        <v>1811</v>
      </c>
      <c r="F43" s="827">
        <f ca="1">INDIRECT("'数据-取费表'!k"&amp;$G$1)</f>
        <v>92723.37</v>
      </c>
      <c r="G43" s="2047"/>
      <c r="H43" s="1973"/>
      <c r="I43" s="846" t="s">
        <v>1821</v>
      </c>
      <c r="J43" s="847">
        <f ca="1">1-J42</f>
        <v>0.21499999999999997</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f ca="1">C67-C40</f>
        <v>-65993</v>
      </c>
      <c r="D46" s="2070"/>
      <c r="E46" s="2070"/>
      <c r="F46" s="2070"/>
      <c r="I46" s="2342" t="s">
        <v>2342</v>
      </c>
      <c r="J46" s="2343"/>
      <c r="K46" s="2344"/>
      <c r="L46" s="3108">
        <f>IF(OR(M47="住宅",D1="土地（套用方法）"),0,IF(L48&gt;J51,L60,J60))</f>
        <v>0</v>
      </c>
      <c r="O46" s="2358" t="s">
        <v>2409</v>
      </c>
      <c r="P46" s="1578"/>
      <c r="Q46" s="1589"/>
      <c r="R46" s="1578"/>
    </row>
    <row r="47" spans="1:18" s="2044" customFormat="1" ht="18" customHeight="1" thickBot="1">
      <c r="A47" s="2336">
        <v>1</v>
      </c>
      <c r="B47" s="2337" t="s">
        <v>635</v>
      </c>
      <c r="C47" s="2538">
        <f ca="1">C48+C52+C54</f>
        <v>0</v>
      </c>
      <c r="D47" s="2070"/>
      <c r="E47" s="2070"/>
      <c r="F47" s="2070"/>
      <c r="I47" s="3099" t="s">
        <v>2343</v>
      </c>
      <c r="J47" s="2345" t="s">
        <v>3008</v>
      </c>
      <c r="K47" s="3105" t="s">
        <v>2348</v>
      </c>
      <c r="L47" s="3109">
        <f ca="1">INDIRECT("'数据-取费表'!d"&amp;$G$1)</f>
        <v>40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8" t="s">
        <v>2344</v>
      </c>
      <c r="J48" s="2346" t="s">
        <v>2349</v>
      </c>
      <c r="K48" s="3106" t="s">
        <v>2350</v>
      </c>
      <c r="L48" s="1893">
        <f ca="1">INDIRECT("'数据-取费表'!f"&amp;$G$1)</f>
        <v>37.53</v>
      </c>
      <c r="O48" s="2362" t="s">
        <v>2378</v>
      </c>
      <c r="P48" s="2363" t="s">
        <v>2404</v>
      </c>
      <c r="Q48" s="2364">
        <f ca="1">C40+J29</f>
        <v>54631</v>
      </c>
      <c r="R48" s="2363" t="s">
        <v>2379</v>
      </c>
    </row>
    <row r="49" spans="1:18" s="2044" customFormat="1" ht="18" customHeight="1" thickBot="1">
      <c r="A49" s="785"/>
      <c r="B49" s="786"/>
      <c r="C49" s="787"/>
      <c r="D49" s="788"/>
      <c r="E49" s="783" t="s">
        <v>1738</v>
      </c>
      <c r="F49" s="784">
        <f ca="1">F7</f>
        <v>92723.37</v>
      </c>
      <c r="G49" s="2075"/>
      <c r="H49" s="2078"/>
      <c r="I49" s="3078" t="s">
        <v>2345</v>
      </c>
      <c r="J49" s="2347">
        <v>2022</v>
      </c>
      <c r="K49" s="3107" t="s">
        <v>2351</v>
      </c>
      <c r="L49" s="2348"/>
      <c r="O49" s="2362" t="s">
        <v>2380</v>
      </c>
      <c r="P49" s="2363" t="s">
        <v>2405</v>
      </c>
      <c r="Q49" s="2364" t="str">
        <f ca="1">J60</f>
        <v>0</v>
      </c>
      <c r="R49" s="2363" t="s">
        <v>2381</v>
      </c>
    </row>
    <row r="50" spans="1:18" s="2044" customFormat="1" ht="18" customHeight="1" thickBot="1">
      <c r="A50" s="785"/>
      <c r="B50" s="786"/>
      <c r="C50" s="787"/>
      <c r="D50" s="788"/>
      <c r="E50" s="783" t="s">
        <v>1739</v>
      </c>
      <c r="F50" s="784">
        <f ca="1">F8</f>
        <v>365</v>
      </c>
      <c r="G50" s="2080"/>
      <c r="H50" s="2078"/>
      <c r="I50" s="3078" t="s">
        <v>2346</v>
      </c>
      <c r="J50" s="3103">
        <f>SUMPRODUCT((I63:I65=J47)*(J62:L62=J48)*(J63:L65))</f>
        <v>60</v>
      </c>
      <c r="K50" s="3107" t="s">
        <v>2352</v>
      </c>
      <c r="L50" s="2348"/>
      <c r="O50" s="2365" t="s">
        <v>2382</v>
      </c>
      <c r="P50" s="2363" t="s">
        <v>2406</v>
      </c>
      <c r="Q50" s="2364">
        <f ca="1">C29</f>
        <v>42876</v>
      </c>
      <c r="R50" s="2363" t="s">
        <v>2379</v>
      </c>
    </row>
    <row r="51" spans="1:18" s="2044" customFormat="1" ht="18" customHeight="1" thickBot="1">
      <c r="A51" s="785"/>
      <c r="B51" s="786"/>
      <c r="C51" s="787"/>
      <c r="D51" s="788"/>
      <c r="E51" s="783" t="s">
        <v>640</v>
      </c>
      <c r="F51" s="2335"/>
      <c r="H51" s="2078"/>
      <c r="I51" s="3100" t="s">
        <v>2347</v>
      </c>
      <c r="J51" s="3104">
        <f>IF(J49="",J50,J49+J50-YEAR('数据-取费表'!B2))</f>
        <v>63</v>
      </c>
      <c r="K51" s="3078" t="s">
        <v>2353</v>
      </c>
      <c r="L51" s="3110">
        <f ca="1">ROUND(-PV(INDIRECT("'数据-取费表'!h"&amp;$G$1),L48,(C39-C13*J36),0),0)</f>
        <v>-17928</v>
      </c>
      <c r="O51" s="2365" t="s">
        <v>2383</v>
      </c>
      <c r="P51" s="2363" t="s">
        <v>2384</v>
      </c>
      <c r="Q51" s="2366" t="e">
        <f ca="1">J58</f>
        <v>#VALUE!</v>
      </c>
      <c r="R51" s="2367"/>
    </row>
    <row r="52" spans="1:18" s="2044" customFormat="1" ht="18" customHeight="1" thickBot="1">
      <c r="A52" s="780" t="s">
        <v>2535</v>
      </c>
      <c r="B52" s="2458" t="s">
        <v>2458</v>
      </c>
      <c r="C52" s="798">
        <f ca="1">ROUND(IF(F52="押一",C48/12*F11,IF(F52="押二",C48/12*2*F11,IF(F52="押三",C48/12*3*F11,C53*F11))),0)</f>
        <v>0</v>
      </c>
      <c r="D52" s="2465" t="s">
        <v>2975</v>
      </c>
      <c r="E52" s="2462" t="s">
        <v>2463</v>
      </c>
      <c r="F52" s="2585"/>
      <c r="I52" s="3101" t="s">
        <v>2420</v>
      </c>
      <c r="J52" s="2349">
        <v>0.09</v>
      </c>
      <c r="K52" s="3101" t="s">
        <v>2419</v>
      </c>
      <c r="L52" s="2349"/>
      <c r="O52" s="2365" t="s">
        <v>2385</v>
      </c>
      <c r="P52" s="2363" t="s">
        <v>2386</v>
      </c>
      <c r="Q52" s="2366">
        <f>J52</f>
        <v>0.09</v>
      </c>
      <c r="R52" s="2367"/>
    </row>
    <row r="53" spans="1:18" s="2044" customFormat="1" ht="39.75" customHeight="1" thickBot="1">
      <c r="A53" s="785"/>
      <c r="B53" s="2459" t="s">
        <v>2572</v>
      </c>
      <c r="C53" s="2463"/>
      <c r="D53" s="2465"/>
      <c r="E53" s="2462"/>
      <c r="F53" s="799"/>
      <c r="I53" s="3102" t="s">
        <v>2978</v>
      </c>
      <c r="J53" s="3181">
        <f ca="1">IF(M47="住宅",IF(D1="——",MAX(J51,L48),MAX(J51,L48-'数据-取费表'!B20)),IF(D1="——",MIN(J51,L48),MIN(J51,L48-'数据-取费表'!B20)))</f>
        <v>35.03</v>
      </c>
      <c r="K53" s="3466" t="s">
        <v>2966</v>
      </c>
      <c r="L53" s="3467"/>
      <c r="O53" s="2365" t="s">
        <v>2387</v>
      </c>
      <c r="P53" s="2363" t="s">
        <v>2388</v>
      </c>
      <c r="Q53" s="2364">
        <f ca="1">J53</f>
        <v>35.03</v>
      </c>
      <c r="R53" s="2363" t="s">
        <v>2389</v>
      </c>
    </row>
    <row r="54" spans="1:18" s="2044" customFormat="1" ht="18" customHeight="1" thickBot="1">
      <c r="A54" s="2501" t="s">
        <v>2466</v>
      </c>
      <c r="B54" s="2502" t="s">
        <v>2459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2390</v>
      </c>
      <c r="P54" s="2363" t="s">
        <v>2407</v>
      </c>
      <c r="Q54" s="2364">
        <f ca="1">Q48+Q49</f>
        <v>54631</v>
      </c>
      <c r="R54" s="2367" t="s">
        <v>2391</v>
      </c>
    </row>
    <row r="55" spans="1:18" s="2044" customFormat="1" ht="18" customHeight="1" thickTop="1" thickBot="1">
      <c r="A55" s="796">
        <v>2</v>
      </c>
      <c r="B55" s="797" t="s">
        <v>644</v>
      </c>
      <c r="C55" s="798">
        <f ca="1">C13</f>
        <v>42876</v>
      </c>
      <c r="D55" s="794"/>
      <c r="E55" s="794"/>
      <c r="F55" s="799"/>
      <c r="I55" s="3113" t="s">
        <v>2354</v>
      </c>
      <c r="J55" s="3053" t="e">
        <f ca="1">ROUND(IF(J47="钢混",J57/J50,1-(1-2%)*(J50-J57)/J50),3)</f>
        <v>#VALUE!</v>
      </c>
      <c r="K55" s="3114" t="s">
        <v>2355</v>
      </c>
      <c r="L55" s="2350"/>
      <c r="O55" s="2368" t="s">
        <v>2410</v>
      </c>
      <c r="P55" s="1578"/>
      <c r="Q55" s="1589"/>
      <c r="R55" s="1578"/>
    </row>
    <row r="56" spans="1:18" s="2044" customFormat="1" ht="42.75" customHeight="1" thickBot="1">
      <c r="A56" s="1635"/>
      <c r="B56" s="2216" t="s">
        <v>2301</v>
      </c>
      <c r="C56" s="53">
        <f ca="1">C29</f>
        <v>42876</v>
      </c>
      <c r="D56" s="2603"/>
      <c r="E56" s="783"/>
      <c r="F56" s="808"/>
      <c r="I56" s="3115" t="s">
        <v>2356</v>
      </c>
      <c r="J56" s="3125" t="s">
        <v>1677</v>
      </c>
      <c r="K56" s="3078" t="s">
        <v>2361</v>
      </c>
      <c r="L56" s="1893" t="str">
        <f ca="1">IF(L48&lt;J51,"——",L48-J51)</f>
        <v>——</v>
      </c>
      <c r="O56" s="2359" t="s">
        <v>2374</v>
      </c>
      <c r="P56" s="2360" t="s">
        <v>2375</v>
      </c>
      <c r="Q56" s="2361" t="s">
        <v>2376</v>
      </c>
      <c r="R56" s="2360" t="s">
        <v>2377</v>
      </c>
    </row>
    <row r="57" spans="1:18" s="2044" customFormat="1" ht="28.5" customHeight="1" thickBot="1">
      <c r="A57" s="796" t="s">
        <v>1747</v>
      </c>
      <c r="B57" s="797" t="s">
        <v>651</v>
      </c>
      <c r="C57" s="798">
        <f ca="1">ROUND(C58+C63+C64+C65,0)</f>
        <v>738</v>
      </c>
      <c r="D57" s="26" t="s">
        <v>1749</v>
      </c>
      <c r="E57" s="2604"/>
      <c r="F57" s="56"/>
      <c r="I57" s="3116" t="s">
        <v>2357</v>
      </c>
      <c r="J57" s="3117" t="str">
        <f ca="1">IF(OR(M47="住宅",J51&lt;L48,J56="是"),"——",J51-L48)</f>
        <v>——</v>
      </c>
      <c r="K57" s="3078" t="s">
        <v>2362</v>
      </c>
      <c r="L57" s="1893" t="str">
        <f ca="1">IF(L48&lt;J51,"——",IF(L55="比较法",L49,IF(L55="基准地价",L50,L51)))</f>
        <v>——</v>
      </c>
      <c r="O57" s="2362" t="s">
        <v>2378</v>
      </c>
      <c r="P57" s="2363" t="s">
        <v>2408</v>
      </c>
      <c r="Q57" s="2364">
        <f ca="1">C40+J29</f>
        <v>54631</v>
      </c>
      <c r="R57" s="2363" t="s">
        <v>2379</v>
      </c>
    </row>
    <row r="58" spans="1:18" s="2044" customFormat="1" ht="28.5" customHeight="1" thickBot="1">
      <c r="A58" s="1634" t="s">
        <v>1823</v>
      </c>
      <c r="B58" s="783" t="s">
        <v>656</v>
      </c>
      <c r="C58" s="53">
        <f ca="1">ROUND(IF(项目基本情况!B11="自然人",C47*F58,C59+C60+C61),1)</f>
        <v>30.9</v>
      </c>
      <c r="D58" s="2602" t="s">
        <v>657</v>
      </c>
      <c r="E58" s="2603" t="s">
        <v>690</v>
      </c>
      <c r="F58" s="809">
        <f ca="1">IF(项目基本情况!B11="企业","",IF(INDIRECT("'数据-取费表'!c"&amp;$G$1)="住宅",5%,IF(F48*F49*F50/12/(1+'数据-取费表'!C42)&gt;20000,12%,7%)))</f>
        <v>7.0000000000000007E-2</v>
      </c>
      <c r="I58" s="3116" t="s">
        <v>2358</v>
      </c>
      <c r="J58" s="3054" t="e">
        <f ca="1">IF(J55&lt;0.4,0.4,J55)</f>
        <v>#VALUE!</v>
      </c>
      <c r="K58" s="3078" t="s">
        <v>2363</v>
      </c>
      <c r="L58" s="1893" t="e">
        <f ca="1">ROUND(POWER(1+L52,L47-L48)*(POWER(1+L52,L48)-1)/(POWER(1+L52,L47)-1),4)</f>
        <v>#DIV/0!</v>
      </c>
      <c r="O58" s="2362" t="s">
        <v>2380</v>
      </c>
      <c r="P58" s="2363" t="s">
        <v>2411</v>
      </c>
      <c r="Q58" s="2364">
        <f ca="1">L60</f>
        <v>0</v>
      </c>
      <c r="R58" s="2367" t="s">
        <v>2413</v>
      </c>
    </row>
    <row r="59" spans="1:18" s="2044" customFormat="1" ht="28.5" customHeight="1" thickBot="1">
      <c r="A59" s="1633" t="s">
        <v>1830</v>
      </c>
      <c r="B59" s="783" t="s">
        <v>660</v>
      </c>
      <c r="C59" s="53">
        <f ca="1">ROUND(C47*F59/1.05,1)</f>
        <v>0</v>
      </c>
      <c r="D59" s="2603" t="s">
        <v>1755</v>
      </c>
      <c r="E59" s="783" t="s">
        <v>1746</v>
      </c>
      <c r="F59" s="808">
        <f t="shared" ref="F59:F65" si="0">F32</f>
        <v>5.5000000000000007E-2</v>
      </c>
      <c r="I59" s="3116" t="s">
        <v>2359</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3" t="s">
        <v>1757</v>
      </c>
      <c r="C60" s="53">
        <f ca="1">IF(D60="按租金收入计税",ROUND(C47*F60,1),IF(D60="按房产原值计税",ROUND(C56*F60*0.7,1),INDIRECT("'数据-取费表'!Aj"&amp;$G$1)))</f>
        <v>0</v>
      </c>
      <c r="D60" s="2603" t="str">
        <f>D33</f>
        <v>按租金收入计税</v>
      </c>
      <c r="E60" s="783" t="s">
        <v>1746</v>
      </c>
      <c r="F60" s="808">
        <f t="shared" si="0"/>
        <v>0.12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4" customFormat="1" ht="18" customHeight="1" thickBot="1">
      <c r="A61" s="1636" t="s">
        <v>1832</v>
      </c>
      <c r="B61" s="340" t="s">
        <v>668</v>
      </c>
      <c r="C61" s="54">
        <f ca="1">ROUND(F61*F62/10000,1)</f>
        <v>30.9</v>
      </c>
      <c r="D61" s="813" t="s">
        <v>669</v>
      </c>
      <c r="E61" s="783" t="s">
        <v>670</v>
      </c>
      <c r="F61" s="639">
        <f t="shared" si="0"/>
        <v>5</v>
      </c>
      <c r="K61" s="2071"/>
      <c r="O61" s="2365" t="s">
        <v>2385</v>
      </c>
      <c r="P61" s="2363" t="s">
        <v>2393</v>
      </c>
      <c r="Q61" s="2364" t="e">
        <f ca="1">L58</f>
        <v>#DIV/0!</v>
      </c>
      <c r="R61" s="2367" t="s">
        <v>2394</v>
      </c>
    </row>
    <row r="62" spans="1:18" s="2044" customFormat="1" ht="15.75" thickBot="1">
      <c r="A62" s="814"/>
      <c r="B62" s="792"/>
      <c r="C62" s="69"/>
      <c r="D62" s="815"/>
      <c r="E62" s="783" t="s">
        <v>674</v>
      </c>
      <c r="F62" s="784">
        <f t="shared" ca="1" si="0"/>
        <v>61815.58</v>
      </c>
      <c r="I62" s="3121" t="s">
        <v>2366</v>
      </c>
      <c r="J62" s="3122" t="s">
        <v>2367</v>
      </c>
      <c r="K62" s="3122" t="s">
        <v>2368</v>
      </c>
      <c r="L62" s="3122" t="s">
        <v>2349</v>
      </c>
      <c r="M62" s="3123" t="s">
        <v>2943</v>
      </c>
      <c r="O62" s="2365" t="s">
        <v>2387</v>
      </c>
      <c r="P62" s="2363" t="str">
        <f>K59</f>
        <v>建设期及建筑物耐用年限下的土地年期修正系数Kn</v>
      </c>
      <c r="Q62" s="2364" t="e">
        <f ca="1">L59</f>
        <v>#DIV/0!</v>
      </c>
      <c r="R62" s="2367" t="s">
        <v>2396</v>
      </c>
    </row>
    <row r="63" spans="1:18" s="2044" customFormat="1" ht="15.75" thickBot="1">
      <c r="A63" s="1634" t="s">
        <v>1888</v>
      </c>
      <c r="B63" s="783" t="s">
        <v>676</v>
      </c>
      <c r="C63" s="53">
        <f ca="1">ROUND(C56*F63,1)</f>
        <v>643.1</v>
      </c>
      <c r="D63" s="2603" t="s">
        <v>1802</v>
      </c>
      <c r="E63" s="783" t="s">
        <v>1746</v>
      </c>
      <c r="F63" s="816">
        <f t="shared" ca="1" si="0"/>
        <v>1.4999999999999999E-2</v>
      </c>
      <c r="I63" s="3121" t="s">
        <v>2369</v>
      </c>
      <c r="J63" s="3122">
        <v>70</v>
      </c>
      <c r="K63" s="3122">
        <v>50</v>
      </c>
      <c r="L63" s="3122">
        <v>80</v>
      </c>
      <c r="M63" s="3124">
        <v>0.02</v>
      </c>
      <c r="O63" s="2362" t="s">
        <v>2390</v>
      </c>
      <c r="P63" s="2363" t="s">
        <v>2407</v>
      </c>
      <c r="Q63" s="2364">
        <f ca="1">Q57+Q58</f>
        <v>54631</v>
      </c>
      <c r="R63" s="2367" t="s">
        <v>2391</v>
      </c>
    </row>
    <row r="64" spans="1:18" s="2044" customFormat="1" ht="16.5" thickBot="1">
      <c r="A64" s="1634" t="s">
        <v>1889</v>
      </c>
      <c r="B64" s="783" t="s">
        <v>679</v>
      </c>
      <c r="C64" s="53">
        <f ca="1">ROUND(C55*F64,1)</f>
        <v>64.3</v>
      </c>
      <c r="D64" s="2603" t="s">
        <v>680</v>
      </c>
      <c r="E64" s="783" t="s">
        <v>1746</v>
      </c>
      <c r="F64" s="817">
        <f t="shared" ca="1" si="0"/>
        <v>1.5E-3</v>
      </c>
      <c r="I64" s="3121" t="s">
        <v>2370</v>
      </c>
      <c r="J64" s="3122">
        <v>50</v>
      </c>
      <c r="K64" s="3122">
        <v>35</v>
      </c>
      <c r="L64" s="3122">
        <v>60</v>
      </c>
      <c r="M64" s="845">
        <v>0</v>
      </c>
      <c r="O64" s="2368" t="s">
        <v>2414</v>
      </c>
      <c r="P64" s="1578"/>
      <c r="Q64" s="1589"/>
      <c r="R64" s="1578"/>
    </row>
    <row r="65" spans="1:18" s="2044" customFormat="1" ht="15.75" thickBot="1">
      <c r="A65" s="1634" t="s">
        <v>1890</v>
      </c>
      <c r="B65" s="783" t="s">
        <v>666</v>
      </c>
      <c r="C65" s="53">
        <f ca="1">ROUND(C47*F65,1)</f>
        <v>0</v>
      </c>
      <c r="D65" s="2603" t="s">
        <v>683</v>
      </c>
      <c r="E65" s="783" t="s">
        <v>1746</v>
      </c>
      <c r="F65" s="793">
        <f t="shared" ca="1" si="0"/>
        <v>0.01</v>
      </c>
      <c r="I65" s="3121" t="s">
        <v>2371</v>
      </c>
      <c r="J65" s="3122">
        <v>40</v>
      </c>
      <c r="K65" s="3122">
        <v>30</v>
      </c>
      <c r="L65" s="3122">
        <v>50</v>
      </c>
      <c r="M65" s="3124">
        <v>0.02</v>
      </c>
      <c r="O65" s="2359" t="s">
        <v>2374</v>
      </c>
      <c r="P65" s="2360" t="s">
        <v>2375</v>
      </c>
      <c r="Q65" s="2361" t="s">
        <v>2376</v>
      </c>
      <c r="R65" s="2360" t="s">
        <v>2377</v>
      </c>
    </row>
    <row r="66" spans="1:18" s="2044" customFormat="1" ht="24.75" thickBot="1">
      <c r="A66" s="796" t="s">
        <v>1775</v>
      </c>
      <c r="B66" s="2963" t="s">
        <v>2821</v>
      </c>
      <c r="C66" s="798">
        <f ca="1">C47-C57</f>
        <v>-738</v>
      </c>
      <c r="D66" s="2602" t="s">
        <v>700</v>
      </c>
      <c r="E66" s="2601"/>
      <c r="F66" s="819"/>
      <c r="K66" s="2071"/>
      <c r="O66" s="2362" t="s">
        <v>2378</v>
      </c>
      <c r="P66" s="2363" t="s">
        <v>2408</v>
      </c>
      <c r="Q66" s="2364">
        <f ca="1">C40+J29</f>
        <v>54631</v>
      </c>
      <c r="R66" s="2363" t="s">
        <v>2379</v>
      </c>
    </row>
    <row r="67" spans="1:18" s="2044" customFormat="1" ht="20.25" thickBot="1">
      <c r="A67" s="780" t="s">
        <v>1779</v>
      </c>
      <c r="B67" s="2217" t="s">
        <v>2300</v>
      </c>
      <c r="C67" s="782">
        <f ca="1">ROUND(C66*(1-((1+F69)/(1+F67))^F68)/(F67-F69),0)</f>
        <v>-11362</v>
      </c>
      <c r="D67" s="813" t="s">
        <v>704</v>
      </c>
      <c r="E67" s="783" t="s">
        <v>705</v>
      </c>
      <c r="F67" s="793">
        <f ca="1">F40</f>
        <v>5.5E-2</v>
      </c>
      <c r="K67" s="2071"/>
      <c r="O67" s="2362" t="s">
        <v>2380</v>
      </c>
      <c r="P67" s="2363" t="s">
        <v>2411</v>
      </c>
      <c r="Q67" s="2364">
        <f ca="1">L60</f>
        <v>0</v>
      </c>
      <c r="R67" s="2367" t="s">
        <v>2413</v>
      </c>
    </row>
    <row r="68" spans="1:18" ht="21.75" thickBot="1">
      <c r="A68" s="785"/>
      <c r="B68" s="786"/>
      <c r="C68" s="787"/>
      <c r="D68" s="820" t="s">
        <v>1807</v>
      </c>
      <c r="E68" s="783" t="s">
        <v>1783</v>
      </c>
      <c r="F68" s="821">
        <f ca="1">F41</f>
        <v>35.03</v>
      </c>
      <c r="O68" s="2365" t="s">
        <v>2382</v>
      </c>
      <c r="P68" s="2363" t="s">
        <v>2412</v>
      </c>
      <c r="Q68" s="2369">
        <f ca="1">L51</f>
        <v>-17928</v>
      </c>
      <c r="R68" s="2370" t="s">
        <v>2415</v>
      </c>
    </row>
    <row r="69" spans="1:18" ht="20.25" thickBot="1">
      <c r="A69" s="789"/>
      <c r="B69" s="790"/>
      <c r="C69" s="791"/>
      <c r="D69" s="815"/>
      <c r="E69" s="783" t="s">
        <v>710</v>
      </c>
      <c r="F69" s="2335"/>
      <c r="O69" s="2365" t="s">
        <v>2383</v>
      </c>
      <c r="P69" s="2371" t="s">
        <v>2397</v>
      </c>
      <c r="Q69" s="2364">
        <f ca="1">ROUND(Q70-Q71*Q72,0)</f>
        <v>-1067</v>
      </c>
      <c r="R69" s="2367"/>
    </row>
    <row r="70" spans="1:18" ht="15.75" thickBot="1">
      <c r="A70" s="822" t="s">
        <v>1786</v>
      </c>
      <c r="B70" s="823" t="s">
        <v>1809</v>
      </c>
      <c r="C70" s="824">
        <f ca="1">ROUND(C67*10000/F70,0)</f>
        <v>-1225</v>
      </c>
      <c r="D70" s="825" t="s">
        <v>1810</v>
      </c>
      <c r="E70" s="826" t="s">
        <v>1811</v>
      </c>
      <c r="F70" s="827">
        <f ca="1">F43</f>
        <v>92723.37</v>
      </c>
      <c r="O70" s="2365" t="s">
        <v>2398</v>
      </c>
      <c r="P70" s="2371" t="s">
        <v>2399</v>
      </c>
      <c r="Q70" s="2364">
        <f ca="1">C39</f>
        <v>2577</v>
      </c>
      <c r="R70" s="2363" t="s">
        <v>2379</v>
      </c>
    </row>
    <row r="71" spans="1:18" ht="15.75" thickBot="1">
      <c r="O71" s="2365" t="s">
        <v>2400</v>
      </c>
      <c r="P71" s="2371" t="s">
        <v>2401</v>
      </c>
      <c r="Q71" s="2364">
        <f ca="1">C13</f>
        <v>42876</v>
      </c>
      <c r="R71" s="2363" t="s">
        <v>2379</v>
      </c>
    </row>
    <row r="72" spans="1:18" ht="15.75" thickBot="1">
      <c r="O72" s="2365" t="s">
        <v>2402</v>
      </c>
      <c r="P72" s="2371" t="s">
        <v>2403</v>
      </c>
      <c r="Q72" s="2366">
        <f ca="1">J36</f>
        <v>8.5000000000000006E-2</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建设期及建筑物耐用年限下的土地年期修正系数Kn</v>
      </c>
      <c r="Q75" s="2364" t="e">
        <f ca="1">L59</f>
        <v>#DIV/0!</v>
      </c>
      <c r="R75" s="2367" t="s">
        <v>2396</v>
      </c>
    </row>
    <row r="76" spans="1:18" ht="15.75" thickBot="1">
      <c r="O76" s="2362" t="s">
        <v>2390</v>
      </c>
      <c r="P76" s="2363" t="s">
        <v>2407</v>
      </c>
      <c r="Q76" s="2364">
        <f ca="1">Q66+Q67</f>
        <v>54631</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2470</v>
      </c>
      <c r="B1" s="3485"/>
      <c r="C1" s="3486"/>
      <c r="D1" s="3487">
        <f>SUM(I10,I15,I20,I21,I23)</f>
        <v>0</v>
      </c>
      <c r="E1" s="3487"/>
      <c r="F1" s="3487"/>
      <c r="G1" s="3487"/>
      <c r="H1" s="3487"/>
      <c r="I1" s="3488"/>
    </row>
    <row r="2" spans="1:9">
      <c r="A2" s="3474" t="s">
        <v>2471</v>
      </c>
      <c r="B2" s="3475" t="s">
        <v>2472</v>
      </c>
      <c r="C2" s="3475"/>
      <c r="D2" s="2471" t="s">
        <v>2473</v>
      </c>
      <c r="E2" s="2471" t="s">
        <v>2474</v>
      </c>
      <c r="F2" s="2471" t="s">
        <v>2475</v>
      </c>
      <c r="G2" s="2471" t="s">
        <v>2476</v>
      </c>
      <c r="H2" s="2471" t="s">
        <v>2477</v>
      </c>
      <c r="I2" s="2472" t="s">
        <v>2478</v>
      </c>
    </row>
    <row r="3" spans="1:9">
      <c r="A3" s="3474"/>
      <c r="B3" s="3475" t="s">
        <v>2479</v>
      </c>
      <c r="C3" s="3475"/>
      <c r="D3" s="2473"/>
      <c r="E3" s="2471"/>
      <c r="F3" s="2474"/>
      <c r="G3" s="2474"/>
      <c r="H3" s="2475"/>
      <c r="I3" s="2476">
        <f>ROUND(D3*E3*F3*G3*H3/10000,0)</f>
        <v>0</v>
      </c>
    </row>
    <row r="4" spans="1:9">
      <c r="A4" s="3474"/>
      <c r="B4" s="3475" t="s">
        <v>2480</v>
      </c>
      <c r="C4" s="3475"/>
      <c r="D4" s="2473"/>
      <c r="E4" s="2471"/>
      <c r="F4" s="2474"/>
      <c r="G4" s="2474"/>
      <c r="H4" s="2475"/>
      <c r="I4" s="2476">
        <f t="shared" ref="I4:I9" si="0">ROUND(D4*E4*F4*G4*H4/10000,0)</f>
        <v>0</v>
      </c>
    </row>
    <row r="5" spans="1:9">
      <c r="A5" s="3474"/>
      <c r="B5" s="3475" t="s">
        <v>2481</v>
      </c>
      <c r="C5" s="3475"/>
      <c r="D5" s="2473"/>
      <c r="E5" s="2471"/>
      <c r="F5" s="2474"/>
      <c r="G5" s="2474"/>
      <c r="H5" s="2475"/>
      <c r="I5" s="2476">
        <f t="shared" si="0"/>
        <v>0</v>
      </c>
    </row>
    <row r="6" spans="1:9">
      <c r="A6" s="3474"/>
      <c r="B6" s="3475" t="s">
        <v>2482</v>
      </c>
      <c r="C6" s="3475"/>
      <c r="D6" s="2473"/>
      <c r="E6" s="2471"/>
      <c r="F6" s="2474"/>
      <c r="G6" s="2474"/>
      <c r="H6" s="2475"/>
      <c r="I6" s="2476">
        <f t="shared" si="0"/>
        <v>0</v>
      </c>
    </row>
    <row r="7" spans="1:9">
      <c r="A7" s="3474"/>
      <c r="B7" s="3475" t="s">
        <v>2483</v>
      </c>
      <c r="C7" s="3475"/>
      <c r="D7" s="2473"/>
      <c r="E7" s="2471"/>
      <c r="F7" s="2474"/>
      <c r="G7" s="2474"/>
      <c r="H7" s="2475"/>
      <c r="I7" s="2476">
        <f t="shared" si="0"/>
        <v>0</v>
      </c>
    </row>
    <row r="8" spans="1:9">
      <c r="A8" s="3474"/>
      <c r="B8" s="3475" t="s">
        <v>2484</v>
      </c>
      <c r="C8" s="3475"/>
      <c r="D8" s="2473"/>
      <c r="E8" s="2471"/>
      <c r="F8" s="2474"/>
      <c r="G8" s="2474"/>
      <c r="H8" s="2475"/>
      <c r="I8" s="2476">
        <f t="shared" si="0"/>
        <v>0</v>
      </c>
    </row>
    <row r="9" spans="1:9">
      <c r="A9" s="3474"/>
      <c r="B9" s="3475" t="s">
        <v>2485</v>
      </c>
      <c r="C9" s="3475"/>
      <c r="D9" s="2473"/>
      <c r="E9" s="2471"/>
      <c r="F9" s="2474"/>
      <c r="G9" s="2474"/>
      <c r="H9" s="2475"/>
      <c r="I9" s="2476">
        <f t="shared" si="0"/>
        <v>0</v>
      </c>
    </row>
    <row r="10" spans="1:9">
      <c r="A10" s="3474"/>
      <c r="B10" s="3476" t="s">
        <v>2486</v>
      </c>
      <c r="C10" s="3476"/>
      <c r="D10" s="2477">
        <v>527</v>
      </c>
      <c r="E10" s="2477" t="e">
        <f>ROUND(D1*10000/D10/H9,0)</f>
        <v>#DIV/0!</v>
      </c>
      <c r="F10" s="2478"/>
      <c r="G10" s="2478"/>
      <c r="H10" s="2479"/>
      <c r="I10" s="2480">
        <f>SUM(I3:I9)</f>
        <v>0</v>
      </c>
    </row>
    <row r="11" spans="1:9" ht="14.25">
      <c r="A11" s="3474" t="s">
        <v>2487</v>
      </c>
      <c r="B11" s="3475" t="s">
        <v>2488</v>
      </c>
      <c r="C11" s="3475"/>
      <c r="D11" s="2473" t="s">
        <v>2489</v>
      </c>
      <c r="E11" s="2473" t="s">
        <v>2490</v>
      </c>
      <c r="F11" s="2474" t="s">
        <v>2491</v>
      </c>
      <c r="G11" s="2474" t="s">
        <v>2492</v>
      </c>
      <c r="H11" s="2481" t="s">
        <v>2493</v>
      </c>
      <c r="I11" s="2472" t="s">
        <v>2494</v>
      </c>
    </row>
    <row r="12" spans="1:9">
      <c r="A12" s="3474"/>
      <c r="B12" s="3475" t="s">
        <v>2495</v>
      </c>
      <c r="C12" s="3475"/>
      <c r="D12" s="2473"/>
      <c r="E12" s="2473"/>
      <c r="F12" s="2474"/>
      <c r="G12" s="2475"/>
      <c r="H12" s="2482"/>
      <c r="I12" s="2472">
        <f>ROUND(D12*E12*F12*G12/10000,0)</f>
        <v>0</v>
      </c>
    </row>
    <row r="13" spans="1:9">
      <c r="A13" s="3474"/>
      <c r="B13" s="3475" t="s">
        <v>2496</v>
      </c>
      <c r="C13" s="3475"/>
      <c r="D13" s="2473"/>
      <c r="E13" s="2473"/>
      <c r="F13" s="2474"/>
      <c r="G13" s="2475"/>
      <c r="H13" s="2482"/>
      <c r="I13" s="2472">
        <f>ROUND(D13*E13*F13*G13/10000,0)</f>
        <v>0</v>
      </c>
    </row>
    <row r="14" spans="1:9">
      <c r="A14" s="3474"/>
      <c r="B14" s="3475" t="s">
        <v>2497</v>
      </c>
      <c r="C14" s="3475"/>
      <c r="D14" s="2473"/>
      <c r="E14" s="2473"/>
      <c r="F14" s="2474"/>
      <c r="G14" s="2475"/>
      <c r="H14" s="2482"/>
      <c r="I14" s="2472">
        <f>ROUND(D14*E14*F14*G14/10000,0)</f>
        <v>0</v>
      </c>
    </row>
    <row r="15" spans="1:9">
      <c r="A15" s="3474"/>
      <c r="B15" s="3476" t="s">
        <v>2486</v>
      </c>
      <c r="C15" s="3476"/>
      <c r="D15" s="2477"/>
      <c r="E15" s="2477">
        <f>SUM(E12:E14)</f>
        <v>0</v>
      </c>
      <c r="F15" s="2478"/>
      <c r="G15" s="2475"/>
      <c r="H15" s="2482"/>
      <c r="I15" s="2483">
        <f>SUM(I12:I14)</f>
        <v>0</v>
      </c>
    </row>
    <row r="16" spans="1:9" ht="24">
      <c r="A16" s="3474" t="s">
        <v>2498</v>
      </c>
      <c r="B16" s="3475" t="s">
        <v>2499</v>
      </c>
      <c r="C16" s="3475"/>
      <c r="D16" s="2473" t="s">
        <v>2500</v>
      </c>
      <c r="E16" s="2484" t="s">
        <v>2501</v>
      </c>
      <c r="F16" s="2474" t="s">
        <v>2502</v>
      </c>
      <c r="G16" s="2475" t="s">
        <v>2492</v>
      </c>
      <c r="H16" s="2481" t="s">
        <v>2493</v>
      </c>
      <c r="I16" s="2472" t="s">
        <v>2494</v>
      </c>
    </row>
    <row r="17" spans="1:9" ht="14.25">
      <c r="A17" s="3474"/>
      <c r="B17" s="3475" t="s">
        <v>2503</v>
      </c>
      <c r="C17" s="3475"/>
      <c r="D17" s="2473"/>
      <c r="E17" s="2473"/>
      <c r="F17" s="2474"/>
      <c r="G17" s="2475"/>
      <c r="H17" s="2485"/>
      <c r="I17" s="2486">
        <f>ROUND(D17*E17*F17*G17/10000,0)</f>
        <v>0</v>
      </c>
    </row>
    <row r="18" spans="1:9" ht="14.25">
      <c r="A18" s="3474"/>
      <c r="B18" s="3475" t="s">
        <v>2504</v>
      </c>
      <c r="C18" s="3475"/>
      <c r="D18" s="2473"/>
      <c r="E18" s="2473"/>
      <c r="F18" s="2474"/>
      <c r="G18" s="2475"/>
      <c r="H18" s="2485"/>
      <c r="I18" s="2486">
        <f>ROUND(D18*E18*F18*G18/10000,0)</f>
        <v>0</v>
      </c>
    </row>
    <row r="19" spans="1:9" ht="14.25">
      <c r="A19" s="3474"/>
      <c r="B19" s="3475" t="s">
        <v>2505</v>
      </c>
      <c r="C19" s="3475"/>
      <c r="D19" s="2473"/>
      <c r="E19" s="2473"/>
      <c r="F19" s="2474"/>
      <c r="G19" s="2475"/>
      <c r="H19" s="2485"/>
      <c r="I19" s="2486">
        <f>ROUND(D19*E19*F19*G19/10000,0)</f>
        <v>0</v>
      </c>
    </row>
    <row r="20" spans="1:9">
      <c r="A20" s="3474"/>
      <c r="B20" s="3476" t="s">
        <v>2486</v>
      </c>
      <c r="C20" s="3476"/>
      <c r="D20" s="2477">
        <f>SUM(D17:D19)</f>
        <v>0</v>
      </c>
      <c r="E20" s="2477"/>
      <c r="F20" s="2478"/>
      <c r="G20" s="2475"/>
      <c r="H20" s="2482"/>
      <c r="I20" s="2483">
        <f>SUM(I17:I19)</f>
        <v>0</v>
      </c>
    </row>
    <row r="21" spans="1:9">
      <c r="A21" s="3474" t="s">
        <v>2506</v>
      </c>
      <c r="B21" s="3477"/>
      <c r="C21" s="3477"/>
      <c r="D21" s="3477"/>
      <c r="E21" s="3477"/>
      <c r="F21" s="3477"/>
      <c r="G21" s="3477"/>
      <c r="H21" s="2487">
        <v>0.1</v>
      </c>
      <c r="I21" s="2480">
        <f>ROUND(I10*H21,0)</f>
        <v>0</v>
      </c>
    </row>
    <row r="22" spans="1:9" ht="14.25">
      <c r="A22" s="3478" t="s">
        <v>2507</v>
      </c>
      <c r="B22" s="3479"/>
      <c r="C22" s="3480"/>
      <c r="D22" s="2488" t="s">
        <v>2508</v>
      </c>
      <c r="E22" s="2488" t="s">
        <v>2509</v>
      </c>
      <c r="F22" s="2489" t="s">
        <v>2510</v>
      </c>
      <c r="G22" s="2489" t="s">
        <v>2511</v>
      </c>
      <c r="H22" s="2481" t="s">
        <v>2512</v>
      </c>
      <c r="I22" s="2472" t="s">
        <v>2513</v>
      </c>
    </row>
    <row r="23" spans="1:9" ht="14.25" thickBot="1">
      <c r="A23" s="3481"/>
      <c r="B23" s="3482"/>
      <c r="C23" s="3483"/>
      <c r="D23" s="2490"/>
      <c r="E23" s="2490"/>
      <c r="F23" s="2490"/>
      <c r="G23" s="2491"/>
      <c r="H23" s="2492"/>
      <c r="I23" s="2493">
        <f>ROUND(E23*D23*F23*(1-G23)/10000,0)</f>
        <v>0</v>
      </c>
    </row>
    <row r="26" spans="1:9">
      <c r="A26" s="2494" t="s">
        <v>2514</v>
      </c>
      <c r="B26" s="2494"/>
      <c r="C26" s="2494"/>
      <c r="D26" s="2494"/>
      <c r="E26" s="3471">
        <f>C27-C30-C31-C32</f>
        <v>0</v>
      </c>
      <c r="F26" s="3471"/>
      <c r="G26" s="3471"/>
      <c r="H26" s="2995" t="s">
        <v>2842</v>
      </c>
    </row>
    <row r="27" spans="1:9">
      <c r="A27" s="2495">
        <v>1</v>
      </c>
      <c r="B27" s="2496" t="s">
        <v>2515</v>
      </c>
      <c r="C27" s="2496"/>
      <c r="D27" s="2496"/>
      <c r="E27" s="3472"/>
      <c r="F27" s="3472"/>
      <c r="G27" s="3472"/>
    </row>
    <row r="28" spans="1:9">
      <c r="A28" s="2497" t="s">
        <v>2516</v>
      </c>
      <c r="B28" s="2496" t="s">
        <v>2517</v>
      </c>
      <c r="C28" s="2496"/>
      <c r="D28" s="2496"/>
      <c r="E28" s="3472"/>
      <c r="F28" s="3472"/>
      <c r="G28" s="3472"/>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3"/>
      <c r="F32" s="3473"/>
      <c r="G32" s="3473"/>
    </row>
    <row r="33" spans="1:7" hidden="1">
      <c r="A33" s="3468" t="s">
        <v>2525</v>
      </c>
      <c r="B33" s="3469"/>
      <c r="C33" s="3469"/>
      <c r="D33" s="3470"/>
      <c r="E33" s="3471"/>
      <c r="F33" s="3471"/>
      <c r="G33" s="3471"/>
    </row>
    <row r="34" spans="1:7" hidden="1">
      <c r="A34" s="2499">
        <v>1</v>
      </c>
      <c r="B34" s="2496" t="s">
        <v>2526</v>
      </c>
      <c r="C34" s="2496"/>
      <c r="D34" s="2496"/>
      <c r="E34" s="3472"/>
      <c r="F34" s="3472"/>
      <c r="G34" s="3472"/>
    </row>
    <row r="35" spans="1:7" hidden="1">
      <c r="A35" s="2499">
        <v>2</v>
      </c>
      <c r="B35" s="2496" t="s">
        <v>2527</v>
      </c>
      <c r="C35" s="2496"/>
      <c r="D35" s="2496"/>
      <c r="E35" s="3472"/>
      <c r="F35" s="3472"/>
      <c r="G35" s="3472"/>
    </row>
    <row r="36" spans="1:7" hidden="1">
      <c r="A36" s="2499">
        <v>3</v>
      </c>
      <c r="B36" s="2496" t="s">
        <v>2528</v>
      </c>
      <c r="C36" s="2496"/>
      <c r="D36" s="2496"/>
      <c r="E36" s="3472"/>
      <c r="F36" s="3472"/>
      <c r="G36" s="3472"/>
    </row>
    <row r="37" spans="1:7" hidden="1">
      <c r="A37" s="2499">
        <v>4</v>
      </c>
      <c r="B37" s="2496" t="s">
        <v>2529</v>
      </c>
      <c r="C37" s="2496"/>
      <c r="D37" s="2496"/>
      <c r="E37" s="3472"/>
      <c r="F37" s="3472"/>
      <c r="G37" s="3472"/>
    </row>
    <row r="38" spans="1:7" hidden="1">
      <c r="A38" s="3468" t="s">
        <v>2530</v>
      </c>
      <c r="B38" s="3469"/>
      <c r="C38" s="3469"/>
      <c r="D38" s="3470"/>
      <c r="E38" s="3471"/>
      <c r="F38" s="3471"/>
      <c r="G38" s="34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603</v>
      </c>
      <c r="B1" s="741"/>
      <c r="C1" s="2167"/>
      <c r="D1" s="2167"/>
      <c r="E1" s="2167"/>
      <c r="F1" s="2167"/>
      <c r="G1" s="2093"/>
    </row>
    <row r="2" spans="1:25" s="2044" customFormat="1" ht="18" customHeight="1">
      <c r="A2" s="422" t="s">
        <v>467</v>
      </c>
      <c r="B2" s="424">
        <f ca="1">C23</f>
        <v>0</v>
      </c>
      <c r="C2" s="2093"/>
      <c r="D2" s="2093"/>
      <c r="E2" s="2093"/>
      <c r="F2" s="2093"/>
      <c r="G2" s="2093"/>
    </row>
    <row r="3" spans="1:25" s="2044" customFormat="1" ht="18" customHeight="1">
      <c r="A3" s="1375" t="s">
        <v>1684</v>
      </c>
      <c r="B3" s="424">
        <f ca="1">ROUND(B2*10000/'数据-汇总表'!E3,0)</f>
        <v>0</v>
      </c>
      <c r="C3" s="2093"/>
      <c r="D3" s="2093"/>
      <c r="E3" s="2093"/>
      <c r="F3" s="2093"/>
      <c r="G3" s="2093"/>
    </row>
    <row r="4" spans="1:25" s="2044" customFormat="1" ht="18" customHeight="1">
      <c r="A4" s="425" t="s">
        <v>468</v>
      </c>
      <c r="B4" s="426">
        <f ca="1">ROUND(B2*10000/'数据-汇总表'!D3,0)</f>
        <v>0</v>
      </c>
      <c r="C4" s="2046"/>
      <c r="D4" s="2093"/>
      <c r="E4" s="2093"/>
      <c r="F4" s="2093"/>
      <c r="G4" s="2093"/>
    </row>
    <row r="5" spans="1:25" s="2044" customFormat="1" ht="18" customHeight="1" thickBot="1">
      <c r="A5" s="428"/>
      <c r="B5" s="429">
        <f ca="1">ROUND(B2/('数据-汇总表'!D3/666.67),0)</f>
        <v>0</v>
      </c>
      <c r="C5" s="430" t="s">
        <v>469</v>
      </c>
      <c r="D5" s="2093"/>
      <c r="E5" s="2093"/>
      <c r="F5" s="2093"/>
      <c r="G5" s="2093"/>
    </row>
    <row r="6" spans="1:25" s="2168" customFormat="1" ht="13.5" customHeight="1">
      <c r="A6" s="742"/>
      <c r="B6" s="743" t="s">
        <v>604</v>
      </c>
      <c r="C6" s="744" t="s">
        <v>605</v>
      </c>
      <c r="D6" s="744" t="s">
        <v>606</v>
      </c>
      <c r="E6" s="745" t="s">
        <v>607</v>
      </c>
      <c r="F6" s="745" t="s">
        <v>608</v>
      </c>
      <c r="G6" s="746"/>
    </row>
    <row r="7" spans="1:25" s="2168" customFormat="1" ht="13.5" customHeight="1">
      <c r="A7" s="2433">
        <v>1</v>
      </c>
      <c r="B7" s="747" t="s">
        <v>609</v>
      </c>
      <c r="C7" s="748">
        <f>C8+C9</f>
        <v>0</v>
      </c>
      <c r="D7" s="748"/>
      <c r="E7" s="749"/>
      <c r="F7" s="749"/>
      <c r="G7" s="2443"/>
    </row>
    <row r="8" spans="1:25" s="2168" customFormat="1" ht="13.5" customHeight="1">
      <c r="A8" s="2433" t="s">
        <v>2439</v>
      </c>
      <c r="B8" s="2436" t="s">
        <v>2441</v>
      </c>
      <c r="C8" s="2437"/>
      <c r="D8" s="748"/>
      <c r="E8" s="749"/>
      <c r="F8" s="749"/>
      <c r="G8" s="750"/>
    </row>
    <row r="9" spans="1:25" s="2168" customFormat="1" ht="13.5" customHeight="1">
      <c r="A9" s="2433" t="s">
        <v>2440</v>
      </c>
      <c r="B9" s="2436" t="s">
        <v>2442</v>
      </c>
      <c r="C9" s="2437"/>
      <c r="D9" s="748"/>
      <c r="E9" s="749"/>
      <c r="F9" s="749"/>
      <c r="G9" s="750"/>
    </row>
    <row r="10" spans="1:25" s="2168" customFormat="1" ht="36">
      <c r="A10" s="2433">
        <v>2</v>
      </c>
      <c r="B10" s="747" t="s">
        <v>613</v>
      </c>
      <c r="C10" s="748">
        <f>C11+C14+C15</f>
        <v>0</v>
      </c>
      <c r="D10" s="759">
        <f>'数据-汇总表'!E3</f>
        <v>92723.37</v>
      </c>
      <c r="E10" s="748">
        <f>'数据-取费表'!B31</f>
        <v>100</v>
      </c>
      <c r="F10" s="760"/>
      <c r="G10" s="758" t="s">
        <v>614</v>
      </c>
    </row>
    <row r="11" spans="1:25" s="2168" customFormat="1" ht="13.5" customHeight="1">
      <c r="A11" s="2433" t="s">
        <v>2439</v>
      </c>
      <c r="B11" s="751" t="s">
        <v>610</v>
      </c>
      <c r="C11" s="752">
        <f>'数据-取费表'!B29</f>
        <v>0</v>
      </c>
      <c r="D11" s="753"/>
      <c r="E11" s="752"/>
      <c r="F11" s="754"/>
      <c r="G11" s="2442" t="s">
        <v>2450</v>
      </c>
    </row>
    <row r="12" spans="1:25" s="2168" customFormat="1" ht="13.5" customHeight="1">
      <c r="A12" s="2440" t="s">
        <v>2447</v>
      </c>
      <c r="B12" s="755" t="s">
        <v>611</v>
      </c>
      <c r="C12" s="756">
        <f>ROUND(D12*E12/10000,0)</f>
        <v>0</v>
      </c>
      <c r="D12" s="757">
        <f>'数据-汇总表'!E5</f>
        <v>0</v>
      </c>
      <c r="E12" s="756">
        <f>'数据-取费表'!B27</f>
        <v>90</v>
      </c>
      <c r="F12" s="754"/>
      <c r="G12" s="758"/>
    </row>
    <row r="13" spans="1:25" s="2168" customFormat="1" ht="13.5" customHeight="1">
      <c r="A13" s="2440" t="s">
        <v>2446</v>
      </c>
      <c r="B13" s="755" t="s">
        <v>612</v>
      </c>
      <c r="C13" s="756">
        <f>ROUND(D13*E13/10000,0)</f>
        <v>556</v>
      </c>
      <c r="D13" s="757">
        <f>'数据-汇总表'!E6</f>
        <v>92723.37</v>
      </c>
      <c r="E13" s="756">
        <f>'数据-取费表'!B28</f>
        <v>60</v>
      </c>
      <c r="F13" s="754"/>
      <c r="G13" s="758"/>
    </row>
    <row r="14" spans="1:25" s="2168" customFormat="1" ht="13.5" customHeight="1">
      <c r="A14" s="2433" t="s">
        <v>2440</v>
      </c>
      <c r="B14" s="2439" t="s">
        <v>2443</v>
      </c>
      <c r="C14" s="2437"/>
      <c r="D14" s="757"/>
      <c r="E14" s="756"/>
      <c r="F14" s="2438"/>
      <c r="G14" s="2441" t="s">
        <v>2448</v>
      </c>
    </row>
    <row r="15" spans="1:25" s="2168" customFormat="1" ht="13.5" customHeight="1">
      <c r="A15" s="2433" t="s">
        <v>2445</v>
      </c>
      <c r="B15" s="2439" t="s">
        <v>2444</v>
      </c>
      <c r="C15" s="2437"/>
      <c r="D15" s="757"/>
      <c r="E15" s="756"/>
      <c r="F15" s="2438"/>
      <c r="G15" s="2441" t="s">
        <v>2449</v>
      </c>
    </row>
    <row r="16" spans="1:25" s="2169" customFormat="1" ht="48">
      <c r="A16" s="2433">
        <v>3</v>
      </c>
      <c r="B16" s="747" t="s">
        <v>615</v>
      </c>
      <c r="C16" s="2437"/>
      <c r="D16" s="759"/>
      <c r="E16" s="748"/>
      <c r="F16" s="760"/>
      <c r="G16" s="758"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616</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617</v>
      </c>
      <c r="C18" s="748">
        <f>ROUND((C7+C10+C16)*F18,0)</f>
        <v>0</v>
      </c>
      <c r="D18" s="761"/>
      <c r="E18" s="762"/>
      <c r="F18" s="760">
        <f>'数据-取费表'!Q16</f>
        <v>0.25</v>
      </c>
      <c r="G18" s="764"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619</v>
      </c>
      <c r="C19" s="748">
        <f ca="1">C7+C10+C16+C17+C18</f>
        <v>0</v>
      </c>
      <c r="D19" s="759"/>
      <c r="E19" s="748"/>
      <c r="F19" s="760"/>
      <c r="G19" s="764"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621</v>
      </c>
      <c r="C20" s="748">
        <f ca="1">ROUND(C19*F20,0)</f>
        <v>0</v>
      </c>
      <c r="D20" s="759"/>
      <c r="E20" s="748"/>
      <c r="F20" s="1344"/>
      <c r="G20" s="764"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623</v>
      </c>
      <c r="C21" s="748">
        <f ca="1">C19+C20</f>
        <v>0</v>
      </c>
      <c r="D21" s="759"/>
      <c r="E21" s="748"/>
      <c r="F21" s="760"/>
      <c r="G21" s="764"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625</v>
      </c>
      <c r="C22" s="748">
        <f ca="1">ROUND(C21*F22,0)</f>
        <v>0</v>
      </c>
      <c r="D22" s="759"/>
      <c r="E22" s="748"/>
      <c r="F22" s="765">
        <f>'数据-取费表'!AP16</f>
        <v>0.84</v>
      </c>
      <c r="G22" s="764"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627</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7" t="s">
        <v>719</v>
      </c>
      <c r="C1" s="2588" t="s">
        <v>720</v>
      </c>
      <c r="D1" s="2589"/>
      <c r="E1" s="2590"/>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521</v>
      </c>
      <c r="B4" s="512"/>
      <c r="C4" s="3392" t="s">
        <v>522</v>
      </c>
      <c r="D4" s="3393"/>
      <c r="E4" s="3416" t="s">
        <v>523</v>
      </c>
      <c r="F4" s="3417"/>
      <c r="G4" s="3392" t="s">
        <v>524</v>
      </c>
      <c r="H4" s="3393"/>
      <c r="I4" s="3392" t="s">
        <v>525</v>
      </c>
      <c r="J4" s="3393"/>
      <c r="K4" s="852" t="s">
        <v>526</v>
      </c>
      <c r="L4" s="2118"/>
      <c r="M4" s="2119"/>
      <c r="N4" s="2119"/>
      <c r="O4" s="2119"/>
      <c r="P4" s="3394" t="s">
        <v>527</v>
      </c>
      <c r="Q4" s="3395"/>
      <c r="R4" s="3380" t="s">
        <v>523</v>
      </c>
      <c r="S4" s="3381"/>
      <c r="T4" s="3380" t="s">
        <v>524</v>
      </c>
      <c r="U4" s="3381"/>
      <c r="V4" s="3400" t="s">
        <v>525</v>
      </c>
      <c r="W4" s="3400"/>
      <c r="X4" s="1553"/>
      <c r="Y4" s="3380" t="s">
        <v>527</v>
      </c>
      <c r="Z4" s="3381"/>
      <c r="AA4" s="3375" t="s">
        <v>523</v>
      </c>
      <c r="AB4" s="3375" t="s">
        <v>524</v>
      </c>
      <c r="AC4" s="3375" t="s">
        <v>525</v>
      </c>
    </row>
    <row r="5" spans="1:29" ht="15">
      <c r="A5" s="514"/>
      <c r="B5" s="515"/>
      <c r="C5" s="3403" t="s">
        <v>2930</v>
      </c>
      <c r="D5" s="3404"/>
      <c r="E5" s="3418" t="s">
        <v>2931</v>
      </c>
      <c r="F5" s="3419"/>
      <c r="G5" s="3403" t="s">
        <v>2932</v>
      </c>
      <c r="H5" s="3404"/>
      <c r="I5" s="3403" t="s">
        <v>2933</v>
      </c>
      <c r="J5" s="3404"/>
      <c r="K5" s="853"/>
      <c r="L5" s="2118"/>
      <c r="M5" s="2119"/>
      <c r="N5" s="2119"/>
      <c r="O5" s="2119"/>
      <c r="P5" s="3396"/>
      <c r="Q5" s="3397"/>
      <c r="R5" s="3382"/>
      <c r="S5" s="3383"/>
      <c r="T5" s="3382"/>
      <c r="U5" s="3383"/>
      <c r="V5" s="3400"/>
      <c r="W5" s="3400"/>
      <c r="X5" s="1553"/>
      <c r="Y5" s="3382"/>
      <c r="Z5" s="3383"/>
      <c r="AA5" s="3376"/>
      <c r="AB5" s="3376"/>
      <c r="AC5" s="3376"/>
    </row>
    <row r="6" spans="1:29" ht="15.75" thickBot="1">
      <c r="A6" s="516"/>
      <c r="B6" s="517"/>
      <c r="C6" s="3401" t="s">
        <v>2934</v>
      </c>
      <c r="D6" s="3402"/>
      <c r="E6" s="3420" t="s">
        <v>2934</v>
      </c>
      <c r="F6" s="3421"/>
      <c r="G6" s="3401" t="s">
        <v>2934</v>
      </c>
      <c r="H6" s="3402"/>
      <c r="I6" s="3401" t="s">
        <v>2934</v>
      </c>
      <c r="J6" s="3402"/>
      <c r="K6" s="853" t="s">
        <v>528</v>
      </c>
      <c r="L6" s="2118"/>
      <c r="M6" s="2119"/>
      <c r="N6" s="2119"/>
      <c r="O6" s="2119"/>
      <c r="P6" s="3398"/>
      <c r="Q6" s="3399"/>
      <c r="R6" s="3382"/>
      <c r="S6" s="3383"/>
      <c r="T6" s="3384"/>
      <c r="U6" s="3385"/>
      <c r="V6" s="3400"/>
      <c r="W6" s="3400"/>
      <c r="X6" s="1553"/>
      <c r="Y6" s="3384"/>
      <c r="Z6" s="3385"/>
      <c r="AA6" s="3377"/>
      <c r="AB6" s="3377"/>
      <c r="AC6" s="3377"/>
    </row>
    <row r="7" spans="1:29" s="1215" customFormat="1" ht="15.75" thickBot="1">
      <c r="A7" s="2867"/>
      <c r="B7" s="2874" t="s">
        <v>529</v>
      </c>
      <c r="C7" s="518">
        <f>'数据-取费表'!B2</f>
        <v>43734</v>
      </c>
      <c r="D7" s="519">
        <v>100</v>
      </c>
      <c r="E7" s="520"/>
      <c r="F7" s="521">
        <f>SUMIF(58:58,YEAR(E7)&amp;"-"&amp;MONTH(E7),59:59)</f>
        <v>0</v>
      </c>
      <c r="G7" s="522"/>
      <c r="H7" s="519">
        <f>SUMIF(58:58,YEAR(G7)&amp;"-"&amp;MONTH(G7),59:59)</f>
        <v>0</v>
      </c>
      <c r="I7" s="522"/>
      <c r="J7" s="519">
        <f>SUMIF(58:58,YEAR(I7)&amp;"-"&amp;MONTH(I7),59:59)</f>
        <v>0</v>
      </c>
      <c r="K7" s="854"/>
      <c r="L7" s="2120"/>
      <c r="M7" s="2121"/>
      <c r="N7" s="2121"/>
      <c r="O7" s="2121"/>
      <c r="P7" s="3378" t="s">
        <v>530</v>
      </c>
      <c r="Q7" s="3387"/>
      <c r="R7" s="1554" t="s">
        <v>13</v>
      </c>
      <c r="S7" s="1555">
        <f t="shared" ref="S7:S15" si="0">F7</f>
        <v>0</v>
      </c>
      <c r="T7" s="1554" t="s">
        <v>13</v>
      </c>
      <c r="U7" s="1555">
        <f t="shared" ref="U7:U15" si="1">H7</f>
        <v>0</v>
      </c>
      <c r="V7" s="1554" t="s">
        <v>13</v>
      </c>
      <c r="W7" s="1555">
        <f t="shared" ref="W7:W15" si="2">J7</f>
        <v>0</v>
      </c>
      <c r="X7" s="1556"/>
      <c r="Y7" s="3378" t="s">
        <v>530</v>
      </c>
      <c r="Z7" s="3379"/>
      <c r="AA7" s="1557" t="e">
        <f>D7/F7</f>
        <v>#DIV/0!</v>
      </c>
      <c r="AB7" s="1557" t="e">
        <f>D7/H7</f>
        <v>#DIV/0!</v>
      </c>
      <c r="AC7" s="1557" t="e">
        <f>D7/J7</f>
        <v>#DIV/0!</v>
      </c>
    </row>
    <row r="8" spans="1:29" s="1215" customFormat="1" ht="15.75" thickBot="1">
      <c r="A8" s="2868"/>
      <c r="B8" s="2875" t="s">
        <v>531</v>
      </c>
      <c r="C8" s="524" t="s">
        <v>576</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378" t="s">
        <v>533</v>
      </c>
      <c r="Q8" s="3379"/>
      <c r="R8" s="1554" t="s">
        <v>13</v>
      </c>
      <c r="S8" s="1555">
        <f t="shared" si="0"/>
        <v>0</v>
      </c>
      <c r="T8" s="1554" t="s">
        <v>13</v>
      </c>
      <c r="U8" s="1555">
        <f t="shared" si="1"/>
        <v>0</v>
      </c>
      <c r="V8" s="1554" t="s">
        <v>13</v>
      </c>
      <c r="W8" s="1555">
        <f t="shared" si="2"/>
        <v>0</v>
      </c>
      <c r="X8" s="1556"/>
      <c r="Y8" s="3378" t="s">
        <v>533</v>
      </c>
      <c r="Z8" s="3379"/>
      <c r="AA8" s="1557" t="e">
        <f t="shared" ref="AA8:AA46" si="3">D8/F8</f>
        <v>#DIV/0!</v>
      </c>
      <c r="AB8" s="1557" t="e">
        <f t="shared" ref="AB8:AB46" si="4">D8/H8</f>
        <v>#DIV/0!</v>
      </c>
      <c r="AC8" s="1557" t="e">
        <f t="shared" ref="AC8:AC46" si="5">D8/J8</f>
        <v>#DIV/0!</v>
      </c>
    </row>
    <row r="9" spans="1:29" s="1215" customFormat="1" ht="15">
      <c r="A9" s="2869"/>
      <c r="B9" s="2876" t="s">
        <v>2755</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386"/>
      <c r="Q11" s="1146" t="str">
        <f t="shared" si="6"/>
        <v>容积率</v>
      </c>
      <c r="R11" s="1554" t="s">
        <v>11</v>
      </c>
      <c r="S11" s="1555" t="e">
        <f t="shared" si="0"/>
        <v>#N/A</v>
      </c>
      <c r="T11" s="1554" t="s">
        <v>11</v>
      </c>
      <c r="U11" s="1555" t="e">
        <f t="shared" si="1"/>
        <v>#N/A</v>
      </c>
      <c r="V11" s="1554" t="s">
        <v>11</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6"/>
      <c r="Q12" s="1146">
        <f t="shared" si="6"/>
        <v>111</v>
      </c>
      <c r="R12" s="1554" t="s">
        <v>11</v>
      </c>
      <c r="S12" s="1555">
        <f t="shared" si="0"/>
        <v>100</v>
      </c>
      <c r="T12" s="1554" t="s">
        <v>11</v>
      </c>
      <c r="U12" s="1555">
        <f t="shared" si="1"/>
        <v>100</v>
      </c>
      <c r="V12" s="1554" t="s">
        <v>11</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6"/>
      <c r="Q13" s="1146">
        <f t="shared" si="6"/>
        <v>111</v>
      </c>
      <c r="R13" s="1554" t="s">
        <v>11</v>
      </c>
      <c r="S13" s="1555">
        <f t="shared" si="0"/>
        <v>100</v>
      </c>
      <c r="T13" s="1554" t="s">
        <v>11</v>
      </c>
      <c r="U13" s="1555">
        <f t="shared" si="1"/>
        <v>100</v>
      </c>
      <c r="V13" s="1554" t="s">
        <v>11</v>
      </c>
      <c r="W13" s="1555">
        <f t="shared" si="2"/>
        <v>100</v>
      </c>
      <c r="X13" s="1556"/>
      <c r="Y13" s="3339"/>
      <c r="Z13" s="1145">
        <f t="shared" si="7"/>
        <v>111</v>
      </c>
      <c r="AA13" s="1557">
        <f t="shared" si="3"/>
        <v>1</v>
      </c>
      <c r="AB13" s="1557">
        <f t="shared" si="4"/>
        <v>1</v>
      </c>
      <c r="AC13" s="1557">
        <f t="shared" si="5"/>
        <v>1</v>
      </c>
    </row>
    <row r="14" spans="1:29" ht="15.75"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6"/>
      <c r="Q14" s="1146">
        <f t="shared" si="6"/>
        <v>111</v>
      </c>
      <c r="R14" s="1554" t="s">
        <v>11</v>
      </c>
      <c r="S14" s="1555">
        <f t="shared" si="0"/>
        <v>100</v>
      </c>
      <c r="T14" s="1554" t="s">
        <v>11</v>
      </c>
      <c r="U14" s="1555">
        <f t="shared" si="1"/>
        <v>100</v>
      </c>
      <c r="V14" s="1554" t="s">
        <v>11</v>
      </c>
      <c r="W14" s="1555">
        <f t="shared" si="2"/>
        <v>100</v>
      </c>
      <c r="X14" s="1556"/>
      <c r="Y14" s="3339"/>
      <c r="Z14" s="1145">
        <f t="shared" si="7"/>
        <v>111</v>
      </c>
      <c r="AA14" s="1557">
        <f t="shared" si="3"/>
        <v>1</v>
      </c>
      <c r="AB14" s="1557">
        <f t="shared" si="4"/>
        <v>1</v>
      </c>
      <c r="AC14" s="1557">
        <f t="shared" si="5"/>
        <v>1</v>
      </c>
    </row>
    <row r="15" spans="1:29" ht="99.75">
      <c r="A15" s="2865" t="s">
        <v>2753</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388" t="s">
        <v>540</v>
      </c>
      <c r="Q15" s="1558" t="str">
        <f t="shared" si="6"/>
        <v>居住社区成熟度</v>
      </c>
      <c r="R15" s="1559" t="s">
        <v>11</v>
      </c>
      <c r="S15" s="1560">
        <f t="shared" si="0"/>
        <v>100</v>
      </c>
      <c r="T15" s="1559" t="s">
        <v>11</v>
      </c>
      <c r="U15" s="1560">
        <f t="shared" si="1"/>
        <v>100</v>
      </c>
      <c r="V15" s="1559" t="s">
        <v>11</v>
      </c>
      <c r="W15" s="1560">
        <f t="shared" si="2"/>
        <v>100</v>
      </c>
      <c r="X15" s="1553"/>
      <c r="Y15" s="3388"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389"/>
      <c r="Q16" s="1558"/>
      <c r="R16" s="1559"/>
      <c r="S16" s="1560"/>
      <c r="T16" s="1559"/>
      <c r="U16" s="1560"/>
      <c r="V16" s="1559"/>
      <c r="W16" s="1560"/>
      <c r="X16" s="1553"/>
      <c r="Y16" s="3389"/>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389"/>
      <c r="Q17" s="1558" t="str">
        <f>B17</f>
        <v>交通便捷度</v>
      </c>
      <c r="R17" s="1559" t="s">
        <v>11</v>
      </c>
      <c r="S17" s="1560">
        <f>F17</f>
        <v>100</v>
      </c>
      <c r="T17" s="1559" t="s">
        <v>11</v>
      </c>
      <c r="U17" s="1560">
        <f>H17</f>
        <v>100</v>
      </c>
      <c r="V17" s="1559" t="s">
        <v>11</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389"/>
      <c r="Q18" s="1558"/>
      <c r="R18" s="1559"/>
      <c r="S18" s="1560"/>
      <c r="T18" s="1559"/>
      <c r="U18" s="1560"/>
      <c r="V18" s="1559"/>
      <c r="W18" s="1560"/>
      <c r="X18" s="1553"/>
      <c r="Y18" s="3389"/>
      <c r="Z18" s="1561"/>
      <c r="AA18" s="1562">
        <v>1</v>
      </c>
      <c r="AB18" s="1562">
        <v>1</v>
      </c>
      <c r="AC18" s="1562">
        <v>1</v>
      </c>
    </row>
    <row r="19" spans="1:29" ht="42.75">
      <c r="A19" s="531"/>
      <c r="B19" s="2564"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389"/>
      <c r="Q19" s="1558" t="str">
        <f>B19</f>
        <v>公共配套设施</v>
      </c>
      <c r="R19" s="1559" t="s">
        <v>11</v>
      </c>
      <c r="S19" s="1560">
        <f>F19</f>
        <v>100</v>
      </c>
      <c r="T19" s="1559" t="s">
        <v>11</v>
      </c>
      <c r="U19" s="1560">
        <f>H19</f>
        <v>100</v>
      </c>
      <c r="V19" s="1559" t="s">
        <v>11</v>
      </c>
      <c r="W19" s="1560">
        <f>J19</f>
        <v>100</v>
      </c>
      <c r="X19" s="1553"/>
      <c r="Y19" s="338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389"/>
      <c r="Q20" s="1558"/>
      <c r="R20" s="1559"/>
      <c r="S20" s="1560"/>
      <c r="T20" s="1559"/>
      <c r="U20" s="1560"/>
      <c r="V20" s="1559"/>
      <c r="W20" s="1560"/>
      <c r="X20" s="1553"/>
      <c r="Y20" s="3389"/>
      <c r="Z20" s="1561"/>
      <c r="AA20" s="1562">
        <v>1</v>
      </c>
      <c r="AB20" s="1562">
        <v>1</v>
      </c>
      <c r="AC20" s="1562">
        <v>1</v>
      </c>
    </row>
    <row r="21" spans="1:29" ht="28.5">
      <c r="A21" s="531"/>
      <c r="B21" s="255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389"/>
      <c r="Q21" s="2543" t="str">
        <f>B21</f>
        <v>基础设施水平</v>
      </c>
      <c r="R21" s="1559" t="s">
        <v>11</v>
      </c>
      <c r="S21" s="1560">
        <f>F21</f>
        <v>100</v>
      </c>
      <c r="T21" s="1559" t="s">
        <v>11</v>
      </c>
      <c r="U21" s="1560">
        <f>H21</f>
        <v>100</v>
      </c>
      <c r="V21" s="1559" t="s">
        <v>11</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389"/>
      <c r="Q22" s="2543"/>
      <c r="R22" s="1559"/>
      <c r="S22" s="1560"/>
      <c r="T22" s="1559"/>
      <c r="U22" s="1560"/>
      <c r="V22" s="1559"/>
      <c r="W22" s="1560"/>
      <c r="X22" s="2545"/>
      <c r="Y22" s="3389"/>
      <c r="Z22" s="2544"/>
      <c r="AA22" s="1562">
        <v>1</v>
      </c>
      <c r="AB22" s="1562">
        <v>1</v>
      </c>
      <c r="AC22" s="156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389"/>
      <c r="Q23" s="1558" t="str">
        <f>B23</f>
        <v>自然及人文环境</v>
      </c>
      <c r="R23" s="1559" t="s">
        <v>11</v>
      </c>
      <c r="S23" s="1560">
        <f>F23</f>
        <v>100</v>
      </c>
      <c r="T23" s="1559" t="s">
        <v>11</v>
      </c>
      <c r="U23" s="1560">
        <f>H23</f>
        <v>100</v>
      </c>
      <c r="V23" s="1559" t="s">
        <v>11</v>
      </c>
      <c r="W23" s="1560">
        <f>J23</f>
        <v>100</v>
      </c>
      <c r="X23" s="1553"/>
      <c r="Y23" s="338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389"/>
      <c r="Q24" s="1558"/>
      <c r="R24" s="1559"/>
      <c r="S24" s="1560"/>
      <c r="T24" s="1559"/>
      <c r="U24" s="1560"/>
      <c r="V24" s="1559"/>
      <c r="W24" s="1560"/>
      <c r="X24" s="1553"/>
      <c r="Y24" s="3389"/>
      <c r="Z24" s="1561"/>
      <c r="AA24" s="1562">
        <v>1</v>
      </c>
      <c r="AB24" s="1562">
        <v>1</v>
      </c>
      <c r="AC24" s="1562">
        <v>1</v>
      </c>
    </row>
    <row r="25" spans="1:29" ht="15">
      <c r="A25" s="531"/>
      <c r="B25" s="1880" t="s">
        <v>2255</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389"/>
      <c r="Q25" s="1558" t="str">
        <f t="shared" ref="Q25:Q46" si="11">B25</f>
        <v>楼层-1</v>
      </c>
      <c r="R25" s="1559" t="s">
        <v>11</v>
      </c>
      <c r="S25" s="1560">
        <f>F25</f>
        <v>100</v>
      </c>
      <c r="T25" s="1559" t="s">
        <v>11</v>
      </c>
      <c r="U25" s="1560">
        <f>H25</f>
        <v>100</v>
      </c>
      <c r="V25" s="1559" t="s">
        <v>11</v>
      </c>
      <c r="W25" s="1560">
        <f>J25</f>
        <v>100</v>
      </c>
      <c r="X25" s="1553"/>
      <c r="Y25" s="3389"/>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389"/>
      <c r="Q26" s="1558" t="str">
        <f t="shared" si="11"/>
        <v>朝向</v>
      </c>
      <c r="R26" s="1559" t="s">
        <v>11</v>
      </c>
      <c r="S26" s="1560">
        <f>F26</f>
        <v>100</v>
      </c>
      <c r="T26" s="1559" t="s">
        <v>11</v>
      </c>
      <c r="U26" s="1560">
        <f>H26</f>
        <v>100</v>
      </c>
      <c r="V26" s="1559" t="s">
        <v>11</v>
      </c>
      <c r="W26" s="1560">
        <f>J26</f>
        <v>100</v>
      </c>
      <c r="X26" s="1553"/>
      <c r="Y26" s="3389"/>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389"/>
      <c r="Q27" s="1146" t="str">
        <f t="shared" si="11"/>
        <v>道路级别</v>
      </c>
      <c r="R27" s="1554" t="s">
        <v>11</v>
      </c>
      <c r="S27" s="1555">
        <f>F27</f>
        <v>100</v>
      </c>
      <c r="T27" s="1554" t="s">
        <v>11</v>
      </c>
      <c r="U27" s="1555">
        <f>H27</f>
        <v>100</v>
      </c>
      <c r="V27" s="1554" t="s">
        <v>11</v>
      </c>
      <c r="W27" s="1555">
        <f>J27</f>
        <v>100</v>
      </c>
      <c r="X27" s="1556"/>
      <c r="Y27" s="3389"/>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389"/>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9"/>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89"/>
      <c r="Q29" s="1558">
        <f t="shared" si="11"/>
        <v>111</v>
      </c>
      <c r="R29" s="1559" t="s">
        <v>11</v>
      </c>
      <c r="S29" s="1560">
        <f t="shared" si="12"/>
        <v>100</v>
      </c>
      <c r="T29" s="1559" t="s">
        <v>11</v>
      </c>
      <c r="U29" s="1560">
        <f t="shared" si="13"/>
        <v>100</v>
      </c>
      <c r="V29" s="1559" t="s">
        <v>11</v>
      </c>
      <c r="W29" s="1560">
        <f t="shared" si="14"/>
        <v>100</v>
      </c>
      <c r="X29" s="1553"/>
      <c r="Y29" s="338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89"/>
      <c r="Q30" s="1558">
        <f t="shared" si="11"/>
        <v>111</v>
      </c>
      <c r="R30" s="1559" t="s">
        <v>11</v>
      </c>
      <c r="S30" s="1560">
        <f t="shared" si="12"/>
        <v>100</v>
      </c>
      <c r="T30" s="1559" t="s">
        <v>11</v>
      </c>
      <c r="U30" s="1560">
        <f t="shared" si="13"/>
        <v>100</v>
      </c>
      <c r="V30" s="1559" t="s">
        <v>11</v>
      </c>
      <c r="W30" s="1560">
        <f t="shared" si="14"/>
        <v>100</v>
      </c>
      <c r="X30" s="1553"/>
      <c r="Y30" s="3389"/>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89"/>
      <c r="Q31" s="1558">
        <f t="shared" si="11"/>
        <v>111</v>
      </c>
      <c r="R31" s="1559" t="s">
        <v>11</v>
      </c>
      <c r="S31" s="1560">
        <f t="shared" si="12"/>
        <v>100</v>
      </c>
      <c r="T31" s="1559" t="s">
        <v>11</v>
      </c>
      <c r="U31" s="1560">
        <f t="shared" si="13"/>
        <v>100</v>
      </c>
      <c r="V31" s="1559" t="s">
        <v>11</v>
      </c>
      <c r="W31" s="1560">
        <f t="shared" si="14"/>
        <v>100</v>
      </c>
      <c r="X31" s="1553"/>
      <c r="Y31" s="3389"/>
      <c r="Z31" s="1561">
        <f t="shared" si="15"/>
        <v>111</v>
      </c>
      <c r="AA31" s="1562">
        <f t="shared" si="3"/>
        <v>1</v>
      </c>
      <c r="AB31" s="1562">
        <f t="shared" si="4"/>
        <v>1</v>
      </c>
      <c r="AC31" s="1562">
        <f t="shared" si="5"/>
        <v>1</v>
      </c>
    </row>
    <row r="32" spans="1:29" ht="15">
      <c r="A32" s="2862" t="s">
        <v>2754</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390" t="s">
        <v>550</v>
      </c>
      <c r="Q32" s="1558" t="str">
        <f t="shared" si="11"/>
        <v>建筑类型</v>
      </c>
      <c r="R32" s="1559" t="s">
        <v>11</v>
      </c>
      <c r="S32" s="1560">
        <f t="shared" si="12"/>
        <v>100</v>
      </c>
      <c r="T32" s="1559" t="s">
        <v>11</v>
      </c>
      <c r="U32" s="1560">
        <f t="shared" si="13"/>
        <v>100</v>
      </c>
      <c r="V32" s="1559" t="s">
        <v>11</v>
      </c>
      <c r="W32" s="1560">
        <f t="shared" si="14"/>
        <v>100</v>
      </c>
      <c r="X32" s="1553"/>
      <c r="Y32" s="3391"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391"/>
      <c r="Q33" s="1590" t="str">
        <f t="shared" si="11"/>
        <v>项目建筑规模</v>
      </c>
      <c r="R33" s="1563" t="s">
        <v>11</v>
      </c>
      <c r="S33" s="1564" t="e">
        <f t="shared" si="12"/>
        <v>#N/A</v>
      </c>
      <c r="T33" s="1563" t="s">
        <v>11</v>
      </c>
      <c r="U33" s="1564" t="e">
        <f t="shared" si="13"/>
        <v>#N/A</v>
      </c>
      <c r="V33" s="1563" t="s">
        <v>11</v>
      </c>
      <c r="W33" s="1564" t="e">
        <f t="shared" si="14"/>
        <v>#N/A</v>
      </c>
      <c r="X33" s="1565"/>
      <c r="Y33" s="3391"/>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391"/>
      <c r="Q34" s="1558" t="str">
        <f t="shared" si="11"/>
        <v>建筑结构</v>
      </c>
      <c r="R34" s="1559" t="s">
        <v>11</v>
      </c>
      <c r="S34" s="1560">
        <f t="shared" si="12"/>
        <v>100</v>
      </c>
      <c r="T34" s="1559" t="s">
        <v>11</v>
      </c>
      <c r="U34" s="1560">
        <f t="shared" si="13"/>
        <v>100</v>
      </c>
      <c r="V34" s="1559" t="s">
        <v>11</v>
      </c>
      <c r="W34" s="1560">
        <f t="shared" si="14"/>
        <v>100</v>
      </c>
      <c r="X34" s="1553"/>
      <c r="Y34" s="3391"/>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391"/>
      <c r="Q35" s="1558" t="str">
        <f t="shared" si="11"/>
        <v>建筑品质</v>
      </c>
      <c r="R35" s="1559" t="s">
        <v>11</v>
      </c>
      <c r="S35" s="1560">
        <f t="shared" si="12"/>
        <v>100</v>
      </c>
      <c r="T35" s="1559" t="s">
        <v>11</v>
      </c>
      <c r="U35" s="1560">
        <f t="shared" si="13"/>
        <v>100</v>
      </c>
      <c r="V35" s="1559" t="s">
        <v>11</v>
      </c>
      <c r="W35" s="1560">
        <f t="shared" si="14"/>
        <v>100</v>
      </c>
      <c r="X35" s="1553"/>
      <c r="Y35" s="3391"/>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391"/>
      <c r="Q36" s="1558" t="str">
        <f t="shared" si="11"/>
        <v>公共部分装修</v>
      </c>
      <c r="R36" s="1559" t="s">
        <v>11</v>
      </c>
      <c r="S36" s="1560">
        <f t="shared" si="12"/>
        <v>100</v>
      </c>
      <c r="T36" s="1559" t="s">
        <v>11</v>
      </c>
      <c r="U36" s="1560">
        <f t="shared" si="13"/>
        <v>100</v>
      </c>
      <c r="V36" s="1559" t="s">
        <v>11</v>
      </c>
      <c r="W36" s="1560">
        <f t="shared" si="14"/>
        <v>100</v>
      </c>
      <c r="X36" s="1553"/>
      <c r="Y36" s="3391"/>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391"/>
      <c r="Q37" s="1146" t="str">
        <f t="shared" si="11"/>
        <v>成新度</v>
      </c>
      <c r="R37" s="1554" t="s">
        <v>11</v>
      </c>
      <c r="S37" s="1555" t="e">
        <f t="shared" si="12"/>
        <v>#N/A</v>
      </c>
      <c r="T37" s="1554" t="s">
        <v>11</v>
      </c>
      <c r="U37" s="1555" t="e">
        <f t="shared" si="13"/>
        <v>#N/A</v>
      </c>
      <c r="V37" s="1554" t="s">
        <v>11</v>
      </c>
      <c r="W37" s="1555" t="e">
        <f t="shared" si="14"/>
        <v>#N/A</v>
      </c>
      <c r="X37" s="1556"/>
      <c r="Y37" s="3391"/>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391" t="s">
        <v>550</v>
      </c>
      <c r="Q38" s="1558" t="str">
        <f t="shared" si="11"/>
        <v>物业管理</v>
      </c>
      <c r="R38" s="1559" t="s">
        <v>11</v>
      </c>
      <c r="S38" s="1560">
        <f t="shared" si="12"/>
        <v>100</v>
      </c>
      <c r="T38" s="1559" t="s">
        <v>11</v>
      </c>
      <c r="U38" s="1560">
        <f t="shared" si="13"/>
        <v>100</v>
      </c>
      <c r="V38" s="1559" t="s">
        <v>11</v>
      </c>
      <c r="W38" s="1560">
        <f t="shared" si="14"/>
        <v>100</v>
      </c>
      <c r="X38" s="1553"/>
      <c r="Y38" s="3391" t="s">
        <v>550</v>
      </c>
      <c r="Z38" s="1561" t="str">
        <f t="shared" si="15"/>
        <v>物业管理</v>
      </c>
      <c r="AA38" s="1562">
        <f t="shared" si="3"/>
        <v>1</v>
      </c>
      <c r="AB38" s="1562">
        <f t="shared" si="4"/>
        <v>1</v>
      </c>
      <c r="AC38" s="1562">
        <f t="shared" si="5"/>
        <v>1</v>
      </c>
    </row>
    <row r="39" spans="1:29" ht="15">
      <c r="A39" s="593"/>
      <c r="B39" s="1880" t="s">
        <v>2563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391"/>
      <c r="Q39" s="1558" t="str">
        <f t="shared" si="11"/>
        <v>市政基础设施</v>
      </c>
      <c r="R39" s="1559" t="s">
        <v>11</v>
      </c>
      <c r="S39" s="1560">
        <f t="shared" si="12"/>
        <v>100</v>
      </c>
      <c r="T39" s="1559" t="s">
        <v>11</v>
      </c>
      <c r="U39" s="1560">
        <f t="shared" si="13"/>
        <v>100</v>
      </c>
      <c r="V39" s="1559" t="s">
        <v>11</v>
      </c>
      <c r="W39" s="1560">
        <f t="shared" si="14"/>
        <v>100</v>
      </c>
      <c r="X39" s="1553"/>
      <c r="Y39" s="3391"/>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391"/>
      <c r="Q40" s="1558" t="str">
        <f t="shared" si="11"/>
        <v>房型</v>
      </c>
      <c r="R40" s="1559" t="s">
        <v>11</v>
      </c>
      <c r="S40" s="1560">
        <f t="shared" si="12"/>
        <v>100</v>
      </c>
      <c r="T40" s="1559" t="s">
        <v>11</v>
      </c>
      <c r="U40" s="1560">
        <f t="shared" si="13"/>
        <v>100</v>
      </c>
      <c r="V40" s="1559" t="s">
        <v>11</v>
      </c>
      <c r="W40" s="1560">
        <f t="shared" si="14"/>
        <v>100</v>
      </c>
      <c r="X40" s="1553"/>
      <c r="Y40" s="3391"/>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391"/>
      <c r="Q41" s="1590" t="str">
        <f t="shared" si="11"/>
        <v>单套/主力户型建筑面积</v>
      </c>
      <c r="R41" s="1563" t="s">
        <v>11</v>
      </c>
      <c r="S41" s="1564">
        <f t="shared" si="12"/>
        <v>100</v>
      </c>
      <c r="T41" s="1563" t="s">
        <v>11</v>
      </c>
      <c r="U41" s="1564">
        <f t="shared" si="13"/>
        <v>100</v>
      </c>
      <c r="V41" s="1563" t="s">
        <v>11</v>
      </c>
      <c r="W41" s="1564">
        <f t="shared" si="14"/>
        <v>100</v>
      </c>
      <c r="X41" s="1565"/>
      <c r="Y41" s="3391"/>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391"/>
      <c r="Q42" s="1558" t="str">
        <f t="shared" si="11"/>
        <v>内部装修</v>
      </c>
      <c r="R42" s="1559" t="s">
        <v>11</v>
      </c>
      <c r="S42" s="1560">
        <f t="shared" si="12"/>
        <v>100</v>
      </c>
      <c r="T42" s="1559" t="s">
        <v>11</v>
      </c>
      <c r="U42" s="1560">
        <f t="shared" si="13"/>
        <v>100</v>
      </c>
      <c r="V42" s="1559" t="s">
        <v>11</v>
      </c>
      <c r="W42" s="1560">
        <f t="shared" si="14"/>
        <v>100</v>
      </c>
      <c r="X42" s="1553"/>
      <c r="Y42" s="3391"/>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391"/>
      <c r="Q43" s="1558" t="str">
        <f t="shared" si="11"/>
        <v>内部装修维护情况</v>
      </c>
      <c r="R43" s="1559" t="s">
        <v>11</v>
      </c>
      <c r="S43" s="1560">
        <f t="shared" si="12"/>
        <v>100</v>
      </c>
      <c r="T43" s="1559" t="s">
        <v>11</v>
      </c>
      <c r="U43" s="1560">
        <f t="shared" si="13"/>
        <v>100</v>
      </c>
      <c r="V43" s="1559" t="s">
        <v>11</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91"/>
      <c r="Q44" s="1146">
        <f t="shared" si="11"/>
        <v>111</v>
      </c>
      <c r="R44" s="1554" t="s">
        <v>11</v>
      </c>
      <c r="S44" s="1555">
        <f t="shared" si="12"/>
        <v>100</v>
      </c>
      <c r="T44" s="1554" t="s">
        <v>11</v>
      </c>
      <c r="U44" s="1555">
        <f t="shared" si="13"/>
        <v>100</v>
      </c>
      <c r="V44" s="1554" t="s">
        <v>11</v>
      </c>
      <c r="W44" s="1555">
        <f t="shared" si="14"/>
        <v>100</v>
      </c>
      <c r="X44" s="1556"/>
      <c r="Y44" s="339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91"/>
      <c r="Q45" s="1558">
        <f t="shared" si="11"/>
        <v>111</v>
      </c>
      <c r="R45" s="1559" t="s">
        <v>11</v>
      </c>
      <c r="S45" s="1560">
        <f t="shared" si="12"/>
        <v>100</v>
      </c>
      <c r="T45" s="1559" t="s">
        <v>11</v>
      </c>
      <c r="U45" s="1560">
        <f t="shared" si="13"/>
        <v>100</v>
      </c>
      <c r="V45" s="1559" t="s">
        <v>11</v>
      </c>
      <c r="W45" s="1560">
        <f t="shared" si="14"/>
        <v>100</v>
      </c>
      <c r="X45" s="1553"/>
      <c r="Y45" s="3391"/>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1"/>
      <c r="Q46" s="1558">
        <f t="shared" si="11"/>
        <v>111</v>
      </c>
      <c r="R46" s="1559" t="s">
        <v>10</v>
      </c>
      <c r="S46" s="1560">
        <f t="shared" si="12"/>
        <v>100</v>
      </c>
      <c r="T46" s="1559" t="s">
        <v>10</v>
      </c>
      <c r="U46" s="1560">
        <f t="shared" si="13"/>
        <v>100</v>
      </c>
      <c r="V46" s="1559" t="s">
        <v>10</v>
      </c>
      <c r="W46" s="1560">
        <f t="shared" si="14"/>
        <v>100</v>
      </c>
      <c r="X46" s="1553"/>
      <c r="Y46" s="3491"/>
      <c r="Z46" s="1561">
        <f t="shared" si="15"/>
        <v>111</v>
      </c>
      <c r="AA46" s="1562">
        <f t="shared" si="3"/>
        <v>1</v>
      </c>
      <c r="AB46" s="1562">
        <f t="shared" si="4"/>
        <v>1</v>
      </c>
      <c r="AC46" s="1562">
        <f t="shared" si="5"/>
        <v>1</v>
      </c>
    </row>
    <row r="47" spans="1:29" ht="15">
      <c r="A47" s="606" t="s">
        <v>736</v>
      </c>
      <c r="B47" s="886"/>
      <c r="C47" s="2591" t="s">
        <v>9</v>
      </c>
      <c r="D47" s="2592"/>
      <c r="E47" s="2593"/>
      <c r="F47" s="2594"/>
      <c r="G47" s="2595"/>
      <c r="H47" s="2596"/>
      <c r="I47" s="2593"/>
      <c r="J47" s="2596"/>
      <c r="K47" s="1591"/>
      <c r="L47" s="2129"/>
      <c r="M47" s="2130"/>
      <c r="N47" s="2119"/>
      <c r="O47" s="2130"/>
      <c r="P47" s="3386" t="str">
        <f>A47</f>
        <v>成交单价（元/平方米）</v>
      </c>
      <c r="Q47" s="3386"/>
      <c r="R47" s="3490">
        <f>E47</f>
        <v>0</v>
      </c>
      <c r="S47" s="3490"/>
      <c r="T47" s="3490">
        <f>G47</f>
        <v>0</v>
      </c>
      <c r="U47" s="3490"/>
      <c r="V47" s="3490">
        <f>I47</f>
        <v>0</v>
      </c>
      <c r="W47" s="3490"/>
      <c r="X47" s="1545"/>
      <c r="Y47" s="1567"/>
      <c r="Z47" s="1545"/>
      <c r="AA47" s="1545"/>
      <c r="AB47" s="1545"/>
      <c r="AC47" s="1545"/>
    </row>
    <row r="48" spans="1:29" ht="15.75" thickBot="1">
      <c r="A48" s="614" t="s">
        <v>2759</v>
      </c>
      <c r="B48" s="887"/>
      <c r="C48" s="2597" t="e">
        <f>R49</f>
        <v>#DIV/0!</v>
      </c>
      <c r="D48" s="2598"/>
      <c r="E48" s="2599" t="e">
        <f>R48</f>
        <v>#DIV/0!</v>
      </c>
      <c r="F48" s="2599"/>
      <c r="G48" s="2597" t="e">
        <f>T48</f>
        <v>#DIV/0!</v>
      </c>
      <c r="H48" s="2598"/>
      <c r="I48" s="2599" t="e">
        <f>V48</f>
        <v>#DIV/0!</v>
      </c>
      <c r="J48" s="2598"/>
      <c r="K48" s="1592"/>
      <c r="L48" s="2129"/>
      <c r="M48" s="2130"/>
      <c r="N48" s="2130"/>
      <c r="O48" s="2130"/>
      <c r="P48" s="3386" t="str">
        <f>A48</f>
        <v>比较价格（元/平方米）</v>
      </c>
      <c r="Q48" s="338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75" thickBot="1">
      <c r="A49" s="620" t="s">
        <v>2936</v>
      </c>
      <c r="B49" s="621"/>
      <c r="C49" s="2600" t="e">
        <f>R49</f>
        <v>#DIV/0!</v>
      </c>
      <c r="D49" s="2600"/>
      <c r="E49" s="2600"/>
      <c r="F49" s="2600"/>
      <c r="G49" s="2600"/>
      <c r="H49" s="2600"/>
      <c r="I49" s="2600"/>
      <c r="J49" s="2600"/>
      <c r="K49" s="1593"/>
      <c r="L49" s="2129"/>
      <c r="M49" s="2130"/>
      <c r="N49" s="2130"/>
      <c r="O49" s="2130"/>
      <c r="P49" s="3407" t="str">
        <f>A49</f>
        <v>估价对象XX用房的比较价格（楼面单价，元/平方米）</v>
      </c>
      <c r="Q49" s="3408"/>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9"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2556</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2557</v>
      </c>
      <c r="C82" s="2562" t="s">
        <v>2558</v>
      </c>
      <c r="D82" s="2562" t="s">
        <v>2559</v>
      </c>
      <c r="E82" s="2562" t="s">
        <v>2560</v>
      </c>
      <c r="F82" s="2562" t="s">
        <v>2561</v>
      </c>
      <c r="G82" s="2562" t="s">
        <v>2562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2256</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746</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747</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750</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751</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2555</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754</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733</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N19" sqref="N1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4"/>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521</v>
      </c>
      <c r="B4" s="512"/>
      <c r="C4" s="3392" t="s">
        <v>522</v>
      </c>
      <c r="D4" s="3393"/>
      <c r="E4" s="3416" t="s">
        <v>523</v>
      </c>
      <c r="F4" s="3417"/>
      <c r="G4" s="3392" t="s">
        <v>524</v>
      </c>
      <c r="H4" s="3393"/>
      <c r="I4" s="3392" t="s">
        <v>525</v>
      </c>
      <c r="J4" s="3393"/>
      <c r="K4" s="513" t="s">
        <v>526</v>
      </c>
      <c r="L4" s="2118"/>
      <c r="M4" s="2119"/>
      <c r="N4" s="2119"/>
      <c r="O4" s="2119"/>
      <c r="P4" s="3394" t="s">
        <v>527</v>
      </c>
      <c r="Q4" s="3395"/>
      <c r="R4" s="3380" t="s">
        <v>523</v>
      </c>
      <c r="S4" s="3381"/>
      <c r="T4" s="3380" t="s">
        <v>524</v>
      </c>
      <c r="U4" s="3381"/>
      <c r="V4" s="3400" t="s">
        <v>525</v>
      </c>
      <c r="W4" s="3400"/>
      <c r="X4" s="1553"/>
      <c r="Y4" s="3380" t="s">
        <v>527</v>
      </c>
      <c r="Z4" s="3381"/>
      <c r="AA4" s="3375" t="s">
        <v>523</v>
      </c>
      <c r="AB4" s="3400" t="s">
        <v>524</v>
      </c>
      <c r="AC4" s="3375" t="s">
        <v>525</v>
      </c>
    </row>
    <row r="5" spans="1:29" ht="15">
      <c r="A5" s="514"/>
      <c r="B5" s="515"/>
      <c r="C5" s="3403" t="s">
        <v>2930</v>
      </c>
      <c r="D5" s="3404"/>
      <c r="E5" s="3418" t="s">
        <v>2931</v>
      </c>
      <c r="F5" s="3419"/>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400"/>
      <c r="AC5" s="3376"/>
    </row>
    <row r="6" spans="1:29" ht="15.75" thickBot="1">
      <c r="A6" s="516"/>
      <c r="B6" s="517"/>
      <c r="C6" s="3401" t="s">
        <v>2934</v>
      </c>
      <c r="D6" s="3402"/>
      <c r="E6" s="3420" t="s">
        <v>2934</v>
      </c>
      <c r="F6" s="3421"/>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400"/>
      <c r="AC6" s="3377"/>
    </row>
    <row r="7" spans="1:29" s="1215" customFormat="1" ht="15.75" thickBot="1">
      <c r="A7" s="2867"/>
      <c r="B7" s="2874" t="s">
        <v>529</v>
      </c>
      <c r="C7" s="518">
        <f>'数据-取费表'!B2</f>
        <v>43734</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78" t="s">
        <v>530</v>
      </c>
      <c r="Q7" s="3387"/>
      <c r="R7" s="1554" t="s">
        <v>8</v>
      </c>
      <c r="S7" s="1555">
        <f t="shared" ref="S7:S15" si="0">F7</f>
        <v>0</v>
      </c>
      <c r="T7" s="1554" t="s">
        <v>8</v>
      </c>
      <c r="U7" s="1555">
        <f t="shared" ref="U7:U15" si="1">H7</f>
        <v>0</v>
      </c>
      <c r="V7" s="1554" t="s">
        <v>8</v>
      </c>
      <c r="W7" s="1555">
        <f t="shared" ref="W7:W15" si="2">J7</f>
        <v>0</v>
      </c>
      <c r="X7" s="1556"/>
      <c r="Y7" s="3378" t="s">
        <v>530</v>
      </c>
      <c r="Z7" s="3379"/>
      <c r="AA7" s="1557" t="e">
        <f>D7/F7</f>
        <v>#DIV/0!</v>
      </c>
      <c r="AB7" s="1557" t="e">
        <f>D7/H7</f>
        <v>#DIV/0!</v>
      </c>
      <c r="AC7" s="1557" t="e">
        <f>D7/J7</f>
        <v>#DIV/0!</v>
      </c>
    </row>
    <row r="8" spans="1:29" s="1215" customFormat="1" ht="15.75" thickBot="1">
      <c r="A8" s="2868"/>
      <c r="B8" s="2875" t="s">
        <v>531</v>
      </c>
      <c r="C8" s="524" t="s">
        <v>576</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46" si="3">D8/F8</f>
        <v>#DIV/0!</v>
      </c>
      <c r="AB8" s="1557" t="e">
        <f t="shared" ref="AB8:AB46" si="4">D8/H8</f>
        <v>#DIV/0!</v>
      </c>
      <c r="AC8" s="1557" t="e">
        <f t="shared" ref="AC8:AC46" si="5">D8/J8</f>
        <v>#DIV/0!</v>
      </c>
    </row>
    <row r="9" spans="1:29" s="1215" customFormat="1" ht="15">
      <c r="A9" s="2869"/>
      <c r="B9" s="2876" t="s">
        <v>2755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86"/>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71.25">
      <c r="A15" s="2865" t="s">
        <v>2753</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88" t="s">
        <v>540</v>
      </c>
      <c r="Q15" s="1558" t="str">
        <f t="shared" si="6"/>
        <v>商业繁华度</v>
      </c>
      <c r="R15" s="1559" t="s">
        <v>8</v>
      </c>
      <c r="S15" s="1560">
        <f t="shared" si="0"/>
        <v>100</v>
      </c>
      <c r="T15" s="1559" t="s">
        <v>8</v>
      </c>
      <c r="U15" s="1560">
        <f t="shared" si="1"/>
        <v>100</v>
      </c>
      <c r="V15" s="1559" t="s">
        <v>8</v>
      </c>
      <c r="W15" s="1560">
        <f t="shared" si="2"/>
        <v>100</v>
      </c>
      <c r="X15" s="1553"/>
      <c r="Y15" s="3388"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9"/>
      <c r="Q16" s="1558"/>
      <c r="R16" s="1559"/>
      <c r="S16" s="1560"/>
      <c r="T16" s="1559"/>
      <c r="U16" s="1560"/>
      <c r="V16" s="1559"/>
      <c r="W16" s="1560"/>
      <c r="X16" s="1553"/>
      <c r="Y16" s="3389"/>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9"/>
      <c r="Q18" s="1558"/>
      <c r="R18" s="1559"/>
      <c r="S18" s="1560"/>
      <c r="T18" s="1559"/>
      <c r="U18" s="1560"/>
      <c r="V18" s="1559"/>
      <c r="W18" s="1560"/>
      <c r="X18" s="1553"/>
      <c r="Y18" s="3389"/>
      <c r="Z18" s="1561"/>
      <c r="AA18" s="1562">
        <v>1</v>
      </c>
      <c r="AB18" s="1562">
        <v>1</v>
      </c>
      <c r="AC18" s="1562">
        <v>1</v>
      </c>
    </row>
    <row r="19" spans="1:29" ht="42.75">
      <c r="A19" s="531"/>
      <c r="B19" s="2564"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89"/>
      <c r="Q20" s="1558"/>
      <c r="R20" s="1559"/>
      <c r="S20" s="1560"/>
      <c r="T20" s="1559"/>
      <c r="U20" s="1560"/>
      <c r="V20" s="1559"/>
      <c r="W20" s="1560"/>
      <c r="X20" s="1553"/>
      <c r="Y20" s="3389"/>
      <c r="Z20" s="1561"/>
      <c r="AA20" s="1562">
        <v>1</v>
      </c>
      <c r="AB20" s="1562">
        <v>1</v>
      </c>
      <c r="AC20" s="1562">
        <v>1</v>
      </c>
    </row>
    <row r="21" spans="1:29" ht="28.5">
      <c r="A21" s="531"/>
      <c r="B21" s="2557"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89"/>
      <c r="Q21" s="2543" t="str">
        <f>B21</f>
        <v>基础设施水平</v>
      </c>
      <c r="R21" s="1559" t="s">
        <v>8</v>
      </c>
      <c r="S21" s="1560">
        <f>F21</f>
        <v>100</v>
      </c>
      <c r="T21" s="1559" t="s">
        <v>8</v>
      </c>
      <c r="U21" s="1560">
        <f>H21</f>
        <v>100</v>
      </c>
      <c r="V21" s="1559" t="s">
        <v>8</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89"/>
      <c r="Q22" s="2543"/>
      <c r="R22" s="1559"/>
      <c r="S22" s="1560"/>
      <c r="T22" s="1559"/>
      <c r="U22" s="1560"/>
      <c r="V22" s="1559"/>
      <c r="W22" s="1560"/>
      <c r="X22" s="2545"/>
      <c r="Y22" s="3389"/>
      <c r="Z22" s="2544"/>
      <c r="AA22" s="1562">
        <v>1</v>
      </c>
      <c r="AB22" s="1562">
        <v>1</v>
      </c>
      <c r="AC22" s="1562">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89"/>
      <c r="Q23" s="1558" t="str">
        <f>B23</f>
        <v>自然及人文环境</v>
      </c>
      <c r="R23" s="1559" t="s">
        <v>8</v>
      </c>
      <c r="S23" s="1560">
        <f>F23</f>
        <v>100</v>
      </c>
      <c r="T23" s="1559" t="s">
        <v>8</v>
      </c>
      <c r="U23" s="1560">
        <f>H23</f>
        <v>100</v>
      </c>
      <c r="V23" s="1559" t="s">
        <v>8</v>
      </c>
      <c r="W23" s="1560">
        <f>J23</f>
        <v>100</v>
      </c>
      <c r="X23" s="1553"/>
      <c r="Y23" s="338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89"/>
      <c r="Q24" s="1558"/>
      <c r="R24" s="1559"/>
      <c r="S24" s="1560"/>
      <c r="T24" s="1559"/>
      <c r="U24" s="1560"/>
      <c r="V24" s="1559"/>
      <c r="W24" s="1560"/>
      <c r="X24" s="1553"/>
      <c r="Y24" s="3389"/>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89"/>
      <c r="Q25" s="1558" t="str">
        <f t="shared" ref="Q25:Q46" si="11">B25</f>
        <v>临街状况</v>
      </c>
      <c r="R25" s="1559" t="s">
        <v>8</v>
      </c>
      <c r="S25" s="1560">
        <f>F25</f>
        <v>100</v>
      </c>
      <c r="T25" s="1559" t="s">
        <v>8</v>
      </c>
      <c r="U25" s="1560">
        <f>H25</f>
        <v>100</v>
      </c>
      <c r="V25" s="1559" t="s">
        <v>8</v>
      </c>
      <c r="W25" s="1560">
        <f>J25</f>
        <v>100</v>
      </c>
      <c r="X25" s="1553"/>
      <c r="Y25" s="3389"/>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89"/>
      <c r="Q26" s="1558" t="str">
        <f t="shared" si="11"/>
        <v>平面位置/可视性</v>
      </c>
      <c r="R26" s="1559" t="s">
        <v>8</v>
      </c>
      <c r="S26" s="1560">
        <f>F26</f>
        <v>100</v>
      </c>
      <c r="T26" s="1559" t="s">
        <v>8</v>
      </c>
      <c r="U26" s="1560">
        <f>H26</f>
        <v>100</v>
      </c>
      <c r="V26" s="1559" t="s">
        <v>8</v>
      </c>
      <c r="W26" s="1560">
        <f>J26</f>
        <v>100</v>
      </c>
      <c r="X26" s="1553"/>
      <c r="Y26" s="3389"/>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89"/>
      <c r="Q27" s="1146" t="str">
        <f t="shared" si="11"/>
        <v>人流量</v>
      </c>
      <c r="R27" s="1554" t="s">
        <v>8</v>
      </c>
      <c r="S27" s="1555">
        <f>F27</f>
        <v>100</v>
      </c>
      <c r="T27" s="1554" t="s">
        <v>8</v>
      </c>
      <c r="U27" s="1555">
        <f>H27</f>
        <v>100</v>
      </c>
      <c r="V27" s="1554" t="s">
        <v>8</v>
      </c>
      <c r="W27" s="1555">
        <f>J27</f>
        <v>100</v>
      </c>
      <c r="X27" s="1556"/>
      <c r="Y27" s="3389"/>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8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9"/>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89"/>
      <c r="Q29" s="1558">
        <f t="shared" si="11"/>
        <v>111</v>
      </c>
      <c r="R29" s="1559" t="s">
        <v>8</v>
      </c>
      <c r="S29" s="1560">
        <f t="shared" si="12"/>
        <v>100</v>
      </c>
      <c r="T29" s="1559" t="s">
        <v>8</v>
      </c>
      <c r="U29" s="1560">
        <f t="shared" si="13"/>
        <v>100</v>
      </c>
      <c r="V29" s="1559" t="s">
        <v>8</v>
      </c>
      <c r="W29" s="1560">
        <f t="shared" si="14"/>
        <v>100</v>
      </c>
      <c r="X29" s="1553"/>
      <c r="Y29" s="338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
      <c r="A32" s="2862"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90" t="s">
        <v>550</v>
      </c>
      <c r="Q32" s="1558" t="str">
        <f t="shared" si="11"/>
        <v>商业类型</v>
      </c>
      <c r="R32" s="1559" t="s">
        <v>8</v>
      </c>
      <c r="S32" s="1560">
        <f t="shared" si="12"/>
        <v>100</v>
      </c>
      <c r="T32" s="1559" t="s">
        <v>8</v>
      </c>
      <c r="U32" s="1560">
        <f t="shared" si="13"/>
        <v>100</v>
      </c>
      <c r="V32" s="1559" t="s">
        <v>8</v>
      </c>
      <c r="W32" s="1560">
        <f t="shared" si="14"/>
        <v>100</v>
      </c>
      <c r="X32" s="1553"/>
      <c r="Y32" s="3391"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91"/>
      <c r="Q33" s="1590" t="str">
        <f t="shared" si="11"/>
        <v>项目建筑规模</v>
      </c>
      <c r="R33" s="1563" t="s">
        <v>8</v>
      </c>
      <c r="S33" s="1564" t="e">
        <f t="shared" si="12"/>
        <v>#N/A</v>
      </c>
      <c r="T33" s="1563" t="s">
        <v>8</v>
      </c>
      <c r="U33" s="1564" t="e">
        <f t="shared" si="13"/>
        <v>#N/A</v>
      </c>
      <c r="V33" s="1563" t="s">
        <v>8</v>
      </c>
      <c r="W33" s="1564" t="e">
        <f t="shared" si="14"/>
        <v>#N/A</v>
      </c>
      <c r="X33" s="1565"/>
      <c r="Y33" s="3391"/>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91"/>
      <c r="Q34" s="1558" t="str">
        <f t="shared" si="11"/>
        <v>建筑结构</v>
      </c>
      <c r="R34" s="1559" t="s">
        <v>8</v>
      </c>
      <c r="S34" s="1560">
        <f t="shared" si="12"/>
        <v>100</v>
      </c>
      <c r="T34" s="1559" t="s">
        <v>8</v>
      </c>
      <c r="U34" s="1560">
        <f t="shared" si="13"/>
        <v>100</v>
      </c>
      <c r="V34" s="1559" t="s">
        <v>8</v>
      </c>
      <c r="W34" s="1560">
        <f t="shared" si="14"/>
        <v>100</v>
      </c>
      <c r="X34" s="1553"/>
      <c r="Y34" s="3391"/>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91"/>
      <c r="Q35" s="1558" t="str">
        <f t="shared" si="11"/>
        <v>公共部分装修</v>
      </c>
      <c r="R35" s="1559" t="s">
        <v>8</v>
      </c>
      <c r="S35" s="1560">
        <f t="shared" si="12"/>
        <v>100</v>
      </c>
      <c r="T35" s="1559" t="s">
        <v>8</v>
      </c>
      <c r="U35" s="1560">
        <f t="shared" si="13"/>
        <v>100</v>
      </c>
      <c r="V35" s="1559" t="s">
        <v>8</v>
      </c>
      <c r="W35" s="1560">
        <f t="shared" si="14"/>
        <v>100</v>
      </c>
      <c r="X35" s="1553"/>
      <c r="Y35" s="3391"/>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91"/>
      <c r="Q36" s="1558" t="str">
        <f t="shared" si="11"/>
        <v>成新度</v>
      </c>
      <c r="R36" s="1559" t="s">
        <v>8</v>
      </c>
      <c r="S36" s="1560" t="e">
        <f t="shared" si="12"/>
        <v>#N/A</v>
      </c>
      <c r="T36" s="1559" t="s">
        <v>8</v>
      </c>
      <c r="U36" s="1560" t="e">
        <f t="shared" si="13"/>
        <v>#N/A</v>
      </c>
      <c r="V36" s="1559" t="s">
        <v>8</v>
      </c>
      <c r="W36" s="1560" t="e">
        <f t="shared" si="14"/>
        <v>#N/A</v>
      </c>
      <c r="X36" s="1553"/>
      <c r="Y36" s="3391"/>
      <c r="Z36" s="1561" t="str">
        <f t="shared" si="15"/>
        <v>成新度</v>
      </c>
      <c r="AA36" s="1562" t="e">
        <f t="shared" si="3"/>
        <v>#N/A</v>
      </c>
      <c r="AB36" s="1562" t="e">
        <f t="shared" si="4"/>
        <v>#N/A</v>
      </c>
      <c r="AC36" s="1562" t="e">
        <f t="shared" si="5"/>
        <v>#N/A</v>
      </c>
    </row>
    <row r="37" spans="1:29" s="1215" customFormat="1" ht="15">
      <c r="A37" s="599"/>
      <c r="B37" s="1880"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91"/>
      <c r="Q37" s="1146" t="str">
        <f t="shared" si="11"/>
        <v>市政基础设施</v>
      </c>
      <c r="R37" s="1554" t="s">
        <v>8</v>
      </c>
      <c r="S37" s="1555">
        <f t="shared" si="12"/>
        <v>100</v>
      </c>
      <c r="T37" s="1554" t="s">
        <v>8</v>
      </c>
      <c r="U37" s="1555">
        <f t="shared" si="13"/>
        <v>100</v>
      </c>
      <c r="V37" s="1554" t="s">
        <v>8</v>
      </c>
      <c r="W37" s="1555">
        <f t="shared" si="14"/>
        <v>100</v>
      </c>
      <c r="X37" s="1556"/>
      <c r="Y37" s="3391"/>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91" t="s">
        <v>766</v>
      </c>
      <c r="Q38" s="1558" t="str">
        <f t="shared" si="11"/>
        <v>业态</v>
      </c>
      <c r="R38" s="1559" t="s">
        <v>8</v>
      </c>
      <c r="S38" s="1560">
        <f t="shared" si="12"/>
        <v>100</v>
      </c>
      <c r="T38" s="1559" t="s">
        <v>8</v>
      </c>
      <c r="U38" s="1560">
        <f t="shared" si="13"/>
        <v>100</v>
      </c>
      <c r="V38" s="1559" t="s">
        <v>8</v>
      </c>
      <c r="W38" s="1560">
        <f t="shared" si="14"/>
        <v>100</v>
      </c>
      <c r="X38" s="1553"/>
      <c r="Y38" s="3391"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1"/>
      <c r="Q39" s="1558" t="str">
        <f t="shared" si="11"/>
        <v>层高</v>
      </c>
      <c r="R39" s="1559" t="s">
        <v>8</v>
      </c>
      <c r="S39" s="1560">
        <f t="shared" si="12"/>
        <v>100</v>
      </c>
      <c r="T39" s="1559" t="s">
        <v>8</v>
      </c>
      <c r="U39" s="1560">
        <f t="shared" si="13"/>
        <v>100</v>
      </c>
      <c r="V39" s="1559" t="s">
        <v>8</v>
      </c>
      <c r="W39" s="1560">
        <f t="shared" si="14"/>
        <v>100</v>
      </c>
      <c r="X39" s="1553"/>
      <c r="Y39" s="3391"/>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91"/>
      <c r="Q40" s="1558" t="str">
        <f t="shared" si="11"/>
        <v>单套建筑面积</v>
      </c>
      <c r="R40" s="1559" t="s">
        <v>8</v>
      </c>
      <c r="S40" s="1560">
        <f t="shared" si="12"/>
        <v>100</v>
      </c>
      <c r="T40" s="1559" t="s">
        <v>8</v>
      </c>
      <c r="U40" s="1560">
        <f t="shared" si="13"/>
        <v>100</v>
      </c>
      <c r="V40" s="1559" t="s">
        <v>8</v>
      </c>
      <c r="W40" s="1560">
        <f t="shared" si="14"/>
        <v>100</v>
      </c>
      <c r="X40" s="1553"/>
      <c r="Y40" s="3391"/>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91"/>
      <c r="Q41" s="1590" t="str">
        <f t="shared" si="11"/>
        <v>进深比</v>
      </c>
      <c r="R41" s="1563" t="s">
        <v>8</v>
      </c>
      <c r="S41" s="1564">
        <f t="shared" si="12"/>
        <v>100</v>
      </c>
      <c r="T41" s="1563" t="s">
        <v>8</v>
      </c>
      <c r="U41" s="1564">
        <f t="shared" si="13"/>
        <v>100</v>
      </c>
      <c r="V41" s="1563" t="s">
        <v>8</v>
      </c>
      <c r="W41" s="1564">
        <f t="shared" si="14"/>
        <v>100</v>
      </c>
      <c r="X41" s="1565"/>
      <c r="Y41" s="3391"/>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91"/>
      <c r="Q42" s="1558" t="str">
        <f t="shared" si="11"/>
        <v>内部装修</v>
      </c>
      <c r="R42" s="1559" t="s">
        <v>8</v>
      </c>
      <c r="S42" s="1560">
        <f t="shared" si="12"/>
        <v>100</v>
      </c>
      <c r="T42" s="1559" t="s">
        <v>8</v>
      </c>
      <c r="U42" s="1560">
        <f t="shared" si="13"/>
        <v>100</v>
      </c>
      <c r="V42" s="1559" t="s">
        <v>8</v>
      </c>
      <c r="W42" s="1560">
        <f t="shared" si="14"/>
        <v>100</v>
      </c>
      <c r="X42" s="1553"/>
      <c r="Y42" s="3391"/>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91"/>
      <c r="Q43" s="1558" t="str">
        <f t="shared" si="11"/>
        <v>内部装修维护情况</v>
      </c>
      <c r="R43" s="1559" t="s">
        <v>8</v>
      </c>
      <c r="S43" s="1560">
        <f t="shared" si="12"/>
        <v>100</v>
      </c>
      <c r="T43" s="1559" t="s">
        <v>8</v>
      </c>
      <c r="U43" s="1560">
        <f t="shared" si="13"/>
        <v>100</v>
      </c>
      <c r="V43" s="1559" t="s">
        <v>8</v>
      </c>
      <c r="W43" s="1560">
        <f t="shared" si="14"/>
        <v>100</v>
      </c>
      <c r="X43" s="1553"/>
      <c r="Y43" s="339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91"/>
      <c r="Q44" s="1146">
        <f t="shared" si="11"/>
        <v>111</v>
      </c>
      <c r="R44" s="1554" t="s">
        <v>8</v>
      </c>
      <c r="S44" s="1555">
        <f t="shared" si="12"/>
        <v>100</v>
      </c>
      <c r="T44" s="1554" t="s">
        <v>8</v>
      </c>
      <c r="U44" s="1555">
        <f t="shared" si="13"/>
        <v>100</v>
      </c>
      <c r="V44" s="1554" t="s">
        <v>8</v>
      </c>
      <c r="W44" s="1555">
        <f t="shared" si="14"/>
        <v>100</v>
      </c>
      <c r="X44" s="1556"/>
      <c r="Y44" s="339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91"/>
      <c r="Q45" s="1558">
        <f t="shared" si="11"/>
        <v>111</v>
      </c>
      <c r="R45" s="1559" t="s">
        <v>8</v>
      </c>
      <c r="S45" s="1560">
        <f t="shared" si="12"/>
        <v>100</v>
      </c>
      <c r="T45" s="1559" t="s">
        <v>8</v>
      </c>
      <c r="U45" s="1560">
        <f t="shared" si="13"/>
        <v>100</v>
      </c>
      <c r="V45" s="1559" t="s">
        <v>8</v>
      </c>
      <c r="W45" s="1560">
        <f t="shared" si="14"/>
        <v>100</v>
      </c>
      <c r="X45" s="1553"/>
      <c r="Y45" s="3391"/>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91"/>
      <c r="Q46" s="1558">
        <f t="shared" si="11"/>
        <v>111</v>
      </c>
      <c r="R46" s="1559" t="s">
        <v>8</v>
      </c>
      <c r="S46" s="1560">
        <f t="shared" si="12"/>
        <v>100</v>
      </c>
      <c r="T46" s="1559" t="s">
        <v>8</v>
      </c>
      <c r="U46" s="1560">
        <f t="shared" si="13"/>
        <v>100</v>
      </c>
      <c r="V46" s="1559" t="s">
        <v>8</v>
      </c>
      <c r="W46" s="1560">
        <f t="shared" si="14"/>
        <v>100</v>
      </c>
      <c r="X46" s="1553"/>
      <c r="Y46" s="3491"/>
      <c r="Z46" s="1561">
        <f t="shared" si="15"/>
        <v>111</v>
      </c>
      <c r="AA46" s="1562">
        <f t="shared" si="3"/>
        <v>1</v>
      </c>
      <c r="AB46" s="1562">
        <f t="shared" si="4"/>
        <v>1</v>
      </c>
      <c r="AC46" s="1562">
        <f t="shared" si="5"/>
        <v>1</v>
      </c>
    </row>
    <row r="47" spans="1:29" ht="15">
      <c r="A47" s="606" t="s">
        <v>736</v>
      </c>
      <c r="B47" s="886"/>
      <c r="C47" s="2591" t="s">
        <v>1</v>
      </c>
      <c r="D47" s="2592"/>
      <c r="E47" s="2593"/>
      <c r="F47" s="2594"/>
      <c r="G47" s="2595"/>
      <c r="H47" s="2596"/>
      <c r="I47" s="2593"/>
      <c r="J47" s="2596"/>
      <c r="K47" s="1596"/>
      <c r="L47" s="2129"/>
      <c r="M47" s="2130"/>
      <c r="N47" s="2119"/>
      <c r="O47" s="2130"/>
      <c r="P47" s="3386" t="str">
        <f>A47</f>
        <v>成交单价（元/平方米）</v>
      </c>
      <c r="Q47" s="3386"/>
      <c r="R47" s="3490">
        <f>E47</f>
        <v>0</v>
      </c>
      <c r="S47" s="3490"/>
      <c r="T47" s="3490">
        <f>G47</f>
        <v>0</v>
      </c>
      <c r="U47" s="3490"/>
      <c r="V47" s="3490">
        <f>I47</f>
        <v>0</v>
      </c>
      <c r="W47" s="3490"/>
      <c r="X47" s="1545"/>
      <c r="Y47" s="1567"/>
      <c r="Z47" s="1545"/>
      <c r="AA47" s="1545"/>
      <c r="AB47" s="1545"/>
      <c r="AC47" s="1545"/>
    </row>
    <row r="48" spans="1:29" ht="15.75" thickBot="1">
      <c r="A48" s="614" t="s">
        <v>2759</v>
      </c>
      <c r="B48" s="887"/>
      <c r="C48" s="2597" t="e">
        <f>R49</f>
        <v>#DIV/0!</v>
      </c>
      <c r="D48" s="2598"/>
      <c r="E48" s="2599" t="e">
        <f>R48</f>
        <v>#DIV/0!</v>
      </c>
      <c r="F48" s="2599"/>
      <c r="G48" s="2597" t="e">
        <f>T48</f>
        <v>#DIV/0!</v>
      </c>
      <c r="H48" s="2598"/>
      <c r="I48" s="2599" t="e">
        <f>V48</f>
        <v>#DIV/0!</v>
      </c>
      <c r="J48" s="2598"/>
      <c r="K48" s="1597"/>
      <c r="L48" s="2129"/>
      <c r="M48" s="2130"/>
      <c r="N48" s="2119"/>
      <c r="O48" s="2130"/>
      <c r="P48" s="3386" t="str">
        <f>A48</f>
        <v>比较价格（元/平方米）</v>
      </c>
      <c r="Q48" s="338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45"/>
      <c r="Y48" s="1545"/>
      <c r="Z48" s="1545"/>
      <c r="AA48" s="1545"/>
      <c r="AB48" s="1545"/>
      <c r="AC48" s="1545"/>
    </row>
    <row r="49" spans="1:29" ht="15.75" thickBot="1">
      <c r="A49" s="620" t="s">
        <v>2936</v>
      </c>
      <c r="B49" s="621"/>
      <c r="C49" s="2600" t="e">
        <f>R49</f>
        <v>#DIV/0!</v>
      </c>
      <c r="D49" s="2600"/>
      <c r="E49" s="2600"/>
      <c r="F49" s="2600"/>
      <c r="G49" s="2600"/>
      <c r="H49" s="2600"/>
      <c r="I49" s="2600"/>
      <c r="J49" s="2600"/>
      <c r="K49" s="1598"/>
      <c r="L49" s="2129"/>
      <c r="M49" s="2130"/>
      <c r="N49" s="2119"/>
      <c r="O49" s="2130"/>
      <c r="P49" s="3407" t="str">
        <f>A49</f>
        <v>估价对象XX用房的比较价格（楼面单价，元/平方米）</v>
      </c>
      <c r="Q49" s="3408"/>
      <c r="R49" s="3489" t="e">
        <f>IF(F1="售价",ROUND(AVERAGE(R48:V48),0),ROUND(AVERAGE(R48:V48),1))</f>
        <v>#DIV/0!</v>
      </c>
      <c r="S49" s="3489"/>
      <c r="T49" s="3489"/>
      <c r="U49" s="3489"/>
      <c r="V49" s="3489"/>
      <c r="W49" s="348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529</v>
      </c>
      <c r="B58" s="645"/>
      <c r="C58" s="2757" t="str">
        <f>YEAR(C7)&amp;"-"&amp;MONTH(C7)</f>
        <v>2019-9</v>
      </c>
      <c r="D58" s="2759">
        <f>EDATE(C58,-1)</f>
        <v>43678</v>
      </c>
      <c r="E58" s="2759">
        <f t="shared" ref="E58:O58" si="16">EDATE(D58,-1)</f>
        <v>43647</v>
      </c>
      <c r="F58" s="2759">
        <f t="shared" si="16"/>
        <v>43617</v>
      </c>
      <c r="G58" s="2759">
        <f t="shared" si="16"/>
        <v>43586</v>
      </c>
      <c r="H58" s="2759">
        <f t="shared" si="16"/>
        <v>43556</v>
      </c>
      <c r="I58" s="2759">
        <f t="shared" si="16"/>
        <v>43525</v>
      </c>
      <c r="J58" s="2759">
        <f t="shared" si="16"/>
        <v>43497</v>
      </c>
      <c r="K58" s="2759">
        <f t="shared" si="16"/>
        <v>43466</v>
      </c>
      <c r="L58" s="2759">
        <f t="shared" si="16"/>
        <v>43435</v>
      </c>
      <c r="M58" s="2759">
        <f t="shared" si="16"/>
        <v>43405</v>
      </c>
      <c r="N58" s="2759">
        <f t="shared" si="16"/>
        <v>43374</v>
      </c>
      <c r="O58" s="2759">
        <f t="shared" si="16"/>
        <v>43344</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575</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531</v>
      </c>
      <c r="B61" s="647"/>
      <c r="C61" s="659" t="s">
        <v>576</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577</v>
      </c>
      <c r="B63" s="664" t="s">
        <v>534</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539</v>
      </c>
      <c r="B76" s="664" t="s">
        <v>578</v>
      </c>
      <c r="C76" s="702" t="s">
        <v>579</v>
      </c>
      <c r="D76" s="702" t="s">
        <v>580</v>
      </c>
      <c r="E76" s="702" t="s">
        <v>581</v>
      </c>
      <c r="F76" s="702" t="s">
        <v>582</v>
      </c>
      <c r="G76" s="702" t="s">
        <v>583</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586</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2556</v>
      </c>
      <c r="C80" s="707" t="s">
        <v>579</v>
      </c>
      <c r="D80" s="707" t="s">
        <v>580</v>
      </c>
      <c r="E80" s="707" t="s">
        <v>581</v>
      </c>
      <c r="F80" s="707" t="s">
        <v>582</v>
      </c>
      <c r="G80" s="707" t="s">
        <v>583</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2557</v>
      </c>
      <c r="C82" s="2562" t="s">
        <v>2558</v>
      </c>
      <c r="D82" s="2562" t="s">
        <v>2559</v>
      </c>
      <c r="E82" s="2562" t="s">
        <v>2560</v>
      </c>
      <c r="F82" s="2562" t="s">
        <v>2561</v>
      </c>
      <c r="G82" s="2562" t="s">
        <v>2562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744</v>
      </c>
      <c r="C84" s="707" t="s">
        <v>579</v>
      </c>
      <c r="D84" s="707" t="s">
        <v>580</v>
      </c>
      <c r="E84" s="707" t="s">
        <v>581</v>
      </c>
      <c r="F84" s="707" t="s">
        <v>582</v>
      </c>
      <c r="G84" s="707" t="s">
        <v>583</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771</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551</v>
      </c>
      <c r="B100" s="664" t="s">
        <v>772</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749</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751</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2555</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773</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774</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775</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776</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755</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2"/>
      <c r="G1" s="1586" t="s">
        <v>721</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521</v>
      </c>
      <c r="B4" s="512"/>
      <c r="C4" s="3392" t="s">
        <v>522</v>
      </c>
      <c r="D4" s="3393"/>
      <c r="E4" s="3416" t="s">
        <v>523</v>
      </c>
      <c r="F4" s="3417"/>
      <c r="G4" s="3392" t="s">
        <v>524</v>
      </c>
      <c r="H4" s="3393"/>
      <c r="I4" s="3392" t="s">
        <v>525</v>
      </c>
      <c r="J4" s="3393"/>
      <c r="K4" s="513" t="s">
        <v>526</v>
      </c>
      <c r="L4" s="2118"/>
      <c r="M4" s="2119"/>
      <c r="N4" s="2119"/>
      <c r="O4" s="2119"/>
      <c r="P4" s="3492" t="s">
        <v>527</v>
      </c>
      <c r="Q4" s="3395"/>
      <c r="R4" s="3380" t="s">
        <v>523</v>
      </c>
      <c r="S4" s="3381"/>
      <c r="T4" s="3380" t="s">
        <v>524</v>
      </c>
      <c r="U4" s="3381"/>
      <c r="V4" s="3400" t="s">
        <v>525</v>
      </c>
      <c r="W4" s="3400"/>
      <c r="X4" s="1553"/>
      <c r="Y4" s="3380" t="s">
        <v>527</v>
      </c>
      <c r="Z4" s="3381"/>
      <c r="AA4" s="3375" t="s">
        <v>523</v>
      </c>
      <c r="AB4" s="3375" t="s">
        <v>524</v>
      </c>
      <c r="AC4" s="3375" t="s">
        <v>525</v>
      </c>
    </row>
    <row r="5" spans="1:29" ht="15">
      <c r="A5" s="514"/>
      <c r="B5" s="515"/>
      <c r="C5" s="3403" t="s">
        <v>2930</v>
      </c>
      <c r="D5" s="3404"/>
      <c r="E5" s="3418" t="s">
        <v>2931</v>
      </c>
      <c r="F5" s="3419"/>
      <c r="G5" s="3403" t="s">
        <v>2932</v>
      </c>
      <c r="H5" s="3404"/>
      <c r="I5" s="3403" t="s">
        <v>2933</v>
      </c>
      <c r="J5" s="3404"/>
      <c r="K5" s="513"/>
      <c r="L5" s="2118"/>
      <c r="M5" s="2119"/>
      <c r="N5" s="2119"/>
      <c r="O5" s="2119"/>
      <c r="P5" s="3493"/>
      <c r="Q5" s="3397"/>
      <c r="R5" s="3382"/>
      <c r="S5" s="3383"/>
      <c r="T5" s="3382"/>
      <c r="U5" s="3383"/>
      <c r="V5" s="3400"/>
      <c r="W5" s="3400"/>
      <c r="X5" s="1553"/>
      <c r="Y5" s="3382"/>
      <c r="Z5" s="3383"/>
      <c r="AA5" s="3376"/>
      <c r="AB5" s="3376"/>
      <c r="AC5" s="3376"/>
    </row>
    <row r="6" spans="1:29" ht="15.75" thickBot="1">
      <c r="A6" s="516"/>
      <c r="B6" s="517"/>
      <c r="C6" s="3401" t="s">
        <v>2934</v>
      </c>
      <c r="D6" s="3402"/>
      <c r="E6" s="3420" t="s">
        <v>2934</v>
      </c>
      <c r="F6" s="3421"/>
      <c r="G6" s="3401" t="s">
        <v>2934</v>
      </c>
      <c r="H6" s="3402"/>
      <c r="I6" s="3401" t="s">
        <v>2934</v>
      </c>
      <c r="J6" s="3402"/>
      <c r="K6" s="513" t="s">
        <v>528</v>
      </c>
      <c r="L6" s="2118"/>
      <c r="M6" s="2119"/>
      <c r="N6" s="2119"/>
      <c r="O6" s="2119"/>
      <c r="P6" s="3494"/>
      <c r="Q6" s="3399"/>
      <c r="R6" s="3382"/>
      <c r="S6" s="3383"/>
      <c r="T6" s="3384"/>
      <c r="U6" s="3385"/>
      <c r="V6" s="3400"/>
      <c r="W6" s="3400"/>
      <c r="X6" s="1553"/>
      <c r="Y6" s="3384"/>
      <c r="Z6" s="3385"/>
      <c r="AA6" s="3377"/>
      <c r="AB6" s="3377"/>
      <c r="AC6" s="3377"/>
    </row>
    <row r="7" spans="1:29" s="1215" customFormat="1" ht="15.75" thickBot="1">
      <c r="A7" s="2867"/>
      <c r="B7" s="2874" t="s">
        <v>529</v>
      </c>
      <c r="C7" s="518">
        <f>'数据-取费表'!B2</f>
        <v>43734</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87" t="s">
        <v>530</v>
      </c>
      <c r="Q7" s="3387"/>
      <c r="R7" s="1554" t="s">
        <v>8</v>
      </c>
      <c r="S7" s="1555">
        <f t="shared" ref="S7:S15" si="0">F7</f>
        <v>0</v>
      </c>
      <c r="T7" s="1554" t="s">
        <v>8</v>
      </c>
      <c r="U7" s="1555">
        <f t="shared" ref="U7:U15" si="1">H7</f>
        <v>0</v>
      </c>
      <c r="V7" s="1554" t="s">
        <v>8</v>
      </c>
      <c r="W7" s="1555">
        <f t="shared" ref="W7:W15" si="2">J7</f>
        <v>0</v>
      </c>
      <c r="X7" s="1556"/>
      <c r="Y7" s="3378" t="s">
        <v>530</v>
      </c>
      <c r="Z7" s="3379"/>
      <c r="AA7" s="1557" t="e">
        <f>D7/F7</f>
        <v>#DIV/0!</v>
      </c>
      <c r="AB7" s="1557" t="e">
        <f>D7/H7</f>
        <v>#DIV/0!</v>
      </c>
      <c r="AC7" s="1557" t="e">
        <f>D7/J7</f>
        <v>#DIV/0!</v>
      </c>
    </row>
    <row r="8" spans="1:29" s="1215" customFormat="1" ht="15.75" thickBot="1">
      <c r="A8" s="2868"/>
      <c r="B8" s="2875" t="s">
        <v>531</v>
      </c>
      <c r="C8" s="524" t="s">
        <v>576</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87" t="s">
        <v>533</v>
      </c>
      <c r="Q8" s="3379"/>
      <c r="R8" s="1554" t="s">
        <v>8</v>
      </c>
      <c r="S8" s="1555">
        <f t="shared" si="0"/>
        <v>0</v>
      </c>
      <c r="T8" s="1554" t="s">
        <v>8</v>
      </c>
      <c r="U8" s="1555">
        <f t="shared" si="1"/>
        <v>0</v>
      </c>
      <c r="V8" s="1554" t="s">
        <v>8</v>
      </c>
      <c r="W8" s="1555">
        <f t="shared" si="2"/>
        <v>0</v>
      </c>
      <c r="X8" s="1556"/>
      <c r="Y8" s="3378" t="s">
        <v>533</v>
      </c>
      <c r="Z8" s="3379"/>
      <c r="AA8" s="1557" t="e">
        <f t="shared" ref="AA8:AA47" si="3">D8/F8</f>
        <v>#DIV/0!</v>
      </c>
      <c r="AB8" s="1557" t="e">
        <f t="shared" ref="AB8:AB47" si="4">D8/H8</f>
        <v>#DIV/0!</v>
      </c>
      <c r="AC8" s="1557" t="e">
        <f t="shared" ref="AC8:AC47" si="5">D8/J8</f>
        <v>#DIV/0!</v>
      </c>
    </row>
    <row r="9" spans="1:29" s="1215" customFormat="1" ht="15">
      <c r="A9" s="2869"/>
      <c r="B9" s="2876" t="s">
        <v>2755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86"/>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71.25">
      <c r="A15" s="2865"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88" t="s">
        <v>540</v>
      </c>
      <c r="Q15" s="1558" t="str">
        <f t="shared" si="6"/>
        <v>办公集聚程度</v>
      </c>
      <c r="R15" s="1559" t="s">
        <v>8</v>
      </c>
      <c r="S15" s="1560">
        <f t="shared" si="0"/>
        <v>100</v>
      </c>
      <c r="T15" s="1559" t="s">
        <v>8</v>
      </c>
      <c r="U15" s="1560">
        <f t="shared" si="1"/>
        <v>100</v>
      </c>
      <c r="V15" s="1559" t="s">
        <v>8</v>
      </c>
      <c r="W15" s="1560">
        <f t="shared" si="2"/>
        <v>100</v>
      </c>
      <c r="X15" s="1553"/>
      <c r="Y15" s="3388"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89"/>
      <c r="Q16" s="1558"/>
      <c r="R16" s="1559"/>
      <c r="S16" s="1560"/>
      <c r="T16" s="1559"/>
      <c r="U16" s="1560"/>
      <c r="V16" s="1559"/>
      <c r="W16" s="1560"/>
      <c r="X16" s="1553"/>
      <c r="Y16" s="3389"/>
      <c r="Z16" s="1561"/>
      <c r="AA16" s="1562">
        <v>1</v>
      </c>
      <c r="AB16" s="1562">
        <v>1</v>
      </c>
      <c r="AC16" s="1562">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89"/>
      <c r="Q18" s="1558"/>
      <c r="R18" s="1559"/>
      <c r="S18" s="1560"/>
      <c r="T18" s="1559"/>
      <c r="U18" s="1560"/>
      <c r="V18" s="1559"/>
      <c r="W18" s="1560"/>
      <c r="X18" s="1553"/>
      <c r="Y18" s="3389"/>
      <c r="Z18" s="1561"/>
      <c r="AA18" s="1562">
        <v>1</v>
      </c>
      <c r="AB18" s="1562">
        <v>1</v>
      </c>
      <c r="AC18" s="1562">
        <v>1</v>
      </c>
    </row>
    <row r="19" spans="1:29" ht="42.75">
      <c r="A19" s="531"/>
      <c r="B19" s="2567"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89"/>
      <c r="Q20" s="1558"/>
      <c r="R20" s="1559"/>
      <c r="S20" s="1560"/>
      <c r="T20" s="1559"/>
      <c r="U20" s="1560"/>
      <c r="V20" s="1559"/>
      <c r="W20" s="1560"/>
      <c r="X20" s="1553"/>
      <c r="Y20" s="3389"/>
      <c r="Z20" s="1561"/>
      <c r="AA20" s="1562">
        <v>1</v>
      </c>
      <c r="AB20" s="1562">
        <v>1</v>
      </c>
      <c r="AC20" s="1562">
        <v>1</v>
      </c>
    </row>
    <row r="21" spans="1:29" ht="28.5">
      <c r="A21" s="531"/>
      <c r="B21" s="2555"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89"/>
      <c r="Q21" s="2543" t="str">
        <f>B21</f>
        <v>基础设施水平</v>
      </c>
      <c r="R21" s="1559" t="s">
        <v>8</v>
      </c>
      <c r="S21" s="1560">
        <f>F21</f>
        <v>100</v>
      </c>
      <c r="T21" s="1559" t="s">
        <v>8</v>
      </c>
      <c r="U21" s="1560">
        <f>H21</f>
        <v>100</v>
      </c>
      <c r="V21" s="1559" t="s">
        <v>8</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89"/>
      <c r="Q22" s="2543"/>
      <c r="R22" s="1559"/>
      <c r="S22" s="1560"/>
      <c r="T22" s="1559"/>
      <c r="U22" s="1560"/>
      <c r="V22" s="1559"/>
      <c r="W22" s="1560"/>
      <c r="X22" s="2545"/>
      <c r="Y22" s="3389"/>
      <c r="Z22" s="2544"/>
      <c r="AA22" s="1562">
        <v>1</v>
      </c>
      <c r="AB22" s="1562">
        <v>1</v>
      </c>
      <c r="AC22" s="1562">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89"/>
      <c r="Q24" s="1558"/>
      <c r="R24" s="1559"/>
      <c r="S24" s="1560"/>
      <c r="T24" s="1559"/>
      <c r="U24" s="1560"/>
      <c r="V24" s="1559"/>
      <c r="W24" s="1560"/>
      <c r="X24" s="1553"/>
      <c r="Y24" s="3389"/>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89"/>
      <c r="Q25" s="1558" t="str">
        <f>B25</f>
        <v>毗邻道路的类型与等级</v>
      </c>
      <c r="R25" s="1559" t="s">
        <v>8</v>
      </c>
      <c r="S25" s="1560">
        <f>F25</f>
        <v>100</v>
      </c>
      <c r="T25" s="1559" t="s">
        <v>8</v>
      </c>
      <c r="U25" s="1560">
        <f>H25</f>
        <v>100</v>
      </c>
      <c r="V25" s="1559" t="s">
        <v>8</v>
      </c>
      <c r="W25" s="1560">
        <f>J25</f>
        <v>100</v>
      </c>
      <c r="X25" s="1553"/>
      <c r="Y25" s="3389"/>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89"/>
      <c r="Q26" s="1558"/>
      <c r="R26" s="1559"/>
      <c r="S26" s="1560"/>
      <c r="T26" s="1559"/>
      <c r="U26" s="1560"/>
      <c r="V26" s="1559"/>
      <c r="W26" s="1560"/>
      <c r="X26" s="1553"/>
      <c r="Y26" s="3389"/>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89"/>
      <c r="Q27" s="1558" t="str">
        <f t="shared" ref="Q27:Q47" si="11">B27</f>
        <v>楼层</v>
      </c>
      <c r="R27" s="1559" t="s">
        <v>8</v>
      </c>
      <c r="S27" s="1560">
        <f>F27</f>
        <v>100</v>
      </c>
      <c r="T27" s="1559" t="s">
        <v>8</v>
      </c>
      <c r="U27" s="1560">
        <f>H27</f>
        <v>100</v>
      </c>
      <c r="V27" s="1559" t="s">
        <v>8</v>
      </c>
      <c r="W27" s="1560">
        <f>J27</f>
        <v>100</v>
      </c>
      <c r="X27" s="1553"/>
      <c r="Y27" s="3389"/>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89"/>
      <c r="Q28" s="1146" t="str">
        <f t="shared" si="11"/>
        <v>朝向</v>
      </c>
      <c r="R28" s="1554" t="s">
        <v>8</v>
      </c>
      <c r="S28" s="1555">
        <f>F28</f>
        <v>100</v>
      </c>
      <c r="T28" s="1554" t="s">
        <v>8</v>
      </c>
      <c r="U28" s="1555">
        <f>H28</f>
        <v>100</v>
      </c>
      <c r="V28" s="1554" t="s">
        <v>8</v>
      </c>
      <c r="W28" s="1555">
        <f>J28</f>
        <v>100</v>
      </c>
      <c r="X28" s="1556"/>
      <c r="Y28" s="3389"/>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89"/>
      <c r="Q29" s="1558">
        <f t="shared" si="11"/>
        <v>111</v>
      </c>
      <c r="R29" s="1559" t="s">
        <v>8</v>
      </c>
      <c r="S29" s="1560">
        <f t="shared" ref="S29:S47" si="12">F29</f>
        <v>100</v>
      </c>
      <c r="T29" s="1559" t="s">
        <v>8</v>
      </c>
      <c r="U29" s="1560">
        <f t="shared" ref="U29:U47" si="13">H29</f>
        <v>100</v>
      </c>
      <c r="V29" s="1559" t="s">
        <v>8</v>
      </c>
      <c r="W29" s="1560">
        <f t="shared" ref="W29:W47" si="14">J29</f>
        <v>100</v>
      </c>
      <c r="X29" s="1553"/>
      <c r="Y29" s="3389"/>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89"/>
      <c r="Q30" s="1558">
        <f t="shared" si="11"/>
        <v>111</v>
      </c>
      <c r="R30" s="1559" t="s">
        <v>8</v>
      </c>
      <c r="S30" s="1560">
        <f t="shared" si="12"/>
        <v>100</v>
      </c>
      <c r="T30" s="1559" t="s">
        <v>8</v>
      </c>
      <c r="U30" s="1560">
        <f t="shared" si="13"/>
        <v>100</v>
      </c>
      <c r="V30" s="1559" t="s">
        <v>8</v>
      </c>
      <c r="W30" s="1560">
        <f t="shared" si="14"/>
        <v>100</v>
      </c>
      <c r="X30" s="1553"/>
      <c r="Y30" s="3389"/>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89"/>
      <c r="Q31" s="1558">
        <f t="shared" si="11"/>
        <v>111</v>
      </c>
      <c r="R31" s="1559" t="s">
        <v>8</v>
      </c>
      <c r="S31" s="1560">
        <f t="shared" si="12"/>
        <v>100</v>
      </c>
      <c r="T31" s="1559" t="s">
        <v>8</v>
      </c>
      <c r="U31" s="1560">
        <f t="shared" si="13"/>
        <v>100</v>
      </c>
      <c r="V31" s="1559" t="s">
        <v>8</v>
      </c>
      <c r="W31" s="1560">
        <f t="shared" si="14"/>
        <v>100</v>
      </c>
      <c r="X31" s="1553"/>
      <c r="Y31" s="3389"/>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89"/>
      <c r="Q32" s="1558">
        <f t="shared" si="11"/>
        <v>111</v>
      </c>
      <c r="R32" s="1559" t="s">
        <v>8</v>
      </c>
      <c r="S32" s="1560">
        <f t="shared" si="12"/>
        <v>100</v>
      </c>
      <c r="T32" s="1559" t="s">
        <v>8</v>
      </c>
      <c r="U32" s="1560">
        <f t="shared" si="13"/>
        <v>100</v>
      </c>
      <c r="V32" s="1559" t="s">
        <v>8</v>
      </c>
      <c r="W32" s="1560">
        <f t="shared" si="14"/>
        <v>100</v>
      </c>
      <c r="X32" s="1553"/>
      <c r="Y32" s="3389"/>
      <c r="Z32" s="1561">
        <f t="shared" si="15"/>
        <v>111</v>
      </c>
      <c r="AA32" s="1562">
        <f t="shared" si="3"/>
        <v>1</v>
      </c>
      <c r="AB32" s="1562">
        <f t="shared" si="4"/>
        <v>1</v>
      </c>
      <c r="AC32" s="1562">
        <f t="shared" si="5"/>
        <v>1</v>
      </c>
    </row>
    <row r="33" spans="1:29" ht="15">
      <c r="A33" s="2862"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90" t="s">
        <v>550</v>
      </c>
      <c r="Q33" s="1558" t="str">
        <f t="shared" si="11"/>
        <v>建筑类型</v>
      </c>
      <c r="R33" s="1559" t="s">
        <v>8</v>
      </c>
      <c r="S33" s="1560">
        <f t="shared" si="12"/>
        <v>100</v>
      </c>
      <c r="T33" s="1559" t="s">
        <v>8</v>
      </c>
      <c r="U33" s="1560">
        <f t="shared" si="13"/>
        <v>100</v>
      </c>
      <c r="V33" s="1559" t="s">
        <v>8</v>
      </c>
      <c r="W33" s="1560">
        <f t="shared" si="14"/>
        <v>100</v>
      </c>
      <c r="X33" s="1553"/>
      <c r="Y33" s="3391"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91"/>
      <c r="Q34" s="1590" t="str">
        <f t="shared" si="11"/>
        <v>项目建筑规模</v>
      </c>
      <c r="R34" s="1563" t="s">
        <v>8</v>
      </c>
      <c r="S34" s="1564" t="e">
        <f t="shared" si="12"/>
        <v>#N/A</v>
      </c>
      <c r="T34" s="1563" t="s">
        <v>8</v>
      </c>
      <c r="U34" s="1564" t="e">
        <f t="shared" si="13"/>
        <v>#N/A</v>
      </c>
      <c r="V34" s="1563" t="s">
        <v>8</v>
      </c>
      <c r="W34" s="1564" t="e">
        <f t="shared" si="14"/>
        <v>#N/A</v>
      </c>
      <c r="X34" s="1565"/>
      <c r="Y34" s="3391"/>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91"/>
      <c r="Q35" s="1558" t="str">
        <f t="shared" si="11"/>
        <v>建筑结构</v>
      </c>
      <c r="R35" s="1559" t="s">
        <v>8</v>
      </c>
      <c r="S35" s="1560">
        <f t="shared" si="12"/>
        <v>100</v>
      </c>
      <c r="T35" s="1559" t="s">
        <v>8</v>
      </c>
      <c r="U35" s="1560">
        <f t="shared" si="13"/>
        <v>100</v>
      </c>
      <c r="V35" s="1559" t="s">
        <v>8</v>
      </c>
      <c r="W35" s="1560">
        <f t="shared" si="14"/>
        <v>100</v>
      </c>
      <c r="X35" s="1553"/>
      <c r="Y35" s="3391"/>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91"/>
      <c r="Q36" s="1558" t="str">
        <f t="shared" si="11"/>
        <v>公共部分装修</v>
      </c>
      <c r="R36" s="1559" t="s">
        <v>8</v>
      </c>
      <c r="S36" s="1560">
        <f t="shared" si="12"/>
        <v>100</v>
      </c>
      <c r="T36" s="1559" t="s">
        <v>8</v>
      </c>
      <c r="U36" s="1560">
        <f t="shared" si="13"/>
        <v>100</v>
      </c>
      <c r="V36" s="1559" t="s">
        <v>8</v>
      </c>
      <c r="W36" s="1560">
        <f t="shared" si="14"/>
        <v>100</v>
      </c>
      <c r="X36" s="1553"/>
      <c r="Y36" s="3391"/>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91"/>
      <c r="Q37" s="1558" t="str">
        <f t="shared" si="11"/>
        <v>成新度</v>
      </c>
      <c r="R37" s="1559" t="s">
        <v>8</v>
      </c>
      <c r="S37" s="1560" t="e">
        <f t="shared" si="12"/>
        <v>#N/A</v>
      </c>
      <c r="T37" s="1559" t="s">
        <v>8</v>
      </c>
      <c r="U37" s="1560" t="e">
        <f t="shared" si="13"/>
        <v>#N/A</v>
      </c>
      <c r="V37" s="1559" t="s">
        <v>8</v>
      </c>
      <c r="W37" s="1560" t="e">
        <f t="shared" si="14"/>
        <v>#N/A</v>
      </c>
      <c r="X37" s="1553"/>
      <c r="Y37" s="3391"/>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91"/>
      <c r="Q38" s="1146" t="str">
        <f t="shared" si="11"/>
        <v>写字楼等级</v>
      </c>
      <c r="R38" s="1554" t="s">
        <v>8</v>
      </c>
      <c r="S38" s="1555">
        <f t="shared" si="12"/>
        <v>100</v>
      </c>
      <c r="T38" s="1554" t="s">
        <v>8</v>
      </c>
      <c r="U38" s="1555">
        <f t="shared" si="13"/>
        <v>100</v>
      </c>
      <c r="V38" s="1554" t="s">
        <v>8</v>
      </c>
      <c r="W38" s="1555">
        <f t="shared" si="14"/>
        <v>100</v>
      </c>
      <c r="X38" s="1556"/>
      <c r="Y38" s="3391"/>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91" t="s">
        <v>550</v>
      </c>
      <c r="Q39" s="1558" t="str">
        <f t="shared" si="11"/>
        <v>物业管理</v>
      </c>
      <c r="R39" s="1559" t="s">
        <v>8</v>
      </c>
      <c r="S39" s="1560">
        <f t="shared" si="12"/>
        <v>100</v>
      </c>
      <c r="T39" s="1559" t="s">
        <v>8</v>
      </c>
      <c r="U39" s="1560">
        <f t="shared" si="13"/>
        <v>100</v>
      </c>
      <c r="V39" s="1559" t="s">
        <v>8</v>
      </c>
      <c r="W39" s="1560">
        <f t="shared" si="14"/>
        <v>100</v>
      </c>
      <c r="X39" s="1553"/>
      <c r="Y39" s="3391" t="s">
        <v>550</v>
      </c>
      <c r="Z39" s="1561" t="str">
        <f t="shared" si="15"/>
        <v>物业管理</v>
      </c>
      <c r="AA39" s="1562">
        <f t="shared" si="3"/>
        <v>1</v>
      </c>
      <c r="AB39" s="1562">
        <f t="shared" si="4"/>
        <v>1</v>
      </c>
      <c r="AC39" s="1562">
        <f t="shared" si="5"/>
        <v>1</v>
      </c>
    </row>
    <row r="40" spans="1:29" ht="15">
      <c r="A40" s="593"/>
      <c r="B40" s="1880"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91"/>
      <c r="Q40" s="1558" t="str">
        <f t="shared" si="11"/>
        <v>市政基础设施</v>
      </c>
      <c r="R40" s="1559" t="s">
        <v>8</v>
      </c>
      <c r="S40" s="1560">
        <f t="shared" si="12"/>
        <v>100</v>
      </c>
      <c r="T40" s="1559" t="s">
        <v>8</v>
      </c>
      <c r="U40" s="1560">
        <f t="shared" si="13"/>
        <v>100</v>
      </c>
      <c r="V40" s="1559" t="s">
        <v>8</v>
      </c>
      <c r="W40" s="1560">
        <f t="shared" si="14"/>
        <v>100</v>
      </c>
      <c r="X40" s="1553"/>
      <c r="Y40" s="3391"/>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91"/>
      <c r="Q41" s="1558" t="str">
        <f t="shared" si="11"/>
        <v>层高</v>
      </c>
      <c r="R41" s="1559" t="s">
        <v>8</v>
      </c>
      <c r="S41" s="1560">
        <f t="shared" si="12"/>
        <v>100</v>
      </c>
      <c r="T41" s="1559" t="s">
        <v>8</v>
      </c>
      <c r="U41" s="1560">
        <f t="shared" si="13"/>
        <v>100</v>
      </c>
      <c r="V41" s="1559" t="s">
        <v>8</v>
      </c>
      <c r="W41" s="1560">
        <f t="shared" si="14"/>
        <v>100</v>
      </c>
      <c r="X41" s="1553"/>
      <c r="Y41" s="3391"/>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91"/>
      <c r="Q42" s="1590" t="str">
        <f t="shared" si="11"/>
        <v>单套建筑面积</v>
      </c>
      <c r="R42" s="1563" t="s">
        <v>8</v>
      </c>
      <c r="S42" s="1564">
        <f t="shared" si="12"/>
        <v>100</v>
      </c>
      <c r="T42" s="1563" t="s">
        <v>8</v>
      </c>
      <c r="U42" s="1564">
        <f t="shared" si="13"/>
        <v>100</v>
      </c>
      <c r="V42" s="1563" t="s">
        <v>8</v>
      </c>
      <c r="W42" s="1564">
        <f t="shared" si="14"/>
        <v>100</v>
      </c>
      <c r="X42" s="1565"/>
      <c r="Y42" s="3391"/>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91"/>
      <c r="Q43" s="1558" t="str">
        <f t="shared" si="11"/>
        <v>内部装修</v>
      </c>
      <c r="R43" s="1559" t="s">
        <v>8</v>
      </c>
      <c r="S43" s="1560">
        <f t="shared" si="12"/>
        <v>100</v>
      </c>
      <c r="T43" s="1559" t="s">
        <v>8</v>
      </c>
      <c r="U43" s="1560">
        <f t="shared" si="13"/>
        <v>100</v>
      </c>
      <c r="V43" s="1559" t="s">
        <v>8</v>
      </c>
      <c r="W43" s="1560">
        <f t="shared" si="14"/>
        <v>100</v>
      </c>
      <c r="X43" s="1553"/>
      <c r="Y43" s="3391"/>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91"/>
      <c r="Q44" s="1558" t="str">
        <f t="shared" si="11"/>
        <v>内部装修维护情况</v>
      </c>
      <c r="R44" s="1559" t="s">
        <v>8</v>
      </c>
      <c r="S44" s="1560">
        <f t="shared" si="12"/>
        <v>100</v>
      </c>
      <c r="T44" s="1559" t="s">
        <v>8</v>
      </c>
      <c r="U44" s="1560">
        <f t="shared" si="13"/>
        <v>100</v>
      </c>
      <c r="V44" s="1559" t="s">
        <v>8</v>
      </c>
      <c r="W44" s="1560">
        <f t="shared" si="14"/>
        <v>100</v>
      </c>
      <c r="X44" s="1553"/>
      <c r="Y44" s="3391"/>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91"/>
      <c r="Q45" s="1146">
        <f t="shared" si="11"/>
        <v>111</v>
      </c>
      <c r="R45" s="1554" t="s">
        <v>8</v>
      </c>
      <c r="S45" s="1555">
        <f t="shared" si="12"/>
        <v>100</v>
      </c>
      <c r="T45" s="1554" t="s">
        <v>8</v>
      </c>
      <c r="U45" s="1555">
        <f t="shared" si="13"/>
        <v>100</v>
      </c>
      <c r="V45" s="1554" t="s">
        <v>8</v>
      </c>
      <c r="W45" s="1555">
        <f t="shared" si="14"/>
        <v>100</v>
      </c>
      <c r="X45" s="1556"/>
      <c r="Y45" s="3391"/>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91"/>
      <c r="Q46" s="1558">
        <f t="shared" si="11"/>
        <v>111</v>
      </c>
      <c r="R46" s="1559" t="s">
        <v>8</v>
      </c>
      <c r="S46" s="1560">
        <f t="shared" si="12"/>
        <v>100</v>
      </c>
      <c r="T46" s="1559" t="s">
        <v>8</v>
      </c>
      <c r="U46" s="1560">
        <f t="shared" si="13"/>
        <v>100</v>
      </c>
      <c r="V46" s="1559" t="s">
        <v>8</v>
      </c>
      <c r="W46" s="1560">
        <f t="shared" si="14"/>
        <v>100</v>
      </c>
      <c r="X46" s="1553"/>
      <c r="Y46" s="3391"/>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91"/>
      <c r="Q47" s="1558">
        <f t="shared" si="11"/>
        <v>111</v>
      </c>
      <c r="R47" s="1559" t="s">
        <v>8</v>
      </c>
      <c r="S47" s="1560">
        <f t="shared" si="12"/>
        <v>100</v>
      </c>
      <c r="T47" s="1559" t="s">
        <v>8</v>
      </c>
      <c r="U47" s="1560">
        <f t="shared" si="13"/>
        <v>100</v>
      </c>
      <c r="V47" s="1559" t="s">
        <v>8</v>
      </c>
      <c r="W47" s="1560">
        <f t="shared" si="14"/>
        <v>100</v>
      </c>
      <c r="X47" s="1553"/>
      <c r="Y47" s="3491"/>
      <c r="Z47" s="1561">
        <f t="shared" si="15"/>
        <v>111</v>
      </c>
      <c r="AA47" s="1562">
        <f t="shared" si="3"/>
        <v>1</v>
      </c>
      <c r="AB47" s="1562">
        <f t="shared" si="4"/>
        <v>1</v>
      </c>
      <c r="AC47" s="1562">
        <f t="shared" si="5"/>
        <v>1</v>
      </c>
    </row>
    <row r="48" spans="1:29" ht="15">
      <c r="A48" s="606" t="s">
        <v>736</v>
      </c>
      <c r="B48" s="886"/>
      <c r="C48" s="2591" t="s">
        <v>1</v>
      </c>
      <c r="D48" s="2592"/>
      <c r="E48" s="2593"/>
      <c r="F48" s="2594"/>
      <c r="G48" s="2595"/>
      <c r="H48" s="2596"/>
      <c r="I48" s="2593"/>
      <c r="J48" s="2596"/>
      <c r="K48" s="1596"/>
      <c r="L48" s="2129"/>
      <c r="M48" s="2119"/>
      <c r="N48" s="2119"/>
      <c r="O48" s="2119"/>
      <c r="P48" s="3408" t="str">
        <f>A48</f>
        <v>成交单价（元/平方米）</v>
      </c>
      <c r="Q48" s="3386"/>
      <c r="R48" s="3490">
        <f>E48</f>
        <v>0</v>
      </c>
      <c r="S48" s="3490"/>
      <c r="T48" s="3490">
        <f>G48</f>
        <v>0</v>
      </c>
      <c r="U48" s="3490"/>
      <c r="V48" s="3490">
        <f>I48</f>
        <v>0</v>
      </c>
      <c r="W48" s="3490"/>
      <c r="X48" s="1545"/>
      <c r="Y48" s="1567"/>
      <c r="Z48" s="1545"/>
      <c r="AA48" s="1545"/>
      <c r="AB48" s="1545"/>
      <c r="AC48" s="1545"/>
    </row>
    <row r="49" spans="1:29" ht="15.75" thickBot="1">
      <c r="A49" s="614" t="s">
        <v>2759</v>
      </c>
      <c r="B49" s="887"/>
      <c r="C49" s="2597" t="e">
        <f>R50</f>
        <v>#DIV/0!</v>
      </c>
      <c r="D49" s="2598"/>
      <c r="E49" s="2599" t="e">
        <f>R49</f>
        <v>#DIV/0!</v>
      </c>
      <c r="F49" s="2599"/>
      <c r="G49" s="2597" t="e">
        <f>T49</f>
        <v>#DIV/0!</v>
      </c>
      <c r="H49" s="2598"/>
      <c r="I49" s="2599" t="e">
        <f>V49</f>
        <v>#DIV/0!</v>
      </c>
      <c r="J49" s="2598"/>
      <c r="K49" s="1597"/>
      <c r="L49" s="2129"/>
      <c r="M49" s="2119"/>
      <c r="N49" s="2119"/>
      <c r="O49" s="2119"/>
      <c r="P49" s="3408" t="str">
        <f>A49</f>
        <v>比较价格（元/平方米）</v>
      </c>
      <c r="Q49" s="338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5"/>
      <c r="Y49" s="1545"/>
      <c r="Z49" s="1545"/>
      <c r="AA49" s="1545"/>
      <c r="AB49" s="1545"/>
      <c r="AC49" s="1545"/>
    </row>
    <row r="50" spans="1:29" ht="15.75" thickBot="1">
      <c r="A50" s="620" t="s">
        <v>2936</v>
      </c>
      <c r="B50" s="621"/>
      <c r="C50" s="2600" t="e">
        <f>R50</f>
        <v>#DIV/0!</v>
      </c>
      <c r="D50" s="2600"/>
      <c r="E50" s="2600"/>
      <c r="F50" s="2600"/>
      <c r="G50" s="2600"/>
      <c r="H50" s="2600"/>
      <c r="I50" s="2600"/>
      <c r="J50" s="2600"/>
      <c r="K50" s="1598"/>
      <c r="L50" s="2129"/>
      <c r="M50" s="2119"/>
      <c r="N50" s="2119"/>
      <c r="O50" s="2119"/>
      <c r="P50" s="3495" t="str">
        <f>A50</f>
        <v>估价对象XX用房的比较价格（楼面单价，元/平方米）</v>
      </c>
      <c r="Q50" s="3408"/>
      <c r="R50" s="3489" t="e">
        <f>IF(F1="售价",ROUND(AVERAGE(R49:V49),0),ROUND(AVERAGE(R49:V49),1))</f>
        <v>#DIV/0!</v>
      </c>
      <c r="S50" s="3489"/>
      <c r="T50" s="3489"/>
      <c r="U50" s="3489"/>
      <c r="V50" s="3489"/>
      <c r="W50" s="348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529</v>
      </c>
      <c r="B59" s="645"/>
      <c r="C59" s="2757" t="str">
        <f>YEAR(C7)&amp;"-"&amp;MONTH(C7)</f>
        <v>2019-9</v>
      </c>
      <c r="D59" s="2759">
        <f>EDATE(C59,-1)</f>
        <v>43678</v>
      </c>
      <c r="E59" s="2759">
        <f t="shared" ref="E59:O59" si="16">EDATE(D59,-1)</f>
        <v>43647</v>
      </c>
      <c r="F59" s="2759">
        <f t="shared" si="16"/>
        <v>43617</v>
      </c>
      <c r="G59" s="2759">
        <f t="shared" si="16"/>
        <v>43586</v>
      </c>
      <c r="H59" s="2759">
        <f t="shared" si="16"/>
        <v>43556</v>
      </c>
      <c r="I59" s="2759">
        <f t="shared" si="16"/>
        <v>43525</v>
      </c>
      <c r="J59" s="2759">
        <f t="shared" si="16"/>
        <v>43497</v>
      </c>
      <c r="K59" s="2759">
        <f t="shared" si="16"/>
        <v>43466</v>
      </c>
      <c r="L59" s="2759">
        <f t="shared" si="16"/>
        <v>43435</v>
      </c>
      <c r="M59" s="2759">
        <f t="shared" si="16"/>
        <v>43405</v>
      </c>
      <c r="N59" s="2759">
        <f t="shared" si="16"/>
        <v>43374</v>
      </c>
      <c r="O59" s="2759">
        <f t="shared" si="16"/>
        <v>43344</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575</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531</v>
      </c>
      <c r="B62" s="647"/>
      <c r="C62" s="659" t="s">
        <v>576</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577</v>
      </c>
      <c r="B64" s="664" t="s">
        <v>534</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539</v>
      </c>
      <c r="B77" s="664" t="s">
        <v>585</v>
      </c>
      <c r="C77" s="702" t="s">
        <v>579</v>
      </c>
      <c r="D77" s="702" t="s">
        <v>580</v>
      </c>
      <c r="E77" s="702" t="s">
        <v>581</v>
      </c>
      <c r="F77" s="702" t="s">
        <v>582</v>
      </c>
      <c r="G77" s="702" t="s">
        <v>583</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586</v>
      </c>
      <c r="C79" s="707" t="s">
        <v>579</v>
      </c>
      <c r="D79" s="707" t="s">
        <v>580</v>
      </c>
      <c r="E79" s="707" t="s">
        <v>581</v>
      </c>
      <c r="F79" s="707" t="s">
        <v>582</v>
      </c>
      <c r="G79" s="707" t="s">
        <v>583</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2556</v>
      </c>
      <c r="C81" s="707" t="s">
        <v>579</v>
      </c>
      <c r="D81" s="707" t="s">
        <v>580</v>
      </c>
      <c r="E81" s="707" t="s">
        <v>581</v>
      </c>
      <c r="F81" s="707" t="s">
        <v>582</v>
      </c>
      <c r="G81" s="707" t="s">
        <v>583</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2557</v>
      </c>
      <c r="C83" s="2562" t="s">
        <v>2558</v>
      </c>
      <c r="D83" s="2562" t="s">
        <v>2559</v>
      </c>
      <c r="E83" s="2562" t="s">
        <v>2560</v>
      </c>
      <c r="F83" s="2562" t="s">
        <v>2561</v>
      </c>
      <c r="G83" s="2562" t="s">
        <v>2562</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784</v>
      </c>
      <c r="C85" s="707" t="s">
        <v>579</v>
      </c>
      <c r="D85" s="707" t="s">
        <v>580</v>
      </c>
      <c r="E85" s="707" t="s">
        <v>581</v>
      </c>
      <c r="F85" s="707" t="s">
        <v>582</v>
      </c>
      <c r="G85" s="707" t="s">
        <v>583</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785</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551</v>
      </c>
      <c r="B101" s="664" t="s">
        <v>747</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749</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751</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786</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753</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2555</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787</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775</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755</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2"/>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521</v>
      </c>
      <c r="B4" s="512"/>
      <c r="C4" s="3392" t="s">
        <v>522</v>
      </c>
      <c r="D4" s="3393"/>
      <c r="E4" s="3416" t="s">
        <v>523</v>
      </c>
      <c r="F4" s="3417"/>
      <c r="G4" s="3392" t="s">
        <v>524</v>
      </c>
      <c r="H4" s="3393"/>
      <c r="I4" s="3392" t="s">
        <v>525</v>
      </c>
      <c r="J4" s="3393"/>
      <c r="K4" s="513" t="s">
        <v>526</v>
      </c>
      <c r="L4" s="2118"/>
      <c r="M4" s="2119"/>
      <c r="N4" s="2119"/>
      <c r="O4" s="2119"/>
      <c r="P4" s="3394" t="s">
        <v>527</v>
      </c>
      <c r="Q4" s="3395"/>
      <c r="R4" s="3380" t="s">
        <v>523</v>
      </c>
      <c r="S4" s="3381"/>
      <c r="T4" s="3380" t="s">
        <v>524</v>
      </c>
      <c r="U4" s="3381"/>
      <c r="V4" s="3400" t="s">
        <v>525</v>
      </c>
      <c r="W4" s="3400"/>
      <c r="X4" s="1553"/>
      <c r="Y4" s="3380" t="s">
        <v>527</v>
      </c>
      <c r="Z4" s="3381"/>
      <c r="AA4" s="3375" t="s">
        <v>523</v>
      </c>
      <c r="AB4" s="3376" t="s">
        <v>524</v>
      </c>
      <c r="AC4" s="3375" t="s">
        <v>525</v>
      </c>
    </row>
    <row r="5" spans="1:29" ht="15">
      <c r="A5" s="514"/>
      <c r="B5" s="515"/>
      <c r="C5" s="3403" t="s">
        <v>2930</v>
      </c>
      <c r="D5" s="3404"/>
      <c r="E5" s="3418" t="s">
        <v>2931</v>
      </c>
      <c r="F5" s="3419"/>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376"/>
      <c r="AC5" s="3376"/>
    </row>
    <row r="6" spans="1:29" ht="15.75" thickBot="1">
      <c r="A6" s="516"/>
      <c r="B6" s="517"/>
      <c r="C6" s="3401" t="s">
        <v>2934</v>
      </c>
      <c r="D6" s="3402"/>
      <c r="E6" s="3420" t="s">
        <v>2934</v>
      </c>
      <c r="F6" s="3421"/>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377"/>
      <c r="AC6" s="3377"/>
    </row>
    <row r="7" spans="1:29" s="1215" customFormat="1" ht="15.75" thickBot="1">
      <c r="A7" s="2867"/>
      <c r="B7" s="2874" t="s">
        <v>529</v>
      </c>
      <c r="C7" s="518">
        <f>'数据-取费表'!B2</f>
        <v>43734</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78" t="s">
        <v>530</v>
      </c>
      <c r="Q7" s="3387"/>
      <c r="R7" s="1554" t="s">
        <v>8</v>
      </c>
      <c r="S7" s="1555">
        <f t="shared" ref="S7:S15" si="0">F7</f>
        <v>0</v>
      </c>
      <c r="T7" s="1554" t="s">
        <v>8</v>
      </c>
      <c r="U7" s="1555">
        <f t="shared" ref="U7:U15" si="1">H7</f>
        <v>0</v>
      </c>
      <c r="V7" s="1554" t="s">
        <v>8</v>
      </c>
      <c r="W7" s="1555">
        <f t="shared" ref="W7:W15" si="2">J7</f>
        <v>0</v>
      </c>
      <c r="X7" s="1556"/>
      <c r="Y7" s="3378" t="s">
        <v>530</v>
      </c>
      <c r="Z7" s="3379"/>
      <c r="AA7" s="1557" t="e">
        <f>D7/F7</f>
        <v>#DIV/0!</v>
      </c>
      <c r="AB7" s="1557" t="e">
        <f>D7/H7</f>
        <v>#DIV/0!</v>
      </c>
      <c r="AC7" s="1557" t="e">
        <f>D7/J7</f>
        <v>#DIV/0!</v>
      </c>
    </row>
    <row r="8" spans="1:29" s="1215" customFormat="1" ht="15.75" thickBot="1">
      <c r="A8" s="2868"/>
      <c r="B8" s="2875" t="s">
        <v>531</v>
      </c>
      <c r="C8" s="524" t="s">
        <v>576</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40" si="3">D8/F8</f>
        <v>#DIV/0!</v>
      </c>
      <c r="AB8" s="1557" t="e">
        <f t="shared" ref="AB8:AB40" si="4">D8/H8</f>
        <v>#DIV/0!</v>
      </c>
      <c r="AC8" s="1557" t="e">
        <f t="shared" ref="AC8:AC40" si="5">D8/J8</f>
        <v>#DIV/0!</v>
      </c>
    </row>
    <row r="9" spans="1:29" s="1215" customFormat="1" ht="15">
      <c r="A9" s="2869"/>
      <c r="B9" s="2876" t="s">
        <v>2755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86"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70"/>
      <c r="B10" s="2875" t="s">
        <v>2756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1"/>
      <c r="B11" s="2875"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86"/>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86"/>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57">
      <c r="A15" s="2865"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88" t="s">
        <v>540</v>
      </c>
      <c r="Q15" s="1558" t="str">
        <f t="shared" si="6"/>
        <v>产业集聚程度</v>
      </c>
      <c r="R15" s="1559" t="s">
        <v>8</v>
      </c>
      <c r="S15" s="1560">
        <f t="shared" si="0"/>
        <v>100</v>
      </c>
      <c r="T15" s="1559" t="s">
        <v>8</v>
      </c>
      <c r="U15" s="1560">
        <f t="shared" si="1"/>
        <v>100</v>
      </c>
      <c r="V15" s="1559" t="s">
        <v>8</v>
      </c>
      <c r="W15" s="1560">
        <f t="shared" si="2"/>
        <v>100</v>
      </c>
      <c r="X15" s="1553"/>
      <c r="Y15" s="3388"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9"/>
      <c r="Q16" s="1558"/>
      <c r="R16" s="1559"/>
      <c r="S16" s="1560"/>
      <c r="T16" s="1559"/>
      <c r="U16" s="1560"/>
      <c r="V16" s="1559"/>
      <c r="W16" s="1560"/>
      <c r="X16" s="1553"/>
      <c r="Y16" s="3389"/>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89"/>
      <c r="Q17" s="1558" t="str">
        <f>B17</f>
        <v>交通便捷度</v>
      </c>
      <c r="R17" s="1559" t="s">
        <v>8</v>
      </c>
      <c r="S17" s="1560">
        <f>F17</f>
        <v>100</v>
      </c>
      <c r="T17" s="1559" t="s">
        <v>8</v>
      </c>
      <c r="U17" s="1560">
        <f>H17</f>
        <v>100</v>
      </c>
      <c r="V17" s="1559" t="s">
        <v>8</v>
      </c>
      <c r="W17" s="1560">
        <f>J17</f>
        <v>100</v>
      </c>
      <c r="X17" s="1553"/>
      <c r="Y17" s="338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9"/>
      <c r="Q18" s="1558"/>
      <c r="R18" s="1559"/>
      <c r="S18" s="1560"/>
      <c r="T18" s="1559"/>
      <c r="U18" s="1560"/>
      <c r="V18" s="1559"/>
      <c r="W18" s="1560"/>
      <c r="X18" s="1553"/>
      <c r="Y18" s="3389"/>
      <c r="Z18" s="1561"/>
      <c r="AA18" s="1562">
        <v>1</v>
      </c>
      <c r="AB18" s="1562">
        <v>1</v>
      </c>
      <c r="AC18" s="1562">
        <v>1</v>
      </c>
    </row>
    <row r="19" spans="1:29" ht="42.75">
      <c r="A19" s="531"/>
      <c r="B19" s="2567"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89"/>
      <c r="Q19" s="1558" t="str">
        <f>B19</f>
        <v>公共配套设施</v>
      </c>
      <c r="R19" s="1559" t="s">
        <v>8</v>
      </c>
      <c r="S19" s="1560">
        <f>F19</f>
        <v>100</v>
      </c>
      <c r="T19" s="1559" t="s">
        <v>8</v>
      </c>
      <c r="U19" s="1560">
        <f>H19</f>
        <v>100</v>
      </c>
      <c r="V19" s="1559" t="s">
        <v>8</v>
      </c>
      <c r="W19" s="1560">
        <f>J19</f>
        <v>100</v>
      </c>
      <c r="X19" s="1553"/>
      <c r="Y19" s="3389"/>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89"/>
      <c r="Q20" s="1558"/>
      <c r="R20" s="1559"/>
      <c r="S20" s="1560"/>
      <c r="T20" s="1559"/>
      <c r="U20" s="1560"/>
      <c r="V20" s="1559"/>
      <c r="W20" s="1560"/>
      <c r="X20" s="1553"/>
      <c r="Y20" s="3389"/>
      <c r="Z20" s="1561"/>
      <c r="AA20" s="1562">
        <v>1</v>
      </c>
      <c r="AB20" s="1562">
        <v>1</v>
      </c>
      <c r="AC20" s="1562">
        <v>1</v>
      </c>
    </row>
    <row r="21" spans="1:29" ht="28.5">
      <c r="A21" s="531"/>
      <c r="B21" s="2555"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89"/>
      <c r="Q21" s="2543" t="str">
        <f>B21</f>
        <v>基础设施水平</v>
      </c>
      <c r="R21" s="1559" t="s">
        <v>8</v>
      </c>
      <c r="S21" s="1560">
        <f>F21</f>
        <v>100</v>
      </c>
      <c r="T21" s="1559" t="s">
        <v>8</v>
      </c>
      <c r="U21" s="1560">
        <f>H21</f>
        <v>100</v>
      </c>
      <c r="V21" s="1559" t="s">
        <v>8</v>
      </c>
      <c r="W21" s="1560">
        <f>J21</f>
        <v>100</v>
      </c>
      <c r="X21" s="2545"/>
      <c r="Y21" s="3389"/>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89"/>
      <c r="Q22" s="2543"/>
      <c r="R22" s="1559"/>
      <c r="S22" s="1560"/>
      <c r="T22" s="1559"/>
      <c r="U22" s="1560"/>
      <c r="V22" s="1559"/>
      <c r="W22" s="1560"/>
      <c r="X22" s="2545"/>
      <c r="Y22" s="3389"/>
      <c r="Z22" s="2544"/>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89"/>
      <c r="Q23" s="1558" t="str">
        <f>B23</f>
        <v>环境质量</v>
      </c>
      <c r="R23" s="1559" t="s">
        <v>8</v>
      </c>
      <c r="S23" s="1560">
        <f>F23</f>
        <v>100</v>
      </c>
      <c r="T23" s="1559" t="s">
        <v>8</v>
      </c>
      <c r="U23" s="1560">
        <f>H23</f>
        <v>100</v>
      </c>
      <c r="V23" s="1559" t="s">
        <v>8</v>
      </c>
      <c r="W23" s="1560">
        <f>J23</f>
        <v>100</v>
      </c>
      <c r="X23" s="1553"/>
      <c r="Y23" s="3389"/>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89"/>
      <c r="Q24" s="1558"/>
      <c r="R24" s="1559"/>
      <c r="S24" s="1560"/>
      <c r="T24" s="1559"/>
      <c r="U24" s="1560"/>
      <c r="V24" s="1559"/>
      <c r="W24" s="1560"/>
      <c r="X24" s="1553"/>
      <c r="Y24" s="3389"/>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89"/>
      <c r="Q25" s="1558">
        <f>B25</f>
        <v>111</v>
      </c>
      <c r="R25" s="1559" t="s">
        <v>8</v>
      </c>
      <c r="S25" s="1560">
        <f>F25</f>
        <v>100</v>
      </c>
      <c r="T25" s="1559" t="s">
        <v>8</v>
      </c>
      <c r="U25" s="1560">
        <f>H25</f>
        <v>100</v>
      </c>
      <c r="V25" s="1559" t="s">
        <v>8</v>
      </c>
      <c r="W25" s="1560">
        <f>J25</f>
        <v>100</v>
      </c>
      <c r="X25" s="1553"/>
      <c r="Y25" s="3389"/>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89"/>
      <c r="Q26" s="1558">
        <f t="shared" ref="Q26:Q40" si="11">B26</f>
        <v>111</v>
      </c>
      <c r="R26" s="1559" t="s">
        <v>8</v>
      </c>
      <c r="S26" s="1560">
        <f>F26</f>
        <v>100</v>
      </c>
      <c r="T26" s="1559" t="s">
        <v>8</v>
      </c>
      <c r="U26" s="1560">
        <f>H26</f>
        <v>100</v>
      </c>
      <c r="V26" s="1559" t="s">
        <v>8</v>
      </c>
      <c r="W26" s="1560">
        <f>J26</f>
        <v>100</v>
      </c>
      <c r="X26" s="1553"/>
      <c r="Y26" s="3389"/>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89"/>
      <c r="Q27" s="1146">
        <f t="shared" si="11"/>
        <v>111</v>
      </c>
      <c r="R27" s="1554" t="s">
        <v>8</v>
      </c>
      <c r="S27" s="1555">
        <f>F27</f>
        <v>100</v>
      </c>
      <c r="T27" s="1554" t="s">
        <v>8</v>
      </c>
      <c r="U27" s="1555">
        <f>H27</f>
        <v>100</v>
      </c>
      <c r="V27" s="1554" t="s">
        <v>8</v>
      </c>
      <c r="W27" s="1555">
        <f>J27</f>
        <v>100</v>
      </c>
      <c r="X27" s="1556"/>
      <c r="Y27" s="3389"/>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89"/>
      <c r="Q28" s="1558">
        <f t="shared" si="11"/>
        <v>111</v>
      </c>
      <c r="R28" s="1559" t="s">
        <v>8</v>
      </c>
      <c r="S28" s="1560">
        <f t="shared" ref="S28:S40" si="12">F28</f>
        <v>100</v>
      </c>
      <c r="T28" s="1559" t="s">
        <v>8</v>
      </c>
      <c r="U28" s="1560">
        <f t="shared" ref="U28:U40" si="13">H28</f>
        <v>100</v>
      </c>
      <c r="V28" s="1559" t="s">
        <v>8</v>
      </c>
      <c r="W28" s="1560">
        <f t="shared" ref="W28:W40" si="14">J28</f>
        <v>100</v>
      </c>
      <c r="X28" s="1553"/>
      <c r="Y28" s="3389"/>
      <c r="Z28" s="1561">
        <f t="shared" ref="Z28:Z40" si="15">Q28</f>
        <v>111</v>
      </c>
      <c r="AA28" s="1562">
        <f t="shared" si="3"/>
        <v>1</v>
      </c>
      <c r="AB28" s="1562">
        <f t="shared" si="4"/>
        <v>1</v>
      </c>
      <c r="AC28" s="1562">
        <f t="shared" si="5"/>
        <v>1</v>
      </c>
    </row>
    <row r="29" spans="1:29" ht="15">
      <c r="A29" s="2862"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90" t="s">
        <v>550</v>
      </c>
      <c r="Q29" s="1558" t="str">
        <f t="shared" si="11"/>
        <v>建筑类型</v>
      </c>
      <c r="R29" s="1559" t="s">
        <v>8</v>
      </c>
      <c r="S29" s="1560">
        <f t="shared" si="12"/>
        <v>100</v>
      </c>
      <c r="T29" s="1559" t="s">
        <v>8</v>
      </c>
      <c r="U29" s="1560">
        <f t="shared" si="13"/>
        <v>100</v>
      </c>
      <c r="V29" s="1559" t="s">
        <v>8</v>
      </c>
      <c r="W29" s="1560">
        <f t="shared" si="14"/>
        <v>100</v>
      </c>
      <c r="X29" s="1553"/>
      <c r="Y29" s="3391"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91"/>
      <c r="Q30" s="1590" t="str">
        <f t="shared" si="11"/>
        <v>项目建筑规模</v>
      </c>
      <c r="R30" s="1563" t="s">
        <v>8</v>
      </c>
      <c r="S30" s="1564" t="e">
        <f t="shared" si="12"/>
        <v>#N/A</v>
      </c>
      <c r="T30" s="1563" t="s">
        <v>8</v>
      </c>
      <c r="U30" s="1564" t="e">
        <f t="shared" si="13"/>
        <v>#N/A</v>
      </c>
      <c r="V30" s="1563" t="s">
        <v>8</v>
      </c>
      <c r="W30" s="1564" t="e">
        <f t="shared" si="14"/>
        <v>#N/A</v>
      </c>
      <c r="X30" s="1565"/>
      <c r="Y30" s="3391"/>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91"/>
      <c r="Q31" s="1558" t="str">
        <f t="shared" si="11"/>
        <v>建筑结构</v>
      </c>
      <c r="R31" s="1559" t="s">
        <v>8</v>
      </c>
      <c r="S31" s="1560">
        <f t="shared" si="12"/>
        <v>100</v>
      </c>
      <c r="T31" s="1559" t="s">
        <v>8</v>
      </c>
      <c r="U31" s="1560">
        <f t="shared" si="13"/>
        <v>100</v>
      </c>
      <c r="V31" s="1559" t="s">
        <v>8</v>
      </c>
      <c r="W31" s="1560">
        <f t="shared" si="14"/>
        <v>100</v>
      </c>
      <c r="X31" s="1553"/>
      <c r="Y31" s="3391"/>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91"/>
      <c r="Q32" s="1558" t="str">
        <f t="shared" si="11"/>
        <v>公共部分装修</v>
      </c>
      <c r="R32" s="1559" t="s">
        <v>8</v>
      </c>
      <c r="S32" s="1560">
        <f t="shared" si="12"/>
        <v>100</v>
      </c>
      <c r="T32" s="1559" t="s">
        <v>8</v>
      </c>
      <c r="U32" s="1560">
        <f t="shared" si="13"/>
        <v>100</v>
      </c>
      <c r="V32" s="1559" t="s">
        <v>8</v>
      </c>
      <c r="W32" s="1560">
        <f t="shared" si="14"/>
        <v>100</v>
      </c>
      <c r="X32" s="1553"/>
      <c r="Y32" s="3391"/>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91"/>
      <c r="Q33" s="1558" t="str">
        <f t="shared" si="11"/>
        <v>成新度</v>
      </c>
      <c r="R33" s="1559" t="s">
        <v>8</v>
      </c>
      <c r="S33" s="1560" t="e">
        <f t="shared" si="12"/>
        <v>#N/A</v>
      </c>
      <c r="T33" s="1559" t="s">
        <v>8</v>
      </c>
      <c r="U33" s="1560" t="e">
        <f t="shared" si="13"/>
        <v>#N/A</v>
      </c>
      <c r="V33" s="1559" t="s">
        <v>8</v>
      </c>
      <c r="W33" s="1560" t="e">
        <f t="shared" si="14"/>
        <v>#N/A</v>
      </c>
      <c r="X33" s="1553"/>
      <c r="Y33" s="3391"/>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91"/>
      <c r="Q34" s="1146" t="str">
        <f t="shared" si="11"/>
        <v>物业管理</v>
      </c>
      <c r="R34" s="1554" t="s">
        <v>8</v>
      </c>
      <c r="S34" s="1555">
        <f t="shared" si="12"/>
        <v>100</v>
      </c>
      <c r="T34" s="1554" t="s">
        <v>8</v>
      </c>
      <c r="U34" s="1555">
        <f t="shared" si="13"/>
        <v>100</v>
      </c>
      <c r="V34" s="1554" t="s">
        <v>8</v>
      </c>
      <c r="W34" s="1555">
        <f t="shared" si="14"/>
        <v>100</v>
      </c>
      <c r="X34" s="1556"/>
      <c r="Y34" s="3391"/>
      <c r="Z34" s="1145" t="str">
        <f t="shared" si="15"/>
        <v>物业管理</v>
      </c>
      <c r="AA34" s="1557">
        <f t="shared" si="3"/>
        <v>1</v>
      </c>
      <c r="AB34" s="1557">
        <f t="shared" si="4"/>
        <v>1</v>
      </c>
      <c r="AC34" s="1557">
        <f t="shared" si="5"/>
        <v>1</v>
      </c>
    </row>
    <row r="35" spans="1:29" ht="15">
      <c r="A35" s="593"/>
      <c r="B35" s="1880"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91" t="s">
        <v>550</v>
      </c>
      <c r="Q35" s="1558" t="str">
        <f t="shared" si="11"/>
        <v>市政基础设施</v>
      </c>
      <c r="R35" s="1559" t="s">
        <v>8</v>
      </c>
      <c r="S35" s="1560">
        <f t="shared" si="12"/>
        <v>100</v>
      </c>
      <c r="T35" s="1559" t="s">
        <v>8</v>
      </c>
      <c r="U35" s="1560">
        <f t="shared" si="13"/>
        <v>100</v>
      </c>
      <c r="V35" s="1559" t="s">
        <v>8</v>
      </c>
      <c r="W35" s="1560">
        <f t="shared" si="14"/>
        <v>100</v>
      </c>
      <c r="X35" s="1553"/>
      <c r="Y35" s="3391"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91"/>
      <c r="Q36" s="1558" t="str">
        <f t="shared" si="11"/>
        <v>内部装修</v>
      </c>
      <c r="R36" s="1559" t="s">
        <v>8</v>
      </c>
      <c r="S36" s="1560">
        <f t="shared" si="12"/>
        <v>100</v>
      </c>
      <c r="T36" s="1559" t="s">
        <v>8</v>
      </c>
      <c r="U36" s="1560">
        <f t="shared" si="13"/>
        <v>100</v>
      </c>
      <c r="V36" s="1559" t="s">
        <v>8</v>
      </c>
      <c r="W36" s="1560">
        <f t="shared" si="14"/>
        <v>100</v>
      </c>
      <c r="X36" s="1553"/>
      <c r="Y36" s="3391"/>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91"/>
      <c r="Q37" s="1558" t="str">
        <f t="shared" si="11"/>
        <v>内部装修状况</v>
      </c>
      <c r="R37" s="1559" t="s">
        <v>8</v>
      </c>
      <c r="S37" s="1560">
        <f t="shared" si="12"/>
        <v>100</v>
      </c>
      <c r="T37" s="1559" t="s">
        <v>8</v>
      </c>
      <c r="U37" s="1560">
        <f t="shared" si="13"/>
        <v>100</v>
      </c>
      <c r="V37" s="1559" t="s">
        <v>8</v>
      </c>
      <c r="W37" s="1560">
        <f t="shared" si="14"/>
        <v>100</v>
      </c>
      <c r="X37" s="1553"/>
      <c r="Y37" s="3391"/>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91"/>
      <c r="Q38" s="1590">
        <f t="shared" si="11"/>
        <v>111</v>
      </c>
      <c r="R38" s="1563" t="s">
        <v>8</v>
      </c>
      <c r="S38" s="1564">
        <f t="shared" si="12"/>
        <v>100</v>
      </c>
      <c r="T38" s="1563" t="s">
        <v>8</v>
      </c>
      <c r="U38" s="1564">
        <f t="shared" si="13"/>
        <v>100</v>
      </c>
      <c r="V38" s="1563" t="s">
        <v>8</v>
      </c>
      <c r="W38" s="1564">
        <f t="shared" si="14"/>
        <v>100</v>
      </c>
      <c r="X38" s="1565"/>
      <c r="Y38" s="3391"/>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91"/>
      <c r="Q39" s="1558">
        <f t="shared" si="11"/>
        <v>111</v>
      </c>
      <c r="R39" s="1559" t="s">
        <v>8</v>
      </c>
      <c r="S39" s="1560">
        <f t="shared" si="12"/>
        <v>100</v>
      </c>
      <c r="T39" s="1559" t="s">
        <v>8</v>
      </c>
      <c r="U39" s="1560">
        <f t="shared" si="13"/>
        <v>100</v>
      </c>
      <c r="V39" s="1559" t="s">
        <v>8</v>
      </c>
      <c r="W39" s="1560">
        <f t="shared" si="14"/>
        <v>100</v>
      </c>
      <c r="X39" s="1553"/>
      <c r="Y39" s="3391"/>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91"/>
      <c r="Q40" s="1558">
        <f t="shared" si="11"/>
        <v>111</v>
      </c>
      <c r="R40" s="1559" t="s">
        <v>8</v>
      </c>
      <c r="S40" s="1560">
        <f t="shared" si="12"/>
        <v>100</v>
      </c>
      <c r="T40" s="1559" t="s">
        <v>8</v>
      </c>
      <c r="U40" s="1560">
        <f t="shared" si="13"/>
        <v>100</v>
      </c>
      <c r="V40" s="1559" t="s">
        <v>8</v>
      </c>
      <c r="W40" s="1560">
        <f t="shared" si="14"/>
        <v>100</v>
      </c>
      <c r="X40" s="1553"/>
      <c r="Y40" s="3491"/>
      <c r="Z40" s="1561">
        <f t="shared" si="15"/>
        <v>111</v>
      </c>
      <c r="AA40" s="1562">
        <f t="shared" si="3"/>
        <v>1</v>
      </c>
      <c r="AB40" s="1562">
        <f t="shared" si="4"/>
        <v>1</v>
      </c>
      <c r="AC40" s="1562">
        <f t="shared" si="5"/>
        <v>1</v>
      </c>
    </row>
    <row r="41" spans="1:29" ht="15">
      <c r="A41" s="606" t="s">
        <v>736</v>
      </c>
      <c r="B41" s="886"/>
      <c r="C41" s="2591" t="s">
        <v>1</v>
      </c>
      <c r="D41" s="2592"/>
      <c r="E41" s="2593"/>
      <c r="F41" s="2594"/>
      <c r="G41" s="2595"/>
      <c r="H41" s="2596"/>
      <c r="I41" s="2593"/>
      <c r="J41" s="2596"/>
      <c r="K41" s="1596"/>
      <c r="L41" s="2129"/>
      <c r="M41" s="2130"/>
      <c r="N41" s="2119"/>
      <c r="O41" s="2130"/>
      <c r="P41" s="3386" t="str">
        <f>A41</f>
        <v>成交单价（元/平方米）</v>
      </c>
      <c r="Q41" s="3386"/>
      <c r="R41" s="3490">
        <f>E41</f>
        <v>0</v>
      </c>
      <c r="S41" s="3490"/>
      <c r="T41" s="3490">
        <f>G41</f>
        <v>0</v>
      </c>
      <c r="U41" s="3490"/>
      <c r="V41" s="3490">
        <f>I41</f>
        <v>0</v>
      </c>
      <c r="W41" s="3490"/>
      <c r="X41" s="1545"/>
      <c r="Y41" s="1567"/>
      <c r="Z41" s="1545"/>
      <c r="AA41" s="1545"/>
      <c r="AB41" s="1545"/>
      <c r="AC41" s="1545"/>
    </row>
    <row r="42" spans="1:29" ht="15.75" thickBot="1">
      <c r="A42" s="614" t="s">
        <v>2759</v>
      </c>
      <c r="B42" s="887"/>
      <c r="C42" s="2597" t="e">
        <f>R43</f>
        <v>#DIV/0!</v>
      </c>
      <c r="D42" s="2598"/>
      <c r="E42" s="2599" t="e">
        <f>R42</f>
        <v>#DIV/0!</v>
      </c>
      <c r="F42" s="2599"/>
      <c r="G42" s="2597" t="e">
        <f>T42</f>
        <v>#DIV/0!</v>
      </c>
      <c r="H42" s="2598"/>
      <c r="I42" s="2599" t="e">
        <f>V42</f>
        <v>#DIV/0!</v>
      </c>
      <c r="J42" s="2598"/>
      <c r="K42" s="1597"/>
      <c r="L42" s="2129"/>
      <c r="M42" s="2130"/>
      <c r="N42" s="2119"/>
      <c r="O42" s="2130"/>
      <c r="P42" s="3386" t="str">
        <f>A42</f>
        <v>比较价格（元/平方米）</v>
      </c>
      <c r="Q42" s="338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5"/>
      <c r="Y42" s="1545"/>
      <c r="Z42" s="1545"/>
      <c r="AA42" s="1545"/>
      <c r="AB42" s="1545"/>
      <c r="AC42" s="1545"/>
    </row>
    <row r="43" spans="1:29" ht="15.75" thickBot="1">
      <c r="A43" s="620" t="s">
        <v>2936</v>
      </c>
      <c r="B43" s="621"/>
      <c r="C43" s="2600" t="e">
        <f>R43</f>
        <v>#DIV/0!</v>
      </c>
      <c r="D43" s="2600"/>
      <c r="E43" s="2600"/>
      <c r="F43" s="2600"/>
      <c r="G43" s="2600"/>
      <c r="H43" s="2600"/>
      <c r="I43" s="2600"/>
      <c r="J43" s="2600"/>
      <c r="K43" s="1598"/>
      <c r="L43" s="2129"/>
      <c r="M43" s="2130"/>
      <c r="N43" s="2130"/>
      <c r="O43" s="2130"/>
      <c r="P43" s="3407" t="str">
        <f>A43</f>
        <v>估价对象XX用房的比较价格（楼面单价，元/平方米）</v>
      </c>
      <c r="Q43" s="3408"/>
      <c r="R43" s="3489" t="e">
        <f>IF(F1="售价",ROUND(AVERAGE(R42:V42),0),ROUND(AVERAGE(R42:V42),1))</f>
        <v>#DIV/0!</v>
      </c>
      <c r="S43" s="3489"/>
      <c r="T43" s="3489"/>
      <c r="U43" s="3489"/>
      <c r="V43" s="3489"/>
      <c r="W43" s="348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529</v>
      </c>
      <c r="B52" s="645"/>
      <c r="C52" s="2757" t="str">
        <f>YEAR(C7)&amp;"-"&amp;MONTH(C7)</f>
        <v>2019-9</v>
      </c>
      <c r="D52" s="2759">
        <f>EDATE(C52,-1)</f>
        <v>43678</v>
      </c>
      <c r="E52" s="2759">
        <f t="shared" ref="E52:O52" si="16">EDATE(D52,-1)</f>
        <v>43647</v>
      </c>
      <c r="F52" s="2759">
        <f t="shared" si="16"/>
        <v>43617</v>
      </c>
      <c r="G52" s="2759">
        <f t="shared" si="16"/>
        <v>43586</v>
      </c>
      <c r="H52" s="2759">
        <f t="shared" si="16"/>
        <v>43556</v>
      </c>
      <c r="I52" s="2759">
        <f t="shared" si="16"/>
        <v>43525</v>
      </c>
      <c r="J52" s="2759">
        <f t="shared" si="16"/>
        <v>43497</v>
      </c>
      <c r="K52" s="2759">
        <f t="shared" si="16"/>
        <v>43466</v>
      </c>
      <c r="L52" s="2759">
        <f t="shared" si="16"/>
        <v>43435</v>
      </c>
      <c r="M52" s="2759">
        <f t="shared" si="16"/>
        <v>43405</v>
      </c>
      <c r="N52" s="2759">
        <f t="shared" si="16"/>
        <v>43374</v>
      </c>
      <c r="O52" s="2759">
        <f t="shared" si="16"/>
        <v>43344</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575</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531</v>
      </c>
      <c r="B55" s="647"/>
      <c r="C55" s="659" t="s">
        <v>576</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577</v>
      </c>
      <c r="B57" s="664" t="s">
        <v>534</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539</v>
      </c>
      <c r="B70" s="664" t="s">
        <v>585</v>
      </c>
      <c r="C70" s="702" t="s">
        <v>579</v>
      </c>
      <c r="D70" s="702" t="s">
        <v>580</v>
      </c>
      <c r="E70" s="702" t="s">
        <v>581</v>
      </c>
      <c r="F70" s="702" t="s">
        <v>582</v>
      </c>
      <c r="G70" s="702" t="s">
        <v>583</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586</v>
      </c>
      <c r="C72" s="707" t="s">
        <v>579</v>
      </c>
      <c r="D72" s="707" t="s">
        <v>580</v>
      </c>
      <c r="E72" s="707" t="s">
        <v>581</v>
      </c>
      <c r="F72" s="707" t="s">
        <v>582</v>
      </c>
      <c r="G72" s="707" t="s">
        <v>583</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2556</v>
      </c>
      <c r="C74" s="707" t="s">
        <v>579</v>
      </c>
      <c r="D74" s="707" t="s">
        <v>580</v>
      </c>
      <c r="E74" s="707" t="s">
        <v>581</v>
      </c>
      <c r="F74" s="707" t="s">
        <v>582</v>
      </c>
      <c r="G74" s="707" t="s">
        <v>583</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2557</v>
      </c>
      <c r="C76" s="2562" t="s">
        <v>2558</v>
      </c>
      <c r="D76" s="2562" t="s">
        <v>2559</v>
      </c>
      <c r="E76" s="2562" t="s">
        <v>2560</v>
      </c>
      <c r="F76" s="2562" t="s">
        <v>2561</v>
      </c>
      <c r="G76" s="2562" t="s">
        <v>2562</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784</v>
      </c>
      <c r="C78" s="707" t="s">
        <v>579</v>
      </c>
      <c r="D78" s="707" t="s">
        <v>580</v>
      </c>
      <c r="E78" s="707" t="s">
        <v>581</v>
      </c>
      <c r="F78" s="707" t="s">
        <v>582</v>
      </c>
      <c r="G78" s="707" t="s">
        <v>583</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551</v>
      </c>
      <c r="B88" s="664" t="s">
        <v>747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751</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753</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2555</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755</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3" t="s">
        <v>2075</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92" t="s">
        <v>798</v>
      </c>
      <c r="D4" s="3393"/>
      <c r="E4" s="3392" t="s">
        <v>799</v>
      </c>
      <c r="F4" s="3393"/>
      <c r="G4" s="3392" t="s">
        <v>800</v>
      </c>
      <c r="H4" s="3393"/>
      <c r="I4" s="3392" t="s">
        <v>801</v>
      </c>
      <c r="J4" s="3393"/>
      <c r="K4" s="513" t="s">
        <v>802</v>
      </c>
      <c r="L4" s="2118"/>
      <c r="M4" s="2119"/>
      <c r="N4" s="2119"/>
      <c r="O4" s="2119"/>
      <c r="P4" s="3394" t="s">
        <v>803</v>
      </c>
      <c r="Q4" s="3395"/>
      <c r="R4" s="3380" t="s">
        <v>799</v>
      </c>
      <c r="S4" s="3381"/>
      <c r="T4" s="3380" t="s">
        <v>800</v>
      </c>
      <c r="U4" s="3381"/>
      <c r="V4" s="3400" t="s">
        <v>801</v>
      </c>
      <c r="W4" s="3400"/>
      <c r="X4" s="1553"/>
      <c r="Y4" s="3380" t="s">
        <v>803</v>
      </c>
      <c r="Z4" s="3381"/>
      <c r="AA4" s="3375" t="s">
        <v>799</v>
      </c>
      <c r="AB4" s="3376" t="s">
        <v>800</v>
      </c>
      <c r="AC4" s="3375" t="s">
        <v>801</v>
      </c>
    </row>
    <row r="5" spans="1:29" ht="15">
      <c r="A5" s="514"/>
      <c r="B5" s="515"/>
      <c r="C5" s="3403" t="s">
        <v>2930</v>
      </c>
      <c r="D5" s="3404"/>
      <c r="E5" s="3403" t="s">
        <v>2931</v>
      </c>
      <c r="F5" s="3404"/>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376"/>
      <c r="AC5" s="3376"/>
    </row>
    <row r="6" spans="1:29" ht="15.75" thickBot="1">
      <c r="A6" s="516"/>
      <c r="B6" s="517"/>
      <c r="C6" s="3401" t="s">
        <v>2934</v>
      </c>
      <c r="D6" s="3402"/>
      <c r="E6" s="3405" t="s">
        <v>2934</v>
      </c>
      <c r="F6" s="3406"/>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377"/>
      <c r="AC6" s="3377"/>
    </row>
    <row r="7" spans="1:29" s="1215" customFormat="1" ht="15.75" thickBot="1">
      <c r="A7" s="2867"/>
      <c r="B7" s="2874" t="s">
        <v>529</v>
      </c>
      <c r="C7" s="518">
        <f>'数据-取费表'!B2</f>
        <v>43734</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78" t="s">
        <v>530</v>
      </c>
      <c r="Q7" s="3387"/>
      <c r="R7" s="1554" t="s">
        <v>8</v>
      </c>
      <c r="S7" s="1555">
        <f t="shared" ref="S7:S14" si="0">F7</f>
        <v>0</v>
      </c>
      <c r="T7" s="1554" t="s">
        <v>8</v>
      </c>
      <c r="U7" s="1555">
        <f t="shared" ref="U7:U14" si="1">H7</f>
        <v>0</v>
      </c>
      <c r="V7" s="1554" t="s">
        <v>8</v>
      </c>
      <c r="W7" s="1555">
        <f t="shared" ref="W7:W14" si="2">J7</f>
        <v>0</v>
      </c>
      <c r="X7" s="1556"/>
      <c r="Y7" s="3378" t="s">
        <v>530</v>
      </c>
      <c r="Z7" s="3379"/>
      <c r="AA7" s="1557" t="e">
        <f>D7/F7</f>
        <v>#DIV/0!</v>
      </c>
      <c r="AB7" s="1557" t="e">
        <f>D7/H7</f>
        <v>#DIV/0!</v>
      </c>
      <c r="AC7" s="1557" t="e">
        <f>D7/J7</f>
        <v>#DIV/0!</v>
      </c>
    </row>
    <row r="8" spans="1:29" s="1215" customFormat="1" ht="15.75" thickBot="1">
      <c r="A8" s="2868"/>
      <c r="B8" s="2875" t="s">
        <v>531</v>
      </c>
      <c r="C8" s="524" t="s">
        <v>576</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36" si="3">D8/F8</f>
        <v>#DIV/0!</v>
      </c>
      <c r="AB8" s="1557" t="e">
        <f t="shared" ref="AB8:AB36" si="4">D8/H8</f>
        <v>#DIV/0!</v>
      </c>
      <c r="AC8" s="1557" t="e">
        <f t="shared" ref="AC8:AC36" si="5">D8/J8</f>
        <v>#DIV/0!</v>
      </c>
    </row>
    <row r="9" spans="1:29" s="1215" customFormat="1" ht="15">
      <c r="A9" s="2869"/>
      <c r="B9" s="2876" t="s">
        <v>2755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86"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7">
      <c r="A10" s="2870"/>
      <c r="B10" s="2875" t="s">
        <v>2756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86"/>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85.5">
      <c r="A14" s="2865" t="s">
        <v>2753</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88" t="s">
        <v>540</v>
      </c>
      <c r="Q14" s="1558" t="str">
        <f t="shared" si="6"/>
        <v>交通便捷度</v>
      </c>
      <c r="R14" s="1559" t="s">
        <v>8</v>
      </c>
      <c r="S14" s="1560">
        <f t="shared" si="0"/>
        <v>100</v>
      </c>
      <c r="T14" s="1559" t="s">
        <v>8</v>
      </c>
      <c r="U14" s="1560">
        <f t="shared" si="1"/>
        <v>100</v>
      </c>
      <c r="V14" s="1559" t="s">
        <v>8</v>
      </c>
      <c r="W14" s="1560">
        <f t="shared" si="2"/>
        <v>100</v>
      </c>
      <c r="X14" s="1553"/>
      <c r="Y14" s="3388"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89"/>
      <c r="Q15" s="1558"/>
      <c r="R15" s="1559"/>
      <c r="S15" s="1560"/>
      <c r="T15" s="1559"/>
      <c r="U15" s="1560"/>
      <c r="V15" s="1559"/>
      <c r="W15" s="1560"/>
      <c r="X15" s="1553"/>
      <c r="Y15" s="3389"/>
      <c r="Z15" s="1561"/>
      <c r="AA15" s="1562">
        <v>1</v>
      </c>
      <c r="AB15" s="1562">
        <v>1</v>
      </c>
      <c r="AC15" s="1562">
        <v>1</v>
      </c>
    </row>
    <row r="16" spans="1:29" ht="42.75">
      <c r="A16" s="514"/>
      <c r="B16" s="2567"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89"/>
      <c r="Q17" s="1558"/>
      <c r="R17" s="1559"/>
      <c r="S17" s="1560"/>
      <c r="T17" s="1559"/>
      <c r="U17" s="1560"/>
      <c r="V17" s="1559"/>
      <c r="W17" s="1560"/>
      <c r="X17" s="1553"/>
      <c r="Y17" s="3389"/>
      <c r="Z17" s="1561"/>
      <c r="AA17" s="1562">
        <v>1</v>
      </c>
      <c r="AB17" s="1562">
        <v>1</v>
      </c>
      <c r="AC17" s="1562">
        <v>1</v>
      </c>
    </row>
    <row r="18" spans="1:29" ht="28.5">
      <c r="A18" s="514"/>
      <c r="B18" s="2555"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89"/>
      <c r="Q18" s="2543" t="str">
        <f>B18</f>
        <v>基础设施水平</v>
      </c>
      <c r="R18" s="1559" t="s">
        <v>8</v>
      </c>
      <c r="S18" s="1560">
        <f>F18</f>
        <v>100</v>
      </c>
      <c r="T18" s="1559" t="s">
        <v>8</v>
      </c>
      <c r="U18" s="1560">
        <f>H18</f>
        <v>100</v>
      </c>
      <c r="V18" s="1559" t="s">
        <v>8</v>
      </c>
      <c r="W18" s="1560">
        <f>J18</f>
        <v>100</v>
      </c>
      <c r="X18" s="2545"/>
      <c r="Y18" s="3389"/>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89"/>
      <c r="Q19" s="2543"/>
      <c r="R19" s="1559"/>
      <c r="S19" s="1560"/>
      <c r="T19" s="1559"/>
      <c r="U19" s="1560"/>
      <c r="V19" s="1559"/>
      <c r="W19" s="1560"/>
      <c r="X19" s="2545"/>
      <c r="Y19" s="3389"/>
      <c r="Z19" s="2544"/>
      <c r="AA19" s="1562">
        <v>1</v>
      </c>
      <c r="AB19" s="1562">
        <v>1</v>
      </c>
      <c r="AC19" s="1562">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89"/>
      <c r="Q21" s="1558"/>
      <c r="R21" s="1559"/>
      <c r="S21" s="1560"/>
      <c r="T21" s="1559"/>
      <c r="U21" s="1560"/>
      <c r="V21" s="1559"/>
      <c r="W21" s="1560"/>
      <c r="X21" s="1553"/>
      <c r="Y21" s="3389"/>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89"/>
      <c r="Q24" s="1558">
        <f t="shared" ref="Q24:Q36"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62"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90"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1"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91"/>
      <c r="Q27" s="1590" t="str">
        <f t="shared" si="11"/>
        <v>项目停车位配比</v>
      </c>
      <c r="R27" s="1563" t="s">
        <v>8</v>
      </c>
      <c r="S27" s="1564">
        <f t="shared" si="12"/>
        <v>100</v>
      </c>
      <c r="T27" s="1563" t="s">
        <v>8</v>
      </c>
      <c r="U27" s="1564">
        <f t="shared" si="13"/>
        <v>100</v>
      </c>
      <c r="V27" s="1563" t="s">
        <v>8</v>
      </c>
      <c r="W27" s="1564">
        <f t="shared" si="14"/>
        <v>100</v>
      </c>
      <c r="X27" s="1565"/>
      <c r="Y27" s="3391"/>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91"/>
      <c r="Q28" s="1558" t="str">
        <f t="shared" si="11"/>
        <v>公共部分装修</v>
      </c>
      <c r="R28" s="1559" t="s">
        <v>8</v>
      </c>
      <c r="S28" s="1560">
        <f t="shared" si="12"/>
        <v>100</v>
      </c>
      <c r="T28" s="1559" t="s">
        <v>8</v>
      </c>
      <c r="U28" s="1560">
        <f t="shared" si="13"/>
        <v>100</v>
      </c>
      <c r="V28" s="1559" t="s">
        <v>8</v>
      </c>
      <c r="W28" s="1560">
        <f t="shared" si="14"/>
        <v>100</v>
      </c>
      <c r="X28" s="1553"/>
      <c r="Y28" s="3391"/>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91"/>
      <c r="Q29" s="1558" t="str">
        <f t="shared" si="11"/>
        <v>成新率</v>
      </c>
      <c r="R29" s="1559" t="s">
        <v>8</v>
      </c>
      <c r="S29" s="1560" t="e">
        <f t="shared" si="12"/>
        <v>#N/A</v>
      </c>
      <c r="T29" s="1559" t="s">
        <v>8</v>
      </c>
      <c r="U29" s="1560" t="e">
        <f t="shared" si="13"/>
        <v>#N/A</v>
      </c>
      <c r="V29" s="1559" t="s">
        <v>8</v>
      </c>
      <c r="W29" s="1560" t="e">
        <f t="shared" si="14"/>
        <v>#N/A</v>
      </c>
      <c r="X29" s="1553"/>
      <c r="Y29" s="3391"/>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91"/>
      <c r="Q30" s="1558" t="str">
        <f t="shared" si="11"/>
        <v>物业等级</v>
      </c>
      <c r="R30" s="1559" t="s">
        <v>8</v>
      </c>
      <c r="S30" s="1560">
        <f t="shared" si="12"/>
        <v>100</v>
      </c>
      <c r="T30" s="1559" t="s">
        <v>8</v>
      </c>
      <c r="U30" s="1560">
        <f t="shared" si="13"/>
        <v>100</v>
      </c>
      <c r="V30" s="1559" t="s">
        <v>8</v>
      </c>
      <c r="W30" s="1560">
        <f t="shared" si="14"/>
        <v>100</v>
      </c>
      <c r="X30" s="1553"/>
      <c r="Y30" s="3391"/>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91"/>
      <c r="Q31" s="1146" t="str">
        <f t="shared" si="11"/>
        <v>停车位面积</v>
      </c>
      <c r="R31" s="1554" t="s">
        <v>8</v>
      </c>
      <c r="S31" s="1555" t="e">
        <f t="shared" si="12"/>
        <v>#N/A</v>
      </c>
      <c r="T31" s="1554" t="s">
        <v>8</v>
      </c>
      <c r="U31" s="1555" t="e">
        <f t="shared" si="13"/>
        <v>#N/A</v>
      </c>
      <c r="V31" s="1554" t="s">
        <v>8</v>
      </c>
      <c r="W31" s="1555" t="e">
        <f t="shared" si="14"/>
        <v>#N/A</v>
      </c>
      <c r="X31" s="1556"/>
      <c r="Y31" s="3391"/>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91" t="s">
        <v>550</v>
      </c>
      <c r="Q32" s="1558" t="str">
        <f t="shared" si="11"/>
        <v>车位类型</v>
      </c>
      <c r="R32" s="1559" t="s">
        <v>8</v>
      </c>
      <c r="S32" s="1560">
        <f t="shared" si="12"/>
        <v>100</v>
      </c>
      <c r="T32" s="1559" t="s">
        <v>8</v>
      </c>
      <c r="U32" s="1560">
        <f t="shared" si="13"/>
        <v>100</v>
      </c>
      <c r="V32" s="1559" t="s">
        <v>8</v>
      </c>
      <c r="W32" s="1560">
        <f t="shared" si="14"/>
        <v>100</v>
      </c>
      <c r="X32" s="1553"/>
      <c r="Y32" s="3391"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91"/>
      <c r="Q33" s="1558" t="str">
        <f t="shared" si="11"/>
        <v>是否直接入户</v>
      </c>
      <c r="R33" s="1559" t="s">
        <v>8</v>
      </c>
      <c r="S33" s="1560">
        <f t="shared" si="12"/>
        <v>100</v>
      </c>
      <c r="T33" s="1559" t="s">
        <v>8</v>
      </c>
      <c r="U33" s="1560">
        <f t="shared" si="13"/>
        <v>100</v>
      </c>
      <c r="V33" s="1559" t="s">
        <v>8</v>
      </c>
      <c r="W33" s="1560">
        <f t="shared" si="14"/>
        <v>100</v>
      </c>
      <c r="X33" s="1553"/>
      <c r="Y33" s="3391"/>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91"/>
      <c r="Q35" s="1590">
        <f t="shared" si="11"/>
        <v>111</v>
      </c>
      <c r="R35" s="1563" t="s">
        <v>8</v>
      </c>
      <c r="S35" s="1564">
        <f t="shared" si="12"/>
        <v>100</v>
      </c>
      <c r="T35" s="1563" t="s">
        <v>8</v>
      </c>
      <c r="U35" s="1564">
        <f t="shared" si="13"/>
        <v>100</v>
      </c>
      <c r="V35" s="1563" t="s">
        <v>8</v>
      </c>
      <c r="W35" s="1564">
        <f t="shared" si="14"/>
        <v>100</v>
      </c>
      <c r="X35" s="1565"/>
      <c r="Y35" s="3391"/>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91"/>
      <c r="Q36" s="1558">
        <f t="shared" si="11"/>
        <v>111</v>
      </c>
      <c r="R36" s="1559" t="s">
        <v>8</v>
      </c>
      <c r="S36" s="1560">
        <f t="shared" si="12"/>
        <v>100</v>
      </c>
      <c r="T36" s="1559" t="s">
        <v>8</v>
      </c>
      <c r="U36" s="1560">
        <f t="shared" si="13"/>
        <v>100</v>
      </c>
      <c r="V36" s="1559" t="s">
        <v>8</v>
      </c>
      <c r="W36" s="1560">
        <f t="shared" si="14"/>
        <v>100</v>
      </c>
      <c r="X36" s="1553"/>
      <c r="Y36" s="3391"/>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386" t="str">
        <f>A37</f>
        <v>成交单价</v>
      </c>
      <c r="Q37" s="3386"/>
      <c r="R37" s="3490">
        <f>E37</f>
        <v>0</v>
      </c>
      <c r="S37" s="3490"/>
      <c r="T37" s="3490">
        <f>G37</f>
        <v>0</v>
      </c>
      <c r="U37" s="3490"/>
      <c r="V37" s="3490">
        <f>I37</f>
        <v>0</v>
      </c>
      <c r="W37" s="3490"/>
      <c r="X37" s="1545"/>
      <c r="Y37" s="1567"/>
      <c r="Z37" s="1545"/>
      <c r="AA37" s="1545"/>
      <c r="AB37" s="1545"/>
      <c r="AC37" s="1545"/>
    </row>
    <row r="38" spans="1:29" ht="15.75" thickBot="1">
      <c r="A38" s="614" t="s">
        <v>2759</v>
      </c>
      <c r="B38" s="887"/>
      <c r="C38" s="2597" t="e">
        <f>R39</f>
        <v>#DIV/0!</v>
      </c>
      <c r="D38" s="2598"/>
      <c r="E38" s="2599" t="e">
        <f>R38</f>
        <v>#DIV/0!</v>
      </c>
      <c r="F38" s="2599"/>
      <c r="G38" s="2597" t="e">
        <f>T38</f>
        <v>#DIV/0!</v>
      </c>
      <c r="H38" s="2598"/>
      <c r="I38" s="2599" t="e">
        <f>V38</f>
        <v>#DIV/0!</v>
      </c>
      <c r="J38" s="2598"/>
      <c r="K38" s="1597"/>
      <c r="L38" s="2129"/>
      <c r="M38" s="2130"/>
      <c r="N38" s="2130"/>
      <c r="O38" s="2130"/>
      <c r="P38" s="3386" t="str">
        <f>A38</f>
        <v>比较价格（元/平方米）</v>
      </c>
      <c r="Q38" s="338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5"/>
      <c r="Y38" s="1545"/>
      <c r="Z38" s="1545"/>
      <c r="AA38" s="1545"/>
      <c r="AB38" s="1545"/>
      <c r="AC38" s="1545"/>
    </row>
    <row r="39" spans="1:29" ht="15.75" thickBot="1">
      <c r="A39" s="620" t="s">
        <v>2936</v>
      </c>
      <c r="B39" s="621"/>
      <c r="C39" s="2600" t="e">
        <f>R39</f>
        <v>#DIV/0!</v>
      </c>
      <c r="D39" s="2600"/>
      <c r="E39" s="2600"/>
      <c r="F39" s="2600"/>
      <c r="G39" s="2600"/>
      <c r="H39" s="2600"/>
      <c r="I39" s="2600"/>
      <c r="J39" s="2600"/>
      <c r="K39" s="1598"/>
      <c r="L39" s="2129"/>
      <c r="M39" s="2130"/>
      <c r="N39" s="2130"/>
      <c r="O39" s="2130"/>
      <c r="P39" s="3407" t="str">
        <f>A39</f>
        <v>估价对象XX用房的比较价格（楼面单价，元/平方米）</v>
      </c>
      <c r="Q39" s="3408"/>
      <c r="R39" s="3489" t="e">
        <f>IF(F1="售价",ROUND(AVERAGE(R38:V38),0),ROUND(AVERAGE(R38:V38),1))</f>
        <v>#DIV/0!</v>
      </c>
      <c r="S39" s="3489"/>
      <c r="T39" s="3489"/>
      <c r="U39" s="3489"/>
      <c r="V39" s="3489"/>
      <c r="W39" s="348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529</v>
      </c>
      <c r="B48" s="645"/>
      <c r="C48" s="2757" t="str">
        <f>YEAR(C7)&amp;"-"&amp;MONTH(C7)</f>
        <v>2019-9</v>
      </c>
      <c r="D48" s="2759">
        <f>EDATE(C48,-1)</f>
        <v>43678</v>
      </c>
      <c r="E48" s="2759">
        <f t="shared" ref="E48:O48" si="16">EDATE(D48,-1)</f>
        <v>43647</v>
      </c>
      <c r="F48" s="2759">
        <f t="shared" si="16"/>
        <v>43617</v>
      </c>
      <c r="G48" s="2759">
        <f t="shared" si="16"/>
        <v>43586</v>
      </c>
      <c r="H48" s="2759">
        <f t="shared" si="16"/>
        <v>43556</v>
      </c>
      <c r="I48" s="2759">
        <f t="shared" si="16"/>
        <v>43525</v>
      </c>
      <c r="J48" s="2759">
        <f t="shared" si="16"/>
        <v>43497</v>
      </c>
      <c r="K48" s="2759">
        <f t="shared" si="16"/>
        <v>43466</v>
      </c>
      <c r="L48" s="2759">
        <f t="shared" si="16"/>
        <v>43435</v>
      </c>
      <c r="M48" s="2759">
        <f t="shared" si="16"/>
        <v>43405</v>
      </c>
      <c r="N48" s="2759">
        <f t="shared" si="16"/>
        <v>43374</v>
      </c>
      <c r="O48" s="2759">
        <f t="shared" si="16"/>
        <v>43344</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575</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531</v>
      </c>
      <c r="B51" s="647"/>
      <c r="C51" s="659" t="s">
        <v>576</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577</v>
      </c>
      <c r="B53" s="664" t="s">
        <v>534</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2556</v>
      </c>
      <c r="C65" s="707" t="s">
        <v>579</v>
      </c>
      <c r="D65" s="707" t="s">
        <v>580</v>
      </c>
      <c r="E65" s="707" t="s">
        <v>581</v>
      </c>
      <c r="F65" s="707" t="s">
        <v>582</v>
      </c>
      <c r="G65" s="707" t="s">
        <v>583</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2557</v>
      </c>
      <c r="C67" s="2562" t="s">
        <v>2558</v>
      </c>
      <c r="D67" s="2562" t="s">
        <v>2559</v>
      </c>
      <c r="E67" s="2562" t="s">
        <v>2560</v>
      </c>
      <c r="F67" s="2562" t="s">
        <v>2561</v>
      </c>
      <c r="G67" s="2562" t="s">
        <v>2562</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744</v>
      </c>
      <c r="C69" s="707" t="s">
        <v>579</v>
      </c>
      <c r="D69" s="707" t="s">
        <v>580</v>
      </c>
      <c r="E69" s="707" t="s">
        <v>581</v>
      </c>
      <c r="F69" s="707" t="s">
        <v>582</v>
      </c>
      <c r="G69" s="707" t="s">
        <v>583</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745</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551</v>
      </c>
      <c r="B79" s="664" t="s">
        <v>814</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751</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817</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819</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820</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2"/>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797</v>
      </c>
      <c r="B4" s="512"/>
      <c r="C4" s="3392" t="s">
        <v>798</v>
      </c>
      <c r="D4" s="3393"/>
      <c r="E4" s="3416" t="s">
        <v>799</v>
      </c>
      <c r="F4" s="3417"/>
      <c r="G4" s="3392" t="s">
        <v>800</v>
      </c>
      <c r="H4" s="3393"/>
      <c r="I4" s="3392" t="s">
        <v>801</v>
      </c>
      <c r="J4" s="3393"/>
      <c r="K4" s="513" t="s">
        <v>802</v>
      </c>
      <c r="L4" s="2118"/>
      <c r="M4" s="2119"/>
      <c r="N4" s="2119"/>
      <c r="O4" s="2119"/>
      <c r="P4" s="3394" t="s">
        <v>803</v>
      </c>
      <c r="Q4" s="3395"/>
      <c r="R4" s="3380" t="s">
        <v>799</v>
      </c>
      <c r="S4" s="3381"/>
      <c r="T4" s="3380" t="s">
        <v>800</v>
      </c>
      <c r="U4" s="3381"/>
      <c r="V4" s="3400" t="s">
        <v>801</v>
      </c>
      <c r="W4" s="3400"/>
      <c r="X4" s="1553"/>
      <c r="Y4" s="3380" t="s">
        <v>803</v>
      </c>
      <c r="Z4" s="3381"/>
      <c r="AA4" s="3375" t="s">
        <v>799</v>
      </c>
      <c r="AB4" s="3376" t="s">
        <v>800</v>
      </c>
      <c r="AC4" s="3375" t="s">
        <v>801</v>
      </c>
    </row>
    <row r="5" spans="1:29" ht="15">
      <c r="A5" s="514"/>
      <c r="B5" s="515"/>
      <c r="C5" s="3403" t="s">
        <v>2930</v>
      </c>
      <c r="D5" s="3404"/>
      <c r="E5" s="3418" t="s">
        <v>2931</v>
      </c>
      <c r="F5" s="3419"/>
      <c r="G5" s="3403" t="s">
        <v>2932</v>
      </c>
      <c r="H5" s="3404"/>
      <c r="I5" s="3403" t="s">
        <v>2933</v>
      </c>
      <c r="J5" s="3404"/>
      <c r="K5" s="513"/>
      <c r="L5" s="2118"/>
      <c r="M5" s="2119"/>
      <c r="N5" s="2119"/>
      <c r="O5" s="2119"/>
      <c r="P5" s="3396"/>
      <c r="Q5" s="3397"/>
      <c r="R5" s="3382"/>
      <c r="S5" s="3383"/>
      <c r="T5" s="3382"/>
      <c r="U5" s="3383"/>
      <c r="V5" s="3400"/>
      <c r="W5" s="3400"/>
      <c r="X5" s="1553"/>
      <c r="Y5" s="3382"/>
      <c r="Z5" s="3383"/>
      <c r="AA5" s="3376"/>
      <c r="AB5" s="3376"/>
      <c r="AC5" s="3376"/>
    </row>
    <row r="6" spans="1:29" ht="15.75" thickBot="1">
      <c r="A6" s="516"/>
      <c r="B6" s="517"/>
      <c r="C6" s="3401" t="s">
        <v>2934</v>
      </c>
      <c r="D6" s="3402"/>
      <c r="E6" s="3420" t="s">
        <v>2934</v>
      </c>
      <c r="F6" s="3421"/>
      <c r="G6" s="3401" t="s">
        <v>2934</v>
      </c>
      <c r="H6" s="3402"/>
      <c r="I6" s="3401" t="s">
        <v>2934</v>
      </c>
      <c r="J6" s="3402"/>
      <c r="K6" s="513" t="s">
        <v>528</v>
      </c>
      <c r="L6" s="2118"/>
      <c r="M6" s="2119"/>
      <c r="N6" s="2119"/>
      <c r="O6" s="2119"/>
      <c r="P6" s="3398"/>
      <c r="Q6" s="3399"/>
      <c r="R6" s="3382"/>
      <c r="S6" s="3383"/>
      <c r="T6" s="3384"/>
      <c r="U6" s="3385"/>
      <c r="V6" s="3400"/>
      <c r="W6" s="3400"/>
      <c r="X6" s="1553"/>
      <c r="Y6" s="3384"/>
      <c r="Z6" s="3385"/>
      <c r="AA6" s="3377"/>
      <c r="AB6" s="3377"/>
      <c r="AC6" s="3377"/>
    </row>
    <row r="7" spans="1:29" s="1215" customFormat="1" ht="15.75" thickBot="1">
      <c r="A7" s="2867"/>
      <c r="B7" s="2874" t="s">
        <v>529</v>
      </c>
      <c r="C7" s="518">
        <f>'数据-取费表'!B2</f>
        <v>43734</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78" t="s">
        <v>530</v>
      </c>
      <c r="Q7" s="3387"/>
      <c r="R7" s="1554" t="s">
        <v>8</v>
      </c>
      <c r="S7" s="1555">
        <f t="shared" ref="S7:S14" si="0">F7</f>
        <v>0</v>
      </c>
      <c r="T7" s="1554" t="s">
        <v>8</v>
      </c>
      <c r="U7" s="1555">
        <f t="shared" ref="U7:U14" si="1">H7</f>
        <v>0</v>
      </c>
      <c r="V7" s="1554" t="s">
        <v>8</v>
      </c>
      <c r="W7" s="1555">
        <f t="shared" ref="W7:W14" si="2">J7</f>
        <v>0</v>
      </c>
      <c r="X7" s="1556"/>
      <c r="Y7" s="3378" t="s">
        <v>530</v>
      </c>
      <c r="Z7" s="3379"/>
      <c r="AA7" s="1557" t="e">
        <f>D7/F7</f>
        <v>#DIV/0!</v>
      </c>
      <c r="AB7" s="1557" t="e">
        <f>D7/H7</f>
        <v>#DIV/0!</v>
      </c>
      <c r="AC7" s="1557" t="e">
        <f>D7/J7</f>
        <v>#DIV/0!</v>
      </c>
    </row>
    <row r="8" spans="1:29" s="1215" customFormat="1" ht="15.75" thickBot="1">
      <c r="A8" s="2868"/>
      <c r="B8" s="2875" t="s">
        <v>531</v>
      </c>
      <c r="C8" s="524" t="s">
        <v>576</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78" t="s">
        <v>533</v>
      </c>
      <c r="Q8" s="3379"/>
      <c r="R8" s="1554" t="s">
        <v>8</v>
      </c>
      <c r="S8" s="1555">
        <f t="shared" si="0"/>
        <v>0</v>
      </c>
      <c r="T8" s="1554" t="s">
        <v>8</v>
      </c>
      <c r="U8" s="1555">
        <f t="shared" si="1"/>
        <v>0</v>
      </c>
      <c r="V8" s="1554" t="s">
        <v>8</v>
      </c>
      <c r="W8" s="1555">
        <f t="shared" si="2"/>
        <v>0</v>
      </c>
      <c r="X8" s="1556"/>
      <c r="Y8" s="3378" t="s">
        <v>533</v>
      </c>
      <c r="Z8" s="3379"/>
      <c r="AA8" s="1557" t="e">
        <f t="shared" ref="AA8:AA34" si="3">D8/F8</f>
        <v>#DIV/0!</v>
      </c>
      <c r="AB8" s="1557" t="e">
        <f t="shared" ref="AB8:AB34" si="4">D8/H8</f>
        <v>#DIV/0!</v>
      </c>
      <c r="AC8" s="1557" t="e">
        <f t="shared" ref="AC8:AC34" si="5">D8/J8</f>
        <v>#DIV/0!</v>
      </c>
    </row>
    <row r="9" spans="1:29" s="1215" customFormat="1" ht="15">
      <c r="A9" s="2869"/>
      <c r="B9" s="2876" t="s">
        <v>2755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86"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7">
      <c r="A10" s="2870"/>
      <c r="B10" s="2875" t="s">
        <v>2756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86"/>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86"/>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86"/>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86"/>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85.5">
      <c r="A14" s="2865" t="s">
        <v>2753</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88" t="s">
        <v>540</v>
      </c>
      <c r="Q14" s="1558" t="str">
        <f t="shared" si="6"/>
        <v>交通便捷度</v>
      </c>
      <c r="R14" s="1559" t="s">
        <v>8</v>
      </c>
      <c r="S14" s="1560">
        <f t="shared" si="0"/>
        <v>100</v>
      </c>
      <c r="T14" s="1559" t="s">
        <v>8</v>
      </c>
      <c r="U14" s="1560">
        <f t="shared" si="1"/>
        <v>100</v>
      </c>
      <c r="V14" s="1559" t="s">
        <v>8</v>
      </c>
      <c r="W14" s="1560">
        <f t="shared" si="2"/>
        <v>100</v>
      </c>
      <c r="X14" s="1553"/>
      <c r="Y14" s="3388"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89"/>
      <c r="Q15" s="1558"/>
      <c r="R15" s="1559"/>
      <c r="S15" s="1560"/>
      <c r="T15" s="1559"/>
      <c r="U15" s="1560"/>
      <c r="V15" s="1559"/>
      <c r="W15" s="1560"/>
      <c r="X15" s="1553"/>
      <c r="Y15" s="3389"/>
      <c r="Z15" s="1561"/>
      <c r="AA15" s="1562">
        <v>1</v>
      </c>
      <c r="AB15" s="1562">
        <v>1</v>
      </c>
      <c r="AC15" s="1562">
        <v>1</v>
      </c>
    </row>
    <row r="16" spans="1:29" ht="42.75">
      <c r="A16" s="531"/>
      <c r="B16" s="2567"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89"/>
      <c r="Q16" s="1558" t="str">
        <f>B16</f>
        <v>公共配套设施</v>
      </c>
      <c r="R16" s="1559" t="s">
        <v>8</v>
      </c>
      <c r="S16" s="1560">
        <f>F16</f>
        <v>100</v>
      </c>
      <c r="T16" s="1559" t="s">
        <v>8</v>
      </c>
      <c r="U16" s="1560">
        <f>H16</f>
        <v>100</v>
      </c>
      <c r="V16" s="1559" t="s">
        <v>8</v>
      </c>
      <c r="W16" s="1560">
        <f>J16</f>
        <v>100</v>
      </c>
      <c r="X16" s="1553"/>
      <c r="Y16" s="3389"/>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89"/>
      <c r="Q17" s="1558"/>
      <c r="R17" s="1559"/>
      <c r="S17" s="1560"/>
      <c r="T17" s="1559"/>
      <c r="U17" s="1560"/>
      <c r="V17" s="1559"/>
      <c r="W17" s="1560"/>
      <c r="X17" s="1553"/>
      <c r="Y17" s="3389"/>
      <c r="Z17" s="1561"/>
      <c r="AA17" s="1562">
        <v>1</v>
      </c>
      <c r="AB17" s="1562">
        <v>1</v>
      </c>
      <c r="AC17" s="1562">
        <v>1</v>
      </c>
    </row>
    <row r="18" spans="1:29" ht="28.5">
      <c r="A18" s="531"/>
      <c r="B18" s="2555"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89"/>
      <c r="Q18" s="2543" t="str">
        <f>B18</f>
        <v>基础设施水平</v>
      </c>
      <c r="R18" s="1559" t="s">
        <v>8</v>
      </c>
      <c r="S18" s="1560">
        <f>F18</f>
        <v>100</v>
      </c>
      <c r="T18" s="1559" t="s">
        <v>8</v>
      </c>
      <c r="U18" s="1560">
        <f>H18</f>
        <v>100</v>
      </c>
      <c r="V18" s="1559" t="s">
        <v>8</v>
      </c>
      <c r="W18" s="1560">
        <f>J18</f>
        <v>100</v>
      </c>
      <c r="X18" s="2545"/>
      <c r="Y18" s="3389"/>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89"/>
      <c r="Q19" s="2543"/>
      <c r="R19" s="1559"/>
      <c r="S19" s="1560"/>
      <c r="T19" s="1559"/>
      <c r="U19" s="1560"/>
      <c r="V19" s="1559"/>
      <c r="W19" s="1560"/>
      <c r="X19" s="2545"/>
      <c r="Y19" s="3389"/>
      <c r="Z19" s="2544"/>
      <c r="AA19" s="1562">
        <v>1</v>
      </c>
      <c r="AB19" s="1562">
        <v>1</v>
      </c>
      <c r="AC19" s="1562">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89"/>
      <c r="Q20" s="1558" t="str">
        <f>B20</f>
        <v>自然及人文环境</v>
      </c>
      <c r="R20" s="1559" t="s">
        <v>8</v>
      </c>
      <c r="S20" s="1560">
        <f>F20</f>
        <v>100</v>
      </c>
      <c r="T20" s="1559" t="s">
        <v>8</v>
      </c>
      <c r="U20" s="1560">
        <f>H20</f>
        <v>100</v>
      </c>
      <c r="V20" s="1559" t="s">
        <v>8</v>
      </c>
      <c r="W20" s="1560">
        <f>J20</f>
        <v>100</v>
      </c>
      <c r="X20" s="1553"/>
      <c r="Y20" s="3389"/>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89"/>
      <c r="Q21" s="1558"/>
      <c r="R21" s="1559"/>
      <c r="S21" s="1560"/>
      <c r="T21" s="1559"/>
      <c r="U21" s="1560"/>
      <c r="V21" s="1559"/>
      <c r="W21" s="1560"/>
      <c r="X21" s="1553"/>
      <c r="Y21" s="3389"/>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89"/>
      <c r="Q22" s="1558" t="str">
        <f>B22</f>
        <v>楼层</v>
      </c>
      <c r="R22" s="1559" t="s">
        <v>8</v>
      </c>
      <c r="S22" s="1560">
        <f>F22</f>
        <v>100</v>
      </c>
      <c r="T22" s="1559" t="s">
        <v>8</v>
      </c>
      <c r="U22" s="1560">
        <f>H22</f>
        <v>100</v>
      </c>
      <c r="V22" s="1559" t="s">
        <v>8</v>
      </c>
      <c r="W22" s="1560">
        <f>J22</f>
        <v>100</v>
      </c>
      <c r="X22" s="1553"/>
      <c r="Y22" s="3389"/>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89"/>
      <c r="Q23" s="1558">
        <f>B23</f>
        <v>111</v>
      </c>
      <c r="R23" s="1559" t="s">
        <v>8</v>
      </c>
      <c r="S23" s="1560">
        <f>F23</f>
        <v>100</v>
      </c>
      <c r="T23" s="1559" t="s">
        <v>8</v>
      </c>
      <c r="U23" s="1560">
        <f>H23</f>
        <v>100</v>
      </c>
      <c r="V23" s="1559" t="s">
        <v>8</v>
      </c>
      <c r="W23" s="1560">
        <f>J23</f>
        <v>100</v>
      </c>
      <c r="X23" s="1553"/>
      <c r="Y23" s="3389"/>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89"/>
      <c r="Q24" s="1558">
        <f t="shared" ref="Q24:Q34" si="11">B24</f>
        <v>111</v>
      </c>
      <c r="R24" s="1559" t="s">
        <v>8</v>
      </c>
      <c r="S24" s="1560">
        <f>F24</f>
        <v>100</v>
      </c>
      <c r="T24" s="1559" t="s">
        <v>8</v>
      </c>
      <c r="U24" s="1560">
        <f>H24</f>
        <v>100</v>
      </c>
      <c r="V24" s="1559" t="s">
        <v>8</v>
      </c>
      <c r="W24" s="1560">
        <f>J24</f>
        <v>100</v>
      </c>
      <c r="X24" s="1553"/>
      <c r="Y24" s="3389"/>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89"/>
      <c r="Q25" s="1146">
        <f t="shared" si="11"/>
        <v>111</v>
      </c>
      <c r="R25" s="1554" t="s">
        <v>8</v>
      </c>
      <c r="S25" s="1555">
        <f>F25</f>
        <v>100</v>
      </c>
      <c r="T25" s="1554" t="s">
        <v>8</v>
      </c>
      <c r="U25" s="1555">
        <f>H25</f>
        <v>100</v>
      </c>
      <c r="V25" s="1554" t="s">
        <v>8</v>
      </c>
      <c r="W25" s="1555">
        <f>J25</f>
        <v>100</v>
      </c>
      <c r="X25" s="1556"/>
      <c r="Y25" s="3389"/>
      <c r="Z25" s="1145">
        <f>Q25</f>
        <v>111</v>
      </c>
      <c r="AA25" s="1562">
        <f>D25/F25</f>
        <v>1</v>
      </c>
      <c r="AB25" s="1562">
        <f>D25/H25</f>
        <v>1</v>
      </c>
      <c r="AC25" s="1562">
        <f>D25/J25</f>
        <v>1</v>
      </c>
    </row>
    <row r="26" spans="1:29" ht="15">
      <c r="A26" s="2862"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90"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1"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91"/>
      <c r="Q27" s="1590" t="str">
        <f t="shared" si="11"/>
        <v>成新率</v>
      </c>
      <c r="R27" s="1563" t="s">
        <v>8</v>
      </c>
      <c r="S27" s="1564" t="e">
        <f t="shared" si="12"/>
        <v>#N/A</v>
      </c>
      <c r="T27" s="1563" t="s">
        <v>8</v>
      </c>
      <c r="U27" s="1564" t="e">
        <f t="shared" si="13"/>
        <v>#N/A</v>
      </c>
      <c r="V27" s="1563" t="s">
        <v>8</v>
      </c>
      <c r="W27" s="1564" t="e">
        <f t="shared" si="14"/>
        <v>#N/A</v>
      </c>
      <c r="X27" s="1565"/>
      <c r="Y27" s="3391"/>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91"/>
      <c r="Q28" s="1558" t="str">
        <f t="shared" si="11"/>
        <v>物业等级</v>
      </c>
      <c r="R28" s="1559" t="s">
        <v>8</v>
      </c>
      <c r="S28" s="1560">
        <f t="shared" si="12"/>
        <v>100</v>
      </c>
      <c r="T28" s="1559" t="s">
        <v>8</v>
      </c>
      <c r="U28" s="1560">
        <f t="shared" si="13"/>
        <v>100</v>
      </c>
      <c r="V28" s="1559" t="s">
        <v>8</v>
      </c>
      <c r="W28" s="1560">
        <f t="shared" si="14"/>
        <v>100</v>
      </c>
      <c r="X28" s="1553"/>
      <c r="Y28" s="3391"/>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91"/>
      <c r="Q29" s="1558" t="str">
        <f t="shared" si="11"/>
        <v>有无电梯</v>
      </c>
      <c r="R29" s="1559" t="s">
        <v>8</v>
      </c>
      <c r="S29" s="1560">
        <f t="shared" si="12"/>
        <v>100</v>
      </c>
      <c r="T29" s="1559" t="s">
        <v>8</v>
      </c>
      <c r="U29" s="1560">
        <f t="shared" si="13"/>
        <v>100</v>
      </c>
      <c r="V29" s="1559" t="s">
        <v>8</v>
      </c>
      <c r="W29" s="1560">
        <f t="shared" si="14"/>
        <v>100</v>
      </c>
      <c r="X29" s="1553"/>
      <c r="Y29" s="3391"/>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91"/>
      <c r="Q30" s="1558" t="str">
        <f t="shared" si="11"/>
        <v>建筑面积</v>
      </c>
      <c r="R30" s="1559" t="s">
        <v>8</v>
      </c>
      <c r="S30" s="1560" t="e">
        <f t="shared" si="12"/>
        <v>#N/A</v>
      </c>
      <c r="T30" s="1559" t="s">
        <v>8</v>
      </c>
      <c r="U30" s="1560" t="e">
        <f t="shared" si="13"/>
        <v>#N/A</v>
      </c>
      <c r="V30" s="1559" t="s">
        <v>8</v>
      </c>
      <c r="W30" s="1560" t="e">
        <f t="shared" si="14"/>
        <v>#N/A</v>
      </c>
      <c r="X30" s="1553"/>
      <c r="Y30" s="3391"/>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91"/>
      <c r="Q31" s="1146" t="str">
        <f t="shared" si="11"/>
        <v>是否封闭</v>
      </c>
      <c r="R31" s="1554" t="s">
        <v>8</v>
      </c>
      <c r="S31" s="1555">
        <f t="shared" si="12"/>
        <v>100</v>
      </c>
      <c r="T31" s="1554" t="s">
        <v>8</v>
      </c>
      <c r="U31" s="1555">
        <f t="shared" si="13"/>
        <v>100</v>
      </c>
      <c r="V31" s="1554" t="s">
        <v>8</v>
      </c>
      <c r="W31" s="1555">
        <f t="shared" si="14"/>
        <v>100</v>
      </c>
      <c r="X31" s="1556"/>
      <c r="Y31" s="3391"/>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91" t="s">
        <v>550</v>
      </c>
      <c r="Q32" s="1558">
        <f t="shared" si="11"/>
        <v>111</v>
      </c>
      <c r="R32" s="1559" t="s">
        <v>8</v>
      </c>
      <c r="S32" s="1560">
        <f t="shared" si="12"/>
        <v>100</v>
      </c>
      <c r="T32" s="1559" t="s">
        <v>8</v>
      </c>
      <c r="U32" s="1560">
        <f t="shared" si="13"/>
        <v>100</v>
      </c>
      <c r="V32" s="1559" t="s">
        <v>8</v>
      </c>
      <c r="W32" s="1560">
        <f t="shared" si="14"/>
        <v>100</v>
      </c>
      <c r="X32" s="1553"/>
      <c r="Y32" s="3391"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91"/>
      <c r="Q33" s="1558">
        <f t="shared" si="11"/>
        <v>111</v>
      </c>
      <c r="R33" s="1559" t="s">
        <v>8</v>
      </c>
      <c r="S33" s="1560">
        <f t="shared" si="12"/>
        <v>100</v>
      </c>
      <c r="T33" s="1559" t="s">
        <v>8</v>
      </c>
      <c r="U33" s="1560">
        <f t="shared" si="13"/>
        <v>100</v>
      </c>
      <c r="V33" s="1559" t="s">
        <v>8</v>
      </c>
      <c r="W33" s="1560">
        <f t="shared" si="14"/>
        <v>100</v>
      </c>
      <c r="X33" s="1553"/>
      <c r="Y33" s="3391"/>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91"/>
      <c r="Q34" s="1558">
        <f t="shared" si="11"/>
        <v>111</v>
      </c>
      <c r="R34" s="1559" t="s">
        <v>8</v>
      </c>
      <c r="S34" s="1560">
        <f t="shared" si="12"/>
        <v>100</v>
      </c>
      <c r="T34" s="1559" t="s">
        <v>8</v>
      </c>
      <c r="U34" s="1560">
        <f t="shared" si="13"/>
        <v>100</v>
      </c>
      <c r="V34" s="1559" t="s">
        <v>8</v>
      </c>
      <c r="W34" s="1560">
        <f t="shared" si="14"/>
        <v>100</v>
      </c>
      <c r="X34" s="1553"/>
      <c r="Y34" s="3391"/>
      <c r="Z34" s="1561">
        <f t="shared" si="15"/>
        <v>111</v>
      </c>
      <c r="AA34" s="1562">
        <f t="shared" si="3"/>
        <v>1</v>
      </c>
      <c r="AB34" s="1562">
        <f t="shared" si="4"/>
        <v>1</v>
      </c>
      <c r="AC34" s="1562">
        <f t="shared" si="5"/>
        <v>1</v>
      </c>
    </row>
    <row r="35" spans="1:29" ht="15">
      <c r="A35" s="606" t="s">
        <v>736</v>
      </c>
      <c r="B35" s="886"/>
      <c r="C35" s="2591" t="s">
        <v>1</v>
      </c>
      <c r="D35" s="2592"/>
      <c r="E35" s="2593"/>
      <c r="F35" s="2594"/>
      <c r="G35" s="2595"/>
      <c r="H35" s="2596"/>
      <c r="I35" s="2593"/>
      <c r="J35" s="2596"/>
      <c r="K35" s="1596"/>
      <c r="L35" s="2129"/>
      <c r="M35" s="2130"/>
      <c r="N35" s="2119"/>
      <c r="O35" s="2130"/>
      <c r="P35" s="3386" t="str">
        <f>A35</f>
        <v>成交单价（元/平方米）</v>
      </c>
      <c r="Q35" s="3386"/>
      <c r="R35" s="3490">
        <f>E35</f>
        <v>0</v>
      </c>
      <c r="S35" s="3490"/>
      <c r="T35" s="3490">
        <f>G35</f>
        <v>0</v>
      </c>
      <c r="U35" s="3490"/>
      <c r="V35" s="3490">
        <f>I35</f>
        <v>0</v>
      </c>
      <c r="W35" s="3490"/>
      <c r="X35" s="1545"/>
      <c r="Y35" s="1567"/>
      <c r="Z35" s="1545"/>
      <c r="AA35" s="1545"/>
      <c r="AB35" s="1545"/>
      <c r="AC35" s="1545"/>
    </row>
    <row r="36" spans="1:29" ht="15.75" thickBot="1">
      <c r="A36" s="614" t="s">
        <v>2759</v>
      </c>
      <c r="B36" s="887"/>
      <c r="C36" s="2597" t="e">
        <f>R37</f>
        <v>#DIV/0!</v>
      </c>
      <c r="D36" s="2598"/>
      <c r="E36" s="2599" t="e">
        <f>R36</f>
        <v>#DIV/0!</v>
      </c>
      <c r="F36" s="2599"/>
      <c r="G36" s="2597" t="e">
        <f>T36</f>
        <v>#DIV/0!</v>
      </c>
      <c r="H36" s="2598"/>
      <c r="I36" s="2599" t="e">
        <f>V36</f>
        <v>#DIV/0!</v>
      </c>
      <c r="J36" s="2598"/>
      <c r="K36" s="1597"/>
      <c r="L36" s="2129"/>
      <c r="M36" s="2130"/>
      <c r="N36" s="2119"/>
      <c r="O36" s="2130"/>
      <c r="P36" s="3386" t="str">
        <f>A36</f>
        <v>比较价格（元/平方米）</v>
      </c>
      <c r="Q36" s="338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5"/>
      <c r="Y36" s="1545"/>
      <c r="Z36" s="1545"/>
      <c r="AA36" s="1545"/>
      <c r="AB36" s="1545"/>
      <c r="AC36" s="1545"/>
    </row>
    <row r="37" spans="1:29" ht="15.75" thickBot="1">
      <c r="A37" s="620" t="s">
        <v>2936</v>
      </c>
      <c r="B37" s="621"/>
      <c r="C37" s="2600" t="e">
        <f>R37</f>
        <v>#DIV/0!</v>
      </c>
      <c r="D37" s="2600"/>
      <c r="E37" s="2600"/>
      <c r="F37" s="2600"/>
      <c r="G37" s="2600"/>
      <c r="H37" s="2600"/>
      <c r="I37" s="2600"/>
      <c r="J37" s="2600"/>
      <c r="K37" s="1598"/>
      <c r="L37" s="2129"/>
      <c r="M37" s="2130"/>
      <c r="N37" s="2130"/>
      <c r="O37" s="2130"/>
      <c r="P37" s="3407" t="str">
        <f>A37</f>
        <v>估价对象XX用房的比较价格（楼面单价，元/平方米）</v>
      </c>
      <c r="Q37" s="3408"/>
      <c r="R37" s="3489" t="e">
        <f>IF(F1="售价",ROUND(AVERAGE(R36:V36),0),ROUND(AVERAGE(R36:V36),1))</f>
        <v>#DIV/0!</v>
      </c>
      <c r="S37" s="3489"/>
      <c r="T37" s="3489"/>
      <c r="U37" s="3489"/>
      <c r="V37" s="3489"/>
      <c r="W37" s="348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529</v>
      </c>
      <c r="B46" s="645"/>
      <c r="C46" s="2757" t="str">
        <f>YEAR(C7)&amp;"-"&amp;MONTH(C7)</f>
        <v>2019-9</v>
      </c>
      <c r="D46" s="2759">
        <f>EDATE(C46,-1)</f>
        <v>43678</v>
      </c>
      <c r="E46" s="2759">
        <f t="shared" ref="E46:O46" si="16">EDATE(D46,-1)</f>
        <v>43647</v>
      </c>
      <c r="F46" s="2759">
        <f t="shared" si="16"/>
        <v>43617</v>
      </c>
      <c r="G46" s="2759">
        <f t="shared" si="16"/>
        <v>43586</v>
      </c>
      <c r="H46" s="2759">
        <f t="shared" si="16"/>
        <v>43556</v>
      </c>
      <c r="I46" s="2759">
        <f t="shared" si="16"/>
        <v>43525</v>
      </c>
      <c r="J46" s="2759">
        <f t="shared" si="16"/>
        <v>43497</v>
      </c>
      <c r="K46" s="2759">
        <f t="shared" si="16"/>
        <v>43466</v>
      </c>
      <c r="L46" s="2759">
        <f t="shared" si="16"/>
        <v>43435</v>
      </c>
      <c r="M46" s="2759">
        <f t="shared" si="16"/>
        <v>43405</v>
      </c>
      <c r="N46" s="2759">
        <f t="shared" si="16"/>
        <v>43374</v>
      </c>
      <c r="O46" s="2759">
        <f t="shared" si="16"/>
        <v>43344</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575</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531</v>
      </c>
      <c r="B49" s="647"/>
      <c r="C49" s="659" t="s">
        <v>576</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577</v>
      </c>
      <c r="B51" s="664" t="s">
        <v>534</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2556</v>
      </c>
      <c r="C63" s="707" t="s">
        <v>579</v>
      </c>
      <c r="D63" s="707" t="s">
        <v>580</v>
      </c>
      <c r="E63" s="707" t="s">
        <v>581</v>
      </c>
      <c r="F63" s="707" t="s">
        <v>582</v>
      </c>
      <c r="G63" s="707" t="s">
        <v>583</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2557</v>
      </c>
      <c r="C65" s="2562" t="s">
        <v>2558</v>
      </c>
      <c r="D65" s="2562" t="s">
        <v>2559</v>
      </c>
      <c r="E65" s="2562" t="s">
        <v>2560</v>
      </c>
      <c r="F65" s="2562" t="s">
        <v>2561</v>
      </c>
      <c r="G65" s="2562" t="s">
        <v>2562</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744</v>
      </c>
      <c r="C67" s="707" t="s">
        <v>579</v>
      </c>
      <c r="D67" s="707" t="s">
        <v>580</v>
      </c>
      <c r="E67" s="707" t="s">
        <v>581</v>
      </c>
      <c r="F67" s="707" t="s">
        <v>582</v>
      </c>
      <c r="G67" s="707" t="s">
        <v>583</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745</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551</v>
      </c>
      <c r="B77" s="664" t="s">
        <v>751</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817</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825</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827</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61815.58平方米。根据《建设工程规划许可证》[]、《出让合同》[]，估价对象规划建筑面积为92723.37平方米。</v>
      </c>
    </row>
    <row r="7" spans="1:4" ht="93.75">
      <c r="A7" s="2828" t="s">
        <v>2747</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2019年9月26日（评估专业人员勘察现场之日）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根据《国有土地使用证》[]，估价对象（分摊）出让国有建设用地使用权面积为61815.58平方米。根据《建设工程规划许可证》[]、《出让合同》[]，估价对象规划建筑面积为92723.37平方米。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C1" zoomScale="90" zoomScaleNormal="90" workbookViewId="0">
      <pane ySplit="24" topLeftCell="A25" activePane="bottomLeft" state="frozen"/>
      <selection pane="bottomLeft" activeCell="B26" sqref="B2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2302</v>
      </c>
      <c r="C1" s="3499" t="s">
        <v>2303</v>
      </c>
      <c r="D1" s="3500"/>
      <c r="E1" s="3500"/>
      <c r="F1" s="3500"/>
      <c r="G1" s="3500"/>
      <c r="H1" s="3500"/>
      <c r="I1" s="3500"/>
      <c r="J1" s="3500"/>
      <c r="K1" s="3500"/>
      <c r="L1" s="3500"/>
      <c r="M1" s="3500"/>
      <c r="N1" s="3500"/>
      <c r="O1" s="3500"/>
      <c r="P1" s="3500"/>
      <c r="Q1" s="3500"/>
      <c r="R1" s="3500"/>
      <c r="S1" s="3501"/>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8" t="s">
        <v>2305</v>
      </c>
      <c r="C2" s="949" t="str">
        <f t="shared" ref="C2:L2" si="0">C3&amp;"(含)"&amp;"-"&amp;D3</f>
        <v>0(含)-100000</v>
      </c>
      <c r="D2" s="950" t="str">
        <f t="shared" si="0"/>
        <v>100000(含)-500000</v>
      </c>
      <c r="E2" s="950" t="str">
        <f t="shared" si="0"/>
        <v>500000(含)-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v>
      </c>
      <c r="E3" s="954">
        <v>500000</v>
      </c>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v>102</v>
      </c>
      <c r="E4" s="2231">
        <v>104</v>
      </c>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2940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4">
        <f ca="1">S22</f>
        <v>18244</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4">
        <f ca="1">R22</f>
        <v>676</v>
      </c>
      <c r="C21" s="1975"/>
      <c r="D21" s="1975"/>
      <c r="E21" s="1975"/>
      <c r="F21" s="1975"/>
      <c r="G21" s="1975"/>
      <c r="H21" s="1975"/>
      <c r="I21" s="1975"/>
      <c r="J21" s="1975"/>
      <c r="K21" s="1975"/>
      <c r="L21" s="1975"/>
      <c r="M21" s="1975"/>
      <c r="N21" s="1975"/>
      <c r="O21" s="1975"/>
      <c r="P21" s="1975"/>
      <c r="Q21" s="1975"/>
      <c r="R21" s="2210"/>
      <c r="S21" s="2013"/>
    </row>
    <row r="22" spans="1:45">
      <c r="A22" s="798" t="s">
        <v>830</v>
      </c>
      <c r="B22" s="53">
        <f>SUM(B24:B10000)</f>
        <v>269891.46999999997</v>
      </c>
      <c r="C22" s="3496" t="s">
        <v>20</v>
      </c>
      <c r="D22" s="3497"/>
      <c r="E22" s="3497"/>
      <c r="F22" s="3497"/>
      <c r="G22" s="3497"/>
      <c r="H22" s="3497"/>
      <c r="I22" s="3497"/>
      <c r="J22" s="3497"/>
      <c r="K22" s="3497"/>
      <c r="L22" s="3497"/>
      <c r="M22" s="3497"/>
      <c r="N22" s="3497"/>
      <c r="O22" s="3497"/>
      <c r="P22" s="3497"/>
      <c r="Q22" s="3498"/>
      <c r="R22" s="489">
        <f ca="1">ROUND(S22*10000/B22,0)</f>
        <v>676</v>
      </c>
      <c r="S22" s="53">
        <f ca="1">SUM(S24:S10000)</f>
        <v>18244</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v>1604</v>
      </c>
      <c r="B24" s="960">
        <f>'数据-基础表'!I13</f>
        <v>92723.37</v>
      </c>
      <c r="C24" s="961">
        <v>1</v>
      </c>
      <c r="D24" s="962"/>
      <c r="E24" s="961">
        <v>1</v>
      </c>
      <c r="F24" s="962"/>
      <c r="G24" s="961">
        <v>1</v>
      </c>
      <c r="H24" s="962"/>
      <c r="I24" s="961">
        <v>1</v>
      </c>
      <c r="J24" s="962"/>
      <c r="K24" s="961">
        <v>1</v>
      </c>
      <c r="L24" s="962"/>
      <c r="M24" s="961">
        <v>1</v>
      </c>
      <c r="N24" s="962"/>
      <c r="O24" s="961">
        <v>1</v>
      </c>
      <c r="P24" s="962"/>
      <c r="Q24" s="961">
        <v>1</v>
      </c>
      <c r="R24" s="963">
        <f ca="1">结果表!N38</f>
        <v>676</v>
      </c>
      <c r="S24" s="961">
        <f t="shared" ref="S24:S54" ca="1" si="11">ROUND(R24*B24/10000,0)</f>
        <v>6268</v>
      </c>
      <c r="T24" s="1958"/>
      <c r="U24" s="1958"/>
      <c r="V24" s="1958"/>
      <c r="W24" s="1958"/>
      <c r="X24" s="1958"/>
      <c r="Y24" s="1958"/>
      <c r="Z24" s="1958"/>
      <c r="AA24" s="1958"/>
      <c r="AB24" s="1958"/>
      <c r="AC24" s="1958"/>
      <c r="AD24" s="1958"/>
      <c r="AE24" s="1958"/>
      <c r="AF24" s="1958"/>
      <c r="AG24" s="1958"/>
      <c r="AH24" s="1958"/>
      <c r="AI24" s="1958"/>
    </row>
    <row r="25" spans="1:45">
      <c r="A25" s="964">
        <v>1605</v>
      </c>
      <c r="B25" s="137">
        <v>77383.45</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 ca="1">IF(B25="",0,ROUND($R$24*C25*E25*G25*I25*K25*M25*O25*Q25,0))</f>
        <v>676</v>
      </c>
      <c r="S25" s="798">
        <f ca="1">ROUND(R25*B25/10000,0)</f>
        <v>5231</v>
      </c>
    </row>
    <row r="26" spans="1:45">
      <c r="A26" s="964">
        <v>1606</v>
      </c>
      <c r="B26" s="137">
        <f>ROUND((66523.1*1.5),2)</f>
        <v>99784.65</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ca="1" si="20">IF(B26="",0,ROUND($R$24*C26*E26*G26*I26*K26*M26*O26*Q26,0))</f>
        <v>676</v>
      </c>
      <c r="S26" s="798">
        <f t="shared" ca="1" si="11"/>
        <v>6745</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IF(B34="",1,(LOOKUP(B34,$3:$3,$4:$4)-LOOKUP($B$24,$3:$3,$4:$4)+100)/100)</f>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IF(B34="",0,ROUND($R$24*C34*E34*G34*I34*K34*M34*O34*Q34,0))</f>
        <v>0</v>
      </c>
      <c r="S34" s="798">
        <f>ROUND(R34*B34/10000,0)</f>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43734</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2.5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7" sqref="L17"/>
    </sheetView>
  </sheetViews>
  <sheetFormatPr defaultRowHeight="13.5"/>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4" sqref="L2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2037</v>
      </c>
      <c r="B1" s="3206"/>
      <c r="C1" s="3206"/>
      <c r="D1" s="3206"/>
      <c r="E1" s="3206"/>
      <c r="F1" s="3206"/>
      <c r="G1" s="3206"/>
      <c r="H1" s="3206"/>
      <c r="I1" s="3206"/>
      <c r="J1" s="3206"/>
      <c r="K1" s="3206"/>
      <c r="L1" s="3206"/>
      <c r="M1" s="3206"/>
      <c r="N1" s="3206"/>
      <c r="O1" s="3206"/>
      <c r="P1" s="3206"/>
      <c r="Q1" s="3206"/>
      <c r="R1" s="3206"/>
    </row>
    <row r="2" spans="1:18">
      <c r="A2" s="1792" t="s">
        <v>2039</v>
      </c>
      <c r="B2" s="1792"/>
      <c r="C2" s="1792"/>
      <c r="D2" s="1792"/>
      <c r="E2" s="1792"/>
      <c r="F2" s="1792"/>
      <c r="G2" s="1792"/>
      <c r="H2" s="1792"/>
      <c r="I2" s="1793"/>
      <c r="J2" s="1793"/>
      <c r="K2" s="1794" t="str">
        <f>"估价期日："&amp;TEXT(项目基本情况!D3,"yyyy年m月d日;;")</f>
        <v>估价期日：2019年9月26日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7" t="s">
        <v>2028</v>
      </c>
      <c r="B3" s="3207" t="s">
        <v>2730</v>
      </c>
      <c r="C3" s="3208" t="s">
        <v>2029</v>
      </c>
      <c r="D3" s="3207" t="s">
        <v>2734</v>
      </c>
      <c r="E3" s="3202" t="s">
        <v>2030</v>
      </c>
      <c r="F3" s="3202"/>
      <c r="G3" s="3202"/>
      <c r="H3" s="3202" t="s">
        <v>2031</v>
      </c>
      <c r="I3" s="3202"/>
      <c r="J3" s="3202"/>
      <c r="K3" s="3208" t="s">
        <v>2032</v>
      </c>
      <c r="L3" s="3208" t="s">
        <v>2033</v>
      </c>
      <c r="M3" s="3207" t="s">
        <v>2731</v>
      </c>
      <c r="N3" s="3209" t="str">
        <f>"（分摊）"&amp;项目基本情况!B16&amp;"国有建设用地使用权面积/㎡"</f>
        <v>（分摊）出让国有建设用地使用权面积/㎡</v>
      </c>
      <c r="O3" s="3207" t="s">
        <v>2062</v>
      </c>
      <c r="P3" s="3208" t="s">
        <v>2042</v>
      </c>
      <c r="Q3" s="3208" t="s">
        <v>2063</v>
      </c>
      <c r="R3" s="3208" t="s">
        <v>2034</v>
      </c>
    </row>
    <row r="4" spans="1:18" ht="36.75" customHeight="1">
      <c r="A4" s="3207"/>
      <c r="B4" s="3207"/>
      <c r="C4" s="3208"/>
      <c r="D4" s="3207"/>
      <c r="E4" s="2613" t="s">
        <v>2041</v>
      </c>
      <c r="F4" s="2613" t="s">
        <v>2743</v>
      </c>
      <c r="G4" s="2613" t="s">
        <v>2035</v>
      </c>
      <c r="H4" s="2613" t="s">
        <v>2036</v>
      </c>
      <c r="I4" s="2613" t="s">
        <v>2744</v>
      </c>
      <c r="J4" s="2613" t="s">
        <v>2035</v>
      </c>
      <c r="K4" s="3208"/>
      <c r="L4" s="3208"/>
      <c r="M4" s="3207"/>
      <c r="N4" s="3209"/>
      <c r="O4" s="3207"/>
      <c r="P4" s="3208"/>
      <c r="Q4" s="3208"/>
      <c r="R4" s="3208"/>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61815.58</v>
      </c>
      <c r="O5" s="1795">
        <f>项目基本情况!C21</f>
        <v>92723.37</v>
      </c>
      <c r="P5" s="1795">
        <f ca="1">结果表!E42</f>
        <v>1014</v>
      </c>
      <c r="Q5" s="1795">
        <f ca="1">结果表!D42</f>
        <v>676</v>
      </c>
      <c r="R5" s="1796">
        <f ca="1">结果表!C42</f>
        <v>6267</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7">
        <f ca="1">结果表!O39</f>
        <v>6267</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7"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0" t="s">
        <v>2064</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2065</v>
      </c>
      <c r="B5" s="3213"/>
      <c r="C5" s="3213"/>
      <c r="D5" s="3213"/>
    </row>
    <row r="6" spans="1:4">
      <c r="A6" s="3210" t="s">
        <v>2043</v>
      </c>
      <c r="B6" s="3210"/>
      <c r="C6" s="3210"/>
      <c r="D6" s="3210"/>
    </row>
    <row r="7" spans="1:4" ht="33" customHeight="1">
      <c r="A7" s="3210" t="s">
        <v>2574</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2067</v>
      </c>
      <c r="B12" s="3213"/>
      <c r="C12" s="3213"/>
      <c r="D12" s="3213"/>
    </row>
    <row r="13" spans="1:4">
      <c r="A13" s="3211" t="s">
        <v>2745</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2701</v>
      </c>
      <c r="B17" s="3210"/>
      <c r="C17" s="3210"/>
      <c r="D17" s="3210"/>
    </row>
    <row r="18" spans="1:4">
      <c r="A18" s="3210" t="s">
        <v>2693</v>
      </c>
      <c r="B18" s="3210"/>
      <c r="C18" s="3210"/>
      <c r="D18" s="3210"/>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10" t="s">
        <v>2698</v>
      </c>
      <c r="B23" s="3210"/>
      <c r="C23" s="3210"/>
      <c r="D23" s="3210"/>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2" t="s">
        <v>53</v>
      </c>
      <c r="B15" s="3223" t="s">
        <v>845</v>
      </c>
      <c r="C15" s="3219"/>
    </row>
    <row r="16" spans="1:7" ht="14.25">
      <c r="A16" s="3222"/>
      <c r="B16" s="3220" t="s">
        <v>54</v>
      </c>
      <c r="C16" s="1167" t="s">
        <v>53</v>
      </c>
    </row>
    <row r="17" spans="1:3" ht="14.25">
      <c r="A17" s="3222"/>
      <c r="B17" s="3220"/>
      <c r="C17" s="1167" t="s">
        <v>55</v>
      </c>
    </row>
    <row r="18" spans="1:3" ht="14.25">
      <c r="A18" s="3222"/>
      <c r="B18" s="3220"/>
      <c r="C18" s="1167" t="s">
        <v>56</v>
      </c>
    </row>
    <row r="19" spans="1:3" ht="14.25">
      <c r="A19" s="3222"/>
      <c r="B19" s="3218" t="s">
        <v>57</v>
      </c>
      <c r="C19" s="3219"/>
    </row>
    <row r="20" spans="1:3" ht="14.25">
      <c r="A20" s="1168" t="s">
        <v>58</v>
      </c>
      <c r="B20" s="1169"/>
      <c r="C20" s="1170"/>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1" t="s">
        <v>836</v>
      </c>
    </row>
    <row r="25" spans="1:3" ht="14.25">
      <c r="A25" s="3221"/>
      <c r="B25" s="3225"/>
      <c r="C25" s="1171" t="s">
        <v>837</v>
      </c>
    </row>
    <row r="26" spans="1:3" ht="14.25">
      <c r="A26" s="3221"/>
      <c r="B26" s="3225"/>
      <c r="C26" s="1171" t="s">
        <v>838</v>
      </c>
    </row>
    <row r="27" spans="1:3" ht="14.25">
      <c r="A27" s="3221"/>
      <c r="B27" s="3225"/>
      <c r="C27" s="1171" t="s">
        <v>839</v>
      </c>
    </row>
    <row r="28" spans="1:3" ht="14.25">
      <c r="A28" s="3221"/>
      <c r="B28" s="3225"/>
      <c r="C28" s="1171" t="s">
        <v>840</v>
      </c>
    </row>
    <row r="29" spans="1:3" ht="14.25">
      <c r="A29" s="3221"/>
      <c r="B29" s="3225"/>
      <c r="C29" s="1171" t="s">
        <v>841</v>
      </c>
    </row>
    <row r="30" spans="1:3" ht="14.25">
      <c r="A30" s="3221"/>
      <c r="B30" s="3225"/>
      <c r="C30" s="1171" t="s">
        <v>842</v>
      </c>
    </row>
    <row r="31" spans="1:3" ht="14.25">
      <c r="A31" s="3221"/>
      <c r="B31" s="3225"/>
      <c r="C31" s="1171" t="s">
        <v>843</v>
      </c>
    </row>
    <row r="32" spans="1:3" ht="14.25">
      <c r="A32" s="3221"/>
      <c r="B32" s="3225"/>
      <c r="C32" s="1171" t="s">
        <v>1645</v>
      </c>
    </row>
    <row r="33" spans="1:3" ht="14.25">
      <c r="A33" s="3221"/>
      <c r="B33" s="3215" t="s">
        <v>1651</v>
      </c>
      <c r="C33" s="1171" t="s">
        <v>1646</v>
      </c>
    </row>
    <row r="34" spans="1:3" ht="14.25">
      <c r="A34" s="3221"/>
      <c r="B34" s="3216"/>
      <c r="C34" s="1176" t="s">
        <v>1647</v>
      </c>
    </row>
    <row r="35" spans="1:3" ht="14.25">
      <c r="A35" s="3221"/>
      <c r="B35" s="3216"/>
      <c r="C35" s="1177" t="s">
        <v>1648</v>
      </c>
    </row>
    <row r="36" spans="1:3" ht="14.25">
      <c r="A36" s="3221"/>
      <c r="B36" s="3216"/>
      <c r="C36" s="1177" t="s">
        <v>1649</v>
      </c>
    </row>
    <row r="37" spans="1:3" ht="14.25">
      <c r="A37" s="3221"/>
      <c r="B37" s="3217"/>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43754</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2981</v>
      </c>
      <c r="B14" s="3131">
        <f ca="1">IF(C14&lt;B2,"已过期",1120040230)</f>
        <v>1120040230</v>
      </c>
      <c r="C14" s="3135">
        <v>43835</v>
      </c>
      <c r="D14" s="3136" t="s">
        <v>2982</v>
      </c>
      <c r="E14" s="3131">
        <f ca="1">IF(F14&lt;B2,"已过期",98030020)</f>
        <v>98030020</v>
      </c>
      <c r="F14" s="3134">
        <v>47118</v>
      </c>
    </row>
    <row r="15" spans="1:6" ht="20.25" customHeight="1">
      <c r="A15" s="3131" t="s">
        <v>2573</v>
      </c>
      <c r="B15" s="3131">
        <f ca="1">IF(C15&lt;B2,"已过期",1120070085)</f>
        <v>1120070085</v>
      </c>
      <c r="C15" s="3135">
        <v>43814</v>
      </c>
      <c r="D15" s="3131" t="s">
        <v>2983</v>
      </c>
      <c r="E15" s="3131">
        <f ca="1">IF(F15&lt;B2,"已过期",2004110128)</f>
        <v>2004110128</v>
      </c>
      <c r="F15" s="3137">
        <v>47118</v>
      </c>
    </row>
    <row r="16" spans="1:6" ht="20.25" customHeight="1">
      <c r="A16" s="3131" t="s">
        <v>1922</v>
      </c>
      <c r="B16" s="3131">
        <f ca="1">IF(C16&lt;B2,"已过期",1120140022)</f>
        <v>1120140022</v>
      </c>
      <c r="C16" s="3133">
        <v>44029</v>
      </c>
      <c r="D16" s="3131" t="s">
        <v>2984</v>
      </c>
      <c r="E16" s="3131">
        <f ca="1">IF(F16&lt;B2,"已过期",2008110059)</f>
        <v>2008110059</v>
      </c>
      <c r="F16" s="3134">
        <v>47177</v>
      </c>
    </row>
    <row r="17" spans="1:7" ht="20.25" customHeight="1">
      <c r="A17" s="3131"/>
      <c r="B17" s="3131"/>
      <c r="C17" s="3133"/>
      <c r="D17" s="3136" t="s">
        <v>2985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6" t="s">
        <v>1925</v>
      </c>
      <c r="B25" s="3226"/>
      <c r="C25" s="3226"/>
      <c r="D25" s="3226"/>
      <c r="E25" s="3226"/>
      <c r="F25" s="3226"/>
      <c r="G25" s="3226"/>
    </row>
    <row r="26" spans="1:7" ht="20.25" customHeight="1">
      <c r="A26" s="3227" t="s">
        <v>1926</v>
      </c>
      <c r="B26" s="3227"/>
      <c r="C26" s="3227"/>
      <c r="D26" s="3227" t="s">
        <v>1927</v>
      </c>
      <c r="E26" s="3227"/>
      <c r="F26" s="3227"/>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2993</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4" t="s">
        <v>2955</v>
      </c>
      <c r="C18" s="1540"/>
    </row>
    <row r="19" spans="1:3">
      <c r="A19" s="8" t="s">
        <v>120</v>
      </c>
      <c r="B19" s="3064" t="s">
        <v>2963</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28"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26日，在规划利用条件下、设定土地开发程度为红线外“七通”、宗地内场地，设定用途为，剩余土地使用年限为的出让国有建设用地使用权价格。</v>
      </c>
      <c r="D53" s="1752"/>
      <c r="E53" s="1752"/>
    </row>
    <row r="54" spans="1:5">
      <c r="A54" s="3228"/>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8"/>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8"/>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8"/>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2019-10-16T09:30:58Z</dcterms:modified>
</cp:coreProperties>
</file>