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Sheet2" sheetId="70" r:id="rId43"/>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93" i="39" l="1"/>
  <c r="E93" i="39"/>
  <c r="F93" i="39"/>
  <c r="G93" i="39"/>
  <c r="F19" i="39"/>
  <c r="AA19" i="39"/>
  <c r="D97" i="39"/>
  <c r="E97" i="39"/>
  <c r="F97" i="39"/>
  <c r="G97" i="39"/>
  <c r="F23" i="39"/>
  <c r="AA23" i="39"/>
  <c r="D101" i="39"/>
  <c r="E101" i="39"/>
  <c r="F101" i="39"/>
  <c r="F27" i="39"/>
  <c r="AA27" i="39"/>
  <c r="D103" i="39"/>
  <c r="E103" i="39"/>
  <c r="F103" i="39"/>
  <c r="G103" i="39"/>
  <c r="F29" i="39"/>
  <c r="AA29" i="39"/>
  <c r="R49" i="39"/>
  <c r="H19" i="39"/>
  <c r="AB19" i="39"/>
  <c r="H23" i="39"/>
  <c r="AB23" i="39"/>
  <c r="H27" i="39"/>
  <c r="AB27" i="39"/>
  <c r="H29" i="39"/>
  <c r="AB29" i="39"/>
  <c r="T49" i="39"/>
  <c r="J19" i="39"/>
  <c r="AC19" i="39"/>
  <c r="J23" i="39"/>
  <c r="AC23" i="39"/>
  <c r="J27" i="39"/>
  <c r="AC27" i="39"/>
  <c r="J29" i="39"/>
  <c r="AC2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M6"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O6" i="1"/>
  <c r="P6" i="1"/>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C17" i="9"/>
  <c r="D17" i="9"/>
  <c r="C18" i="9"/>
  <c r="D18" i="9"/>
  <c r="G19" i="9"/>
  <c r="D27" i="9"/>
  <c r="D30" i="9"/>
  <c r="C24" i="9"/>
  <c r="C32" i="9"/>
  <c r="C33" i="9"/>
  <c r="N38" i="9"/>
  <c r="R24" i="31"/>
  <c r="S24" i="31"/>
  <c r="C25" i="31"/>
  <c r="R25" i="31"/>
  <c r="S25" i="31"/>
  <c r="R26" i="31"/>
  <c r="S26" i="31"/>
  <c r="S22" i="31"/>
  <c r="D14" i="66"/>
  <c r="G14" i="66"/>
  <c r="B22" i="31"/>
  <c r="B14" i="66"/>
  <c r="B26" i="31"/>
  <c r="B24" i="31"/>
  <c r="C34" i="9"/>
  <c r="M38" i="9"/>
  <c r="I40" i="39"/>
  <c r="G40" i="39"/>
  <c r="I9" i="39"/>
  <c r="G9" i="39"/>
  <c r="I7" i="39"/>
  <c r="G7" i="39"/>
  <c r="C30" i="9"/>
  <c r="B27" i="9"/>
  <c r="B30" i="9"/>
  <c r="U25" i="1"/>
  <c r="U24" i="1"/>
  <c r="U23" i="1"/>
  <c r="U22" i="1"/>
  <c r="Q22" i="1"/>
  <c r="Q23" i="1"/>
  <c r="Q24" i="1"/>
  <c r="Q25" i="1"/>
  <c r="Q26" i="1"/>
  <c r="E40" i="39"/>
  <c r="C40" i="39"/>
  <c r="E73" i="39"/>
  <c r="F73" i="39"/>
  <c r="G73" i="39"/>
  <c r="H73" i="39"/>
  <c r="I73" i="39"/>
  <c r="J73" i="39"/>
  <c r="K73" i="39"/>
  <c r="L73" i="39"/>
  <c r="M73" i="39"/>
  <c r="N73" i="39"/>
  <c r="D73" i="39"/>
  <c r="E9" i="39"/>
  <c r="E7" i="39"/>
  <c r="P3" i="69"/>
  <c r="P4" i="69"/>
  <c r="P5" i="69"/>
  <c r="P6" i="69"/>
  <c r="P7" i="69"/>
  <c r="P8" i="69"/>
  <c r="P9" i="69"/>
  <c r="P10" i="69"/>
  <c r="P11" i="69"/>
  <c r="P12" i="69"/>
  <c r="P13" i="69"/>
  <c r="P14" i="69"/>
  <c r="P15" i="69"/>
  <c r="P16" i="69"/>
  <c r="P17" i="69"/>
  <c r="P18" i="69"/>
  <c r="P19" i="69"/>
  <c r="P20" i="69"/>
  <c r="P21" i="69"/>
  <c r="P22" i="69"/>
  <c r="P23" i="69"/>
  <c r="P24" i="69"/>
  <c r="P25" i="69"/>
  <c r="P26" i="69"/>
  <c r="P27" i="69"/>
  <c r="P28" i="69"/>
  <c r="P29" i="69"/>
  <c r="P30" i="69"/>
  <c r="P31" i="69"/>
  <c r="P32" i="69"/>
  <c r="P33" i="69"/>
  <c r="P34" i="69"/>
  <c r="P35" i="69"/>
  <c r="P36" i="69"/>
  <c r="P37" i="69"/>
  <c r="P38" i="69"/>
  <c r="P39" i="69"/>
  <c r="P40" i="69"/>
  <c r="P41" i="69"/>
  <c r="P42" i="69"/>
  <c r="P43" i="69"/>
  <c r="P44" i="69"/>
  <c r="P45" i="69"/>
  <c r="P46" i="69"/>
  <c r="P47" i="69"/>
  <c r="P48" i="69"/>
  <c r="P49" i="69"/>
  <c r="P50" i="69"/>
  <c r="P51" i="69"/>
  <c r="P52" i="69"/>
  <c r="P53" i="69"/>
  <c r="P54" i="69"/>
  <c r="P55" i="69"/>
  <c r="P56" i="69"/>
  <c r="P57" i="69"/>
  <c r="P58" i="69"/>
  <c r="P59" i="69"/>
  <c r="P60" i="69"/>
  <c r="P61" i="69"/>
  <c r="P62" i="69"/>
  <c r="P63" i="69"/>
  <c r="P64" i="69"/>
  <c r="P65" i="69"/>
  <c r="P66" i="69"/>
  <c r="P67" i="69"/>
  <c r="P68" i="69"/>
  <c r="P69" i="69"/>
  <c r="P70" i="69"/>
  <c r="P71" i="69"/>
  <c r="P72" i="69"/>
  <c r="P73" i="69"/>
  <c r="P74" i="69"/>
  <c r="P75" i="69"/>
  <c r="P76" i="69"/>
  <c r="P77" i="69"/>
  <c r="P78" i="69"/>
  <c r="P79" i="69"/>
  <c r="P80" i="69"/>
  <c r="P81" i="69"/>
  <c r="P82" i="69"/>
  <c r="P83" i="69"/>
  <c r="P84" i="69"/>
  <c r="P85" i="69"/>
  <c r="P86" i="69"/>
  <c r="P87" i="69"/>
  <c r="P88" i="69"/>
  <c r="P89" i="69"/>
  <c r="P90" i="69"/>
  <c r="P91" i="69"/>
  <c r="P92" i="69"/>
  <c r="P93" i="69"/>
  <c r="P94" i="69"/>
  <c r="P95" i="69"/>
  <c r="P96" i="69"/>
  <c r="P97" i="69"/>
  <c r="P98" i="69"/>
  <c r="P99" i="69"/>
  <c r="P100" i="69"/>
  <c r="P101" i="69"/>
  <c r="O3" i="69"/>
  <c r="O4" i="69"/>
  <c r="O5" i="69"/>
  <c r="O6" i="69"/>
  <c r="O7" i="69"/>
  <c r="O8" i="69"/>
  <c r="O9" i="69"/>
  <c r="O10" i="69"/>
  <c r="O11" i="69"/>
  <c r="O12" i="69"/>
  <c r="O13" i="69"/>
  <c r="O14" i="69"/>
  <c r="O15" i="69"/>
  <c r="O16" i="69"/>
  <c r="O17" i="69"/>
  <c r="O18" i="69"/>
  <c r="O19" i="69"/>
  <c r="O20" i="69"/>
  <c r="O21" i="69"/>
  <c r="O22" i="69"/>
  <c r="O23" i="69"/>
  <c r="O24" i="69"/>
  <c r="O25" i="69"/>
  <c r="O26" i="69"/>
  <c r="O27" i="69"/>
  <c r="O28" i="69"/>
  <c r="O29" i="69"/>
  <c r="O30" i="69"/>
  <c r="O31" i="69"/>
  <c r="O32" i="69"/>
  <c r="O33" i="69"/>
  <c r="O34" i="69"/>
  <c r="O35" i="69"/>
  <c r="O36" i="69"/>
  <c r="O37" i="69"/>
  <c r="O38" i="69"/>
  <c r="O39" i="69"/>
  <c r="O40" i="69"/>
  <c r="O41" i="69"/>
  <c r="O42" i="69"/>
  <c r="O43" i="69"/>
  <c r="O44" i="69"/>
  <c r="O45" i="69"/>
  <c r="O46" i="69"/>
  <c r="O47" i="69"/>
  <c r="O48" i="69"/>
  <c r="O49" i="69"/>
  <c r="O50" i="69"/>
  <c r="O51" i="69"/>
  <c r="O52" i="69"/>
  <c r="O53" i="69"/>
  <c r="O54" i="69"/>
  <c r="O55" i="69"/>
  <c r="O56" i="69"/>
  <c r="O57" i="69"/>
  <c r="O58" i="69"/>
  <c r="O59" i="69"/>
  <c r="O60" i="69"/>
  <c r="O61" i="69"/>
  <c r="O62" i="69"/>
  <c r="O63" i="69"/>
  <c r="O64" i="69"/>
  <c r="O65" i="69"/>
  <c r="O66" i="69"/>
  <c r="O67" i="69"/>
  <c r="O68" i="69"/>
  <c r="O69" i="69"/>
  <c r="O70" i="69"/>
  <c r="O71" i="69"/>
  <c r="O72" i="69"/>
  <c r="O73" i="69"/>
  <c r="O74" i="69"/>
  <c r="O75" i="69"/>
  <c r="O76" i="69"/>
  <c r="O77" i="69"/>
  <c r="O78" i="69"/>
  <c r="O79" i="69"/>
  <c r="O80" i="69"/>
  <c r="O81" i="69"/>
  <c r="O82" i="69"/>
  <c r="O83" i="69"/>
  <c r="O84" i="69"/>
  <c r="O85" i="69"/>
  <c r="O86" i="69"/>
  <c r="O87" i="69"/>
  <c r="O88" i="69"/>
  <c r="O89" i="69"/>
  <c r="O90" i="69"/>
  <c r="O91" i="69"/>
  <c r="O92" i="69"/>
  <c r="O93" i="69"/>
  <c r="O94" i="69"/>
  <c r="O95" i="69"/>
  <c r="O96" i="69"/>
  <c r="O97" i="69"/>
  <c r="O98" i="69"/>
  <c r="O99" i="69"/>
  <c r="O100" i="69"/>
  <c r="O101" i="69"/>
  <c r="P2" i="69"/>
  <c r="O2" i="69"/>
  <c r="G1" i="15"/>
  <c r="I13" i="3"/>
  <c r="F19" i="6"/>
  <c r="E19" i="6"/>
  <c r="K6" i="1"/>
  <c r="F32" i="15"/>
  <c r="F33" i="15"/>
  <c r="BB13" i="3"/>
  <c r="BA13" i="3"/>
  <c r="AZ13" i="3"/>
  <c r="AZ5" i="3"/>
  <c r="H13" i="3"/>
  <c r="G13" i="3"/>
  <c r="G5" i="3"/>
  <c r="B3" i="3"/>
  <c r="AY6" i="3"/>
  <c r="D3" i="6"/>
  <c r="E3" i="6"/>
  <c r="D19" i="6"/>
  <c r="BA5" i="3"/>
  <c r="E27" i="6"/>
  <c r="K19" i="6"/>
  <c r="L19" i="6"/>
  <c r="M19" i="6"/>
  <c r="I19" i="6"/>
  <c r="H19" i="6"/>
  <c r="R19" i="6"/>
  <c r="R6" i="1"/>
  <c r="F34" i="15"/>
  <c r="K14" i="1"/>
  <c r="M14" i="1"/>
  <c r="S7" i="1"/>
  <c r="S8" i="1"/>
  <c r="S9" i="1"/>
  <c r="S10" i="1"/>
  <c r="S11" i="1"/>
  <c r="S12" i="1"/>
  <c r="S13" i="1"/>
  <c r="S6" i="1"/>
  <c r="S16" i="1"/>
  <c r="T6" i="1"/>
  <c r="F15" i="15"/>
  <c r="F17" i="15"/>
  <c r="F18" i="15"/>
  <c r="F20" i="15"/>
  <c r="C2" i="65"/>
  <c r="I1" i="65"/>
  <c r="F23" i="15"/>
  <c r="F21" i="15"/>
  <c r="F28" i="15"/>
  <c r="C28" i="15"/>
  <c r="J51" i="15"/>
  <c r="J57" i="15"/>
  <c r="J55" i="15"/>
  <c r="J58" i="15"/>
  <c r="J59" i="15"/>
  <c r="J60" i="15"/>
  <c r="L46" i="15"/>
  <c r="B3" i="15"/>
  <c r="C8" i="12"/>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C26" i="31"/>
  <c r="R27" i="31"/>
  <c r="R28" i="31"/>
  <c r="S28" i="31"/>
  <c r="R29" i="31"/>
  <c r="R30" i="31"/>
  <c r="S30" i="31"/>
  <c r="R31" i="31"/>
  <c r="R32" i="31"/>
  <c r="S32" i="31"/>
  <c r="R33" i="31"/>
  <c r="C34" i="31"/>
  <c r="E34" i="31"/>
  <c r="G34" i="31"/>
  <c r="I34" i="31"/>
  <c r="K34" i="31"/>
  <c r="M34" i="31"/>
  <c r="O34" i="31"/>
  <c r="Q34" i="31"/>
  <c r="R34" i="31"/>
  <c r="S34" i="31"/>
  <c r="C35" i="31"/>
  <c r="E35" i="31"/>
  <c r="G35" i="31"/>
  <c r="I35" i="31"/>
  <c r="K35" i="31"/>
  <c r="M35" i="31"/>
  <c r="O35" i="31"/>
  <c r="Q35"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7" i="31"/>
  <c r="C28" i="31"/>
  <c r="C29" i="31"/>
  <c r="C30" i="31"/>
  <c r="C31" i="31"/>
  <c r="C32" i="31"/>
  <c r="C33"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17" i="39"/>
  <c r="AB33" i="36"/>
  <c r="AA11" i="36"/>
  <c r="AA14" i="35"/>
  <c r="S14" i="35"/>
  <c r="G99" i="37"/>
  <c r="F33" i="37"/>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AC17" i="39"/>
  <c r="S14" i="39"/>
  <c r="AB15" i="39"/>
  <c r="U11" i="39"/>
  <c r="U41" i="39"/>
  <c r="U23" i="39"/>
  <c r="AB38" i="39"/>
  <c r="U31" i="39"/>
  <c r="AB31" i="39"/>
  <c r="S25" i="39"/>
  <c r="S38" i="39"/>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7" i="1"/>
  <c r="W18" i="36"/>
  <c r="AC18" i="36"/>
  <c r="AG6" i="1"/>
  <c r="D12" i="11"/>
  <c r="C12" i="11"/>
  <c r="L20" i="6"/>
  <c r="D16" i="43"/>
  <c r="C16" i="43"/>
  <c r="L27" i="6"/>
  <c r="B21" i="55"/>
  <c r="B72" i="63"/>
  <c r="B20" i="55"/>
  <c r="B70" i="63"/>
  <c r="E6" i="6"/>
  <c r="L38" i="9"/>
  <c r="B1" i="66"/>
  <c r="C45" i="9"/>
  <c r="H14" i="66"/>
  <c r="B7" i="66"/>
  <c r="C7" i="66"/>
  <c r="R9" i="1"/>
  <c r="R7"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13" i="1"/>
  <c r="G16" i="1"/>
  <c r="F12" i="39"/>
  <c r="AA12" i="39"/>
  <c r="H9" i="39"/>
  <c r="AB9" i="39"/>
  <c r="H12" i="39"/>
  <c r="AB12" i="39"/>
  <c r="J9" i="39"/>
  <c r="AC9" i="39"/>
  <c r="J12" i="39"/>
  <c r="AC12" i="39"/>
  <c r="E11" i="6"/>
  <c r="E63" i="39"/>
  <c r="E12" i="6"/>
  <c r="E64" i="39"/>
  <c r="E13" i="6"/>
  <c r="E65" i="39"/>
  <c r="E14" i="6"/>
  <c r="E66" i="39"/>
  <c r="E15" i="6"/>
  <c r="E67" i="39"/>
  <c r="C25" i="12"/>
  <c r="C42" i="9"/>
  <c r="C44" i="9"/>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H1" i="65"/>
  <c r="W7" i="21"/>
  <c r="Q16" i="1"/>
  <c r="F31" i="6"/>
  <c r="H51" i="46"/>
  <c r="X7" i="46"/>
  <c r="E17" i="46"/>
  <c r="N17" i="46"/>
  <c r="O17" i="46"/>
  <c r="M17" i="46"/>
  <c r="L17" i="46"/>
  <c r="R16" i="1"/>
  <c r="H22" i="46"/>
  <c r="Y11" i="46"/>
  <c r="Y13" i="46"/>
  <c r="H101" i="46"/>
  <c r="H102" i="46"/>
  <c r="G22" i="46"/>
  <c r="J22" i="46"/>
  <c r="F101" i="46"/>
  <c r="F106" i="46"/>
  <c r="D101" i="46"/>
  <c r="D106" i="46"/>
  <c r="D13" i="11"/>
  <c r="C13" i="11"/>
  <c r="E28" i="6"/>
  <c r="O7" i="1"/>
  <c r="P7" i="1"/>
  <c r="O11" i="1"/>
  <c r="P11" i="1"/>
  <c r="O13" i="1"/>
  <c r="P13" i="1"/>
  <c r="O9" i="1"/>
  <c r="P9" i="1"/>
  <c r="E10" i="6"/>
  <c r="O12" i="1"/>
  <c r="P12" i="1"/>
  <c r="AP7"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20" i="6"/>
  <c r="D8" i="6"/>
  <c r="H23" i="6"/>
  <c r="E45" i="9"/>
  <c r="F45" i="9"/>
  <c r="F44" i="9"/>
  <c r="E68" i="39"/>
  <c r="K38" i="9"/>
  <c r="B2" i="66"/>
  <c r="D24" i="6"/>
  <c r="D26" i="6"/>
  <c r="H26" i="6"/>
  <c r="R26" i="6"/>
  <c r="D22" i="6"/>
  <c r="D11" i="6"/>
  <c r="D12" i="6"/>
  <c r="H20" i="6"/>
  <c r="H25" i="6"/>
  <c r="D9" i="6"/>
  <c r="D5" i="6"/>
  <c r="D29"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J24" i="15"/>
  <c r="L52" i="44"/>
  <c r="F67" i="40"/>
  <c r="G65" i="40"/>
  <c r="E48" i="21"/>
  <c r="R49" i="21"/>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4" i="1"/>
  <c r="P14" i="1"/>
  <c r="P16"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K27" i="9"/>
  <c r="E42" i="9"/>
  <c r="P5" i="54"/>
  <c r="B46" i="63"/>
  <c r="B5" i="11"/>
  <c r="B3" i="11"/>
  <c r="B4" i="11"/>
  <c r="K28" i="9"/>
  <c r="D42" i="9"/>
  <c r="Q5" i="54"/>
  <c r="B47" i="63"/>
  <c r="K25" i="9"/>
  <c r="K26" i="9"/>
  <c r="N68" i="9"/>
  <c r="D63" i="9"/>
  <c r="R5" i="54"/>
  <c r="B48" i="63"/>
  <c r="C59" i="15"/>
  <c r="C65" i="15"/>
  <c r="Q49" i="44"/>
  <c r="Q55" i="44"/>
  <c r="Q67" i="44"/>
  <c r="Q58" i="44"/>
  <c r="C16" i="44"/>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K65" i="40"/>
  <c r="J67" i="40"/>
  <c r="B4" i="46"/>
  <c r="B2" i="67"/>
  <c r="B4" i="67"/>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<sst xmlns="http://schemas.openxmlformats.org/spreadsheetml/2006/main" count="7865" uniqueCount="3264">
  <si>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</si>
  <si>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</si>
  <si>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</si>
  <si>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</si>
  <si>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</si>
  <si>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</si>
  <si>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</si>
  <si>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</si>
  <si>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</si>
  <si>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</si>
  <si>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</si>
  <si>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</si>
  <si>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</si>
  <si>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</si>
  <si>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</si>
  <si>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</si>
  <si>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</si>
  <si>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</si>
  <si>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</si>
  <si>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</si>
  <si>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</si>
  <si>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</si>
  <si>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</si>
  <si>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</si>
  <si>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</si>
  <si>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</si>
  <si>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</si>
  <si>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</si>
  <si>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</si>
  <si>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</si>
  <si>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</si>
  <si>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</si>
  <si>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</si>
  <si>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</si>
  <si>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</si>
  <si>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</si>
  <si>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</si>
  <si>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</si>
  <si>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</si>
  <si>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</si>
  <si>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</si>
  <si>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</si>
  <si>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</si>
  <si>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</si>
  <si>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</si>
  <si>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</si>
  <si>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</si>
  <si>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</si>
  <si>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</si>
  <si>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</si>
  <si>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</si>
  <si>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</si>
  <si>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</si>
  <si>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</si>
  <si>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</si>
  <si>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</si>
  <si>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</si>
  <si>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</si>
  <si>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</si>
  <si>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</si>
  <si>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</si>
  <si>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</si>
  <si>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</si>
  <si>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</si>
  <si>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</si>
  <si>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</si>
  <si>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</si>
  <si>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</si>
  <si>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</si>
  <si>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</si>
  <si>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</si>
  <si>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</si>
  <si>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</si>
  <si>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</si>
  <si>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</si>
  <si>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</si>
  <si>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</si>
  <si>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</si>
  <si>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</si>
  <si>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</si>
  <si>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</si>
  <si>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</si>
  <si>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</si>
  <si>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</si>
  <si>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</si>
  <si>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</si>
  <si>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</si>
  <si>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</si>
  <si>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</si>
  <si>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</si>
  <si>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</si>
  <si>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</si>
  <si>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</si>
  <si>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</si>
  <si>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</si>
  <si>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</si>
  <si>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</si>
  <si>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</si>
  <si>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</si>
  <si>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</si>
  <si>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</si>
  <si>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</si>
  <si>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</si>
  <si>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</si>
  <si>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</si>
  <si>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</si>
  <si>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</si>
  <si>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</si>
  <si>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</si>
  <si>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</si>
  <si>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</si>
  <si>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</si>
  <si>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</si>
  <si>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</si>
  <si>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</si>
  <si>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</si>
  <si>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</si>
  <si>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</si>
  <si>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</si>
  <si>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</si>
  <si>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</si>
  <si>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</si>
  <si>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</si>
  <si>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</si>
  <si>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</si>
  <si>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</si>
  <si>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</si>
  <si>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</si>
  <si>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</si>
  <si>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</si>
  <si>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</si>
  <si>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</si>
  <si>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</si>
  <si>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</si>
  <si>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</si>
  <si>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</si>
  <si>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</si>
  <si>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</si>
  <si>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</si>
  <si>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</si>
  <si>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</si>
  <si>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</si>
  <si>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</si>
  <si>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</si>
  <si>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</si>
  <si>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</si>
  <si>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</si>
  <si>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</si>
  <si>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</si>
  <si>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</si>
  <si>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</si>
  <si>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</si>
  <si>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</si>
  <si>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</si>
  <si>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</si>
  <si>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</si>
  <si>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</si>
  <si>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</si>
  <si>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</si>
  <si>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</si>
  <si>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</si>
  <si>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</si>
  <si>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</si>
  <si>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</si>
  <si>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</si>
  <si>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</si>
  <si>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</si>
  <si>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</si>
  <si>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</si>
  <si>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</si>
  <si>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</si>
  <si>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</si>
  <si>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</si>
  <si>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</si>
  <si>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</si>
  <si>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</si>
  <si>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</si>
  <si>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</si>
  <si>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</si>
  <si>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</si>
  <si>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</si>
  <si>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</si>
  <si>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</si>
  <si>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</si>
  <si>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</si>
  <si>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</si>
  <si>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</si>
  <si>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</si>
  <si>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</si>
  <si>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</si>
  <si>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</si>
  <si>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</si>
  <si>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</si>
  <si>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</si>
  <si>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</si>
  <si>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</si>
  <si>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</si>
  <si>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</si>
  <si>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</si>
  <si>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</si>
  <si>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</si>
  <si>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</si>
  <si>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</si>
  <si>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</si>
  <si>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</si>
  <si>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</si>
  <si>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</si>
  <si>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</si>
  <si>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</si>
  <si>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</si>
  <si>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</si>
  <si>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</si>
  <si>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</si>
  <si>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</si>
  <si>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</si>
  <si>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</si>
  <si>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</si>
  <si>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</si>
  <si>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</si>
  <si>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</si>
  <si>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</si>
  <si>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</si>
  <si>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</si>
  <si>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</si>
  <si>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</si>
  <si>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</si>
  <si>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</si>
  <si>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</si>
  <si>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</si>
  <si>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</si>
  <si>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</si>
  <si>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</si>
  <si>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</si>
  <si>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</si>
  <si>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</si>
  <si>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</si>
  <si>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</si>
  <si>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</si>
  <si>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</si>
  <si>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</si>
  <si>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</si>
  <si>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</si>
  <si>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</si>
  <si>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</si>
  <si>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</si>
  <si>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</si>
  <si>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</si>
  <si>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</si>
  <si>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</si>
  <si>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</si>
  <si>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</si>
  <si>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</si>
  <si>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</si>
  <si>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</si>
  <si>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</si>
  <si>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</si>
  <si>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</si>
  <si>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</si>
  <si>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</si>
  <si>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</si>
  <si>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</si>
  <si>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</si>
  <si>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</si>
  <si>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</si>
  <si>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</si>
  <si>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</si>
  <si>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</si>
  <si>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</si>
  <si>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</si>
  <si>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</si>
  <si>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</si>
  <si>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</si>
  <si>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</si>
  <si>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</si>
  <si>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</si>
  <si>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</si>
  <si>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</si>
  <si>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</si>
  <si>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</si>
  <si>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</si>
  <si>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</si>
  <si>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</si>
  <si>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</si>
  <si>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</si>
  <si>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</si>
  <si>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</si>
  <si>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</si>
  <si>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</si>
  <si>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</si>
  <si>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</si>
  <si>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</si>
  <si>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</si>
  <si>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</si>
  <si>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</si>
  <si>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</si>
  <si>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</si>
  <si>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</si>
  <si>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</si>
  <si>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</si>
  <si>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</si>
  <si>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</si>
  <si>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</si>
  <si>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</si>
  <si>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</si>
  <si>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</si>
  <si>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</si>
  <si>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</si>
  <si>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</si>
  <si>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</si>
  <si>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</si>
  <si>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</si>
  <si>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</si>
  <si>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</si>
  <si>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</si>
  <si>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</si>
  <si>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</si>
  <si>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</si>
  <si>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</si>
  <si>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</si>
  <si>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</si>
  <si>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</si>
  <si>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</si>
  <si>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</si>
  <si>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</si>
  <si>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</si>
  <si>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</si>
  <si>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</si>
  <si>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</si>
  <si>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</si>
  <si>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</si>
  <si>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</si>
  <si>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</si>
  <si>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</si>
  <si>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</si>
  <si>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</si>
  <si>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</si>
  <si>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</si>
  <si>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</si>
  <si>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</si>
  <si>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</si>
  <si>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</si>
  <si>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</si>
  <si>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</si>
  <si>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</si>
  <si>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</si>
  <si>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</si>
  <si>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</si>
  <si>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</si>
  <si>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</si>
  <si>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</si>
  <si>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</si>
  <si>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</si>
  <si>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</si>
  <si>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</si>
  <si>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</si>
  <si>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</si>
  <si>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</si>
  <si>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</si>
  <si>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</si>
  <si>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</si>
  <si>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</si>
  <si>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</si>
  <si>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</si>
  <si>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</si>
  <si>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</si>
  <si>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</si>
  <si>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</si>
  <si>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</si>
  <si>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</si>
  <si>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</si>
  <si>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</si>
  <si>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</si>
  <si>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</si>
  <si>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</si>
  <si>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</si>
  <si>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</si>
  <si>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</si>
  <si>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</si>
  <si>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</si>
  <si>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</si>
  <si>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</si>
  <si>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</si>
  <si>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</si>
  <si>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</si>
  <si>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</si>
  <si>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</si>
  <si>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</si>
  <si>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</si>
  <si>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</si>
  <si>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</si>
  <si>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</si>
  <si>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</si>
  <si>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</si>
  <si>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</si>
  <si>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</si>
  <si>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</si>
  <si>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</si>
  <si>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</si>
  <si>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</si>
  <si>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</si>
  <si>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</si>
  <si>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</si>
  <si>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</si>
  <si>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</si>
  <si>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</si>
  <si>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</si>
  <si>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</si>
  <si>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</si>
  <si>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</si>
  <si>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</si>
  <si>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</si>
  <si>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</si>
  <si>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</si>
  <si>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</si>
  <si>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</si>
  <si>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</si>
  <si>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</si>
  <si>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</si>
  <si>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</si>
  <si>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</si>
  <si>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</si>
  <si>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</si>
  <si>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</si>
  <si>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</si>
  <si>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</si>
  <si>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</si>
  <si>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</si>
  <si>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</si>
  <si>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</si>
  <si>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</si>
  <si>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</si>
  <si>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</si>
  <si>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</si>
  <si>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</si>
  <si>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</si>
  <si>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</si>
  <si>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</si>
  <si>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</si>
  <si>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</si>
  <si>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</si>
  <si>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</si>
  <si>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</si>
  <si>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</si>
  <si>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</si>
  <si>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</si>
  <si>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</si>
  <si>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</si>
  <si>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</si>
  <si>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</si>
  <si>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</si>
  <si>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</si>
  <si>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</si>
  <si>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</si>
  <si>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</si>
  <si>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</si>
  <si>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</si>
  <si>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</si>
  <si>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</si>
  <si>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</si>
  <si>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</si>
  <si>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</si>
  <si>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</si>
  <si>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</si>
  <si>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</si>
  <si>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</si>
  <si>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</si>
  <si>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</si>
  <si>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</si>
  <si>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</si>
  <si>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</si>
  <si>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</si>
  <si>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</si>
  <si>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</si>
  <si>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</si>
  <si>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</si>
  <si>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</si>
  <si>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</si>
  <si>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</si>
  <si>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</si>
  <si>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</si>
  <si>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</si>
  <si>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</si>
  <si>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</si>
  <si>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</si>
  <si>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</si>
  <si>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</si>
  <si>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</si>
  <si>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</si>
  <si>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</si>
  <si>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</si>
  <si>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</si>
  <si>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</si>
  <si>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</si>
  <si>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</si>
  <si>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</si>
  <si>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</si>
  <si>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</si>
  <si>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</si>
  <si>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</si>
  <si>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</si>
  <si>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</si>
  <si>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</si>
  <si>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</si>
  <si>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</si>
  <si>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</si>
  <si>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</si>
  <si>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</si>
  <si>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</si>
  <si>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</si>
  <si>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</si>
  <si>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</si>
  <si>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</si>
  <si>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</si>
  <si>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</si>
  <si>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</si>
  <si>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</si>
  <si>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</si>
  <si>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</si>
  <si>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</si>
  <si>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</si>
  <si>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</si>
  <si>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</si>
  <si>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</si>
  <si>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</si>
  <si>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</si>
  <si>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</si>
  <si>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</si>
  <si>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</si>
  <si>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</si>
  <si>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</si>
  <si>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</si>
  <si>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</si>
  <si>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</si>
  <si>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</si>
  <si>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</si>
  <si>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</si>
  <si>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</si>
  <si>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</si>
  <si>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</si>
  <si>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</si>
  <si>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</si>
  <si>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</si>
  <si>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</si>
  <si>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</si>
  <si>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</si>
  <si>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</si>
  <si>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</si>
  <si>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</si>
  <si>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</si>
  <si>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</si>
  <si>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</si>
  <si>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</si>
  <si>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</si>
  <si>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</si>
  <si>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</si>
  <si>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</si>
  <si>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</si>
  <si>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</si>
  <si>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</si>
  <si>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</si>
  <si>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</si>
  <si>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</si>
  <si>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</si>
  <si>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</si>
  <si>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</si>
  <si>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</si>
  <si>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</si>
  <si>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</si>
  <si>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</si>
  <si>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</si>
  <si>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</si>
  <si>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</si>
  <si>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</si>
  <si>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</si>
  <si>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</si>
  <si>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</si>
  <si>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</si>
  <si>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</si>
  <si>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</si>
  <si>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</si>
  <si>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</si>
  <si>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</si>
  <si>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</si>
  <si>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</si>
  <si>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</si>
  <si>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</si>
  <si>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</si>
  <si>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</si>
  <si>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</si>
  <si>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</si>
  <si>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</si>
  <si>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</si>
  <si>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</si>
  <si>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</si>
  <si>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</si>
  <si>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</si>
  <si>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</si>
  <si>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</si>
  <si>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</si>
  <si>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</si>
  <si>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</si>
  <si>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</si>
  <si>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</si>
  <si>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</si>
  <si>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</si>
  <si>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</si>
  <si>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</si>
  <si>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</si>
  <si>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</si>
  <si>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</si>
  <si>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</si>
  <si>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</si>
  <si>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</si>
  <si>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</si>
  <si>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</si>
  <si>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</si>
  <si>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</si>
  <si>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</si>
  <si>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</si>
  <si>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</si>
  <si>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</si>
  <si>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</si>
  <si>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</si>
  <si>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</si>
  <si>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</si>
  <si>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</si>
  <si>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</si>
  <si>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</si>
  <si>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</si>
  <si>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</si>
  <si>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</si>
  <si>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</si>
  <si>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</si>
  <si>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</si>
  <si>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</si>
  <si>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</si>
  <si>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</si>
  <si>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</si>
  <si>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</si>
  <si>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</si>
  <si>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</si>
  <si>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</si>
  <si>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</si>
  <si>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</si>
  <si>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</si>
  <si>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</si>
  <si>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</si>
  <si>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</si>
  <si>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</si>
  <si>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</si>
  <si>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</si>
  <si>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</si>
  <si>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</si>
  <si>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</si>
  <si>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</si>
  <si>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</si>
  <si>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</si>
  <si>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</si>
  <si>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</si>
  <si>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</si>
  <si>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</si>
  <si>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</si>
  <si>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</si>
  <si>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</si>
  <si>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</si>
  <si>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</si>
  <si>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</si>
  <si>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</si>
  <si>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</si>
  <si>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</si>
  <si>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</si>
  <si>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</si>
  <si>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</si>
  <si>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</si>
  <si>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</si>
  <si>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</si>
  <si>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</si>
  <si>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</si>
  <si>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</si>
  <si>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</si>
  <si>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</si>
  <si>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</si>
  <si>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</si>
  <si>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</si>
  <si>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</si>
  <si>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</si>
  <si>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</si>
  <si>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</si>
  <si>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</si>
  <si>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</si>
  <si>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</si>
  <si>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</si>
  <si>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</si>
  <si>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</si>
  <si>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</si>
  <si>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</si>
  <si>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</si>
  <si>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</si>
  <si>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</si>
  <si>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</si>
  <si>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</si>
  <si>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</si>
  <si>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</si>
  <si>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</si>
  <si>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</si>
  <si>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</si>
  <si>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</si>
  <si>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</si>
  <si>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</si>
  <si>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</si>
  <si>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</si>
  <si>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</si>
  <si>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</si>
  <si>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</si>
  <si>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</si>
  <si>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</si>
  <si>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</si>
  <si>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</si>
  <si>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</si>
  <si>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</si>
  <si>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</si>
  <si>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</si>
  <si>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</si>
  <si>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</si>
  <si>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</si>
  <si>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</si>
  <si>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</si>
  <si>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</si>
  <si>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</si>
  <si>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</si>
  <si>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</si>
  <si>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</si>
  <si>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</si>
  <si>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</si>
  <si>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</si>
  <si>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</si>
  <si>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</si>
  <si>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</si>
  <si>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</si>
  <si>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</si>
  <si>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</si>
  <si>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</si>
  <si>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</si>
  <si>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</si>
  <si>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</si>
  <si>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</si>
  <si>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</si>
  <si>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</si>
  <si>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</si>
  <si>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</si>
  <si>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</si>
  <si>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</si>
  <si>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</si>
  <si>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</si>
  <si>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</si>
  <si>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</si>
  <si>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</si>
  <si>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</si>
  <si>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</si>
  <si>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</si>
  <si>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</si>
  <si>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</si>
  <si>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</si>
  <si>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</si>
  <si>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</si>
  <si>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</si>
  <si>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</si>
  <si>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</si>
  <si>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</si>
  <si>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</si>
  <si>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</si>
  <si>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</si>
  <si>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</si>
  <si>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</si>
  <si>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</si>
  <si>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</si>
  <si>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</si>
  <si>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</si>
  <si>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</si>
  <si>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</si>
  <si>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</si>
  <si>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</si>
  <si>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</si>
  <si>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</si>
  <si>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</si>
  <si>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</si>
  <si>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</si>
  <si>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</si>
  <si>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</si>
  <si>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</si>
  <si>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</si>
  <si>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</si>
  <si>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</si>
  <si>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</si>
  <si>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</si>
  <si>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</si>
  <si>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</si>
  <si>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</si>
  <si>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</si>
  <si>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</si>
  <si>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</si>
  <si>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</si>
  <si>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</si>
  <si>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</si>
  <si>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</si>
  <si>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</si>
  <si>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</si>
  <si>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</si>
  <si>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</si>
  <si>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</si>
  <si>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</si>
  <si>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</si>
  <si>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</si>
  <si>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</si>
  <si>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</si>
  <si>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</si>
  <si>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</si>
  <si>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</si>
  <si>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</si>
  <si>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</si>
  <si>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</si>
  <si>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</si>
  <si>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</si>
  <si>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</si>
  <si>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</si>
  <si>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</si>
  <si>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</si>
  <si>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</si>
  <si>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</si>
  <si>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</si>
  <si>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</si>
  <si>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</si>
  <si>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</si>
  <si>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</si>
  <si>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</si>
  <si>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</si>
  <si>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</si>
  <si>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</si>
  <si>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</si>
  <si>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</si>
  <si>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</si>
  <si>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</si>
  <si>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</si>
  <si>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</si>
  <si>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</si>
  <si>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</si>
  <si>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</si>
  <si>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</si>
  <si>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</si>
  <si>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</si>
  <si>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</si>
  <si>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</si>
  <si>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</si>
  <si>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</si>
  <si>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</si>
  <si>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</si>
  <si>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</si>
  <si>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</si>
  <si>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</si>
  <si>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</si>
  <si>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</si>
  <si>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</si>
  <si>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</si>
  <si>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</si>
  <si>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</si>
  <si>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</si>
  <si>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</si>
  <si>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</si>
  <si>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</si>
  <si>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</si>
  <si>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</si>
  <si>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</si>
  <si>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</si>
  <si>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</si>
  <si>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</si>
  <si>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</si>
  <si>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</si>
  <si>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</si>
  <si>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</si>
  <si>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</si>
  <si>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</si>
  <si>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</si>
  <si>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</si>
  <si>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</si>
  <si>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</si>
  <si>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</si>
  <si>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</si>
  <si>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</si>
  <si>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</si>
  <si>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</si>
  <si>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</si>
  <si>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</si>
  <si>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</si>
  <si>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</si>
  <si>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</si>
  <si>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</si>
  <si>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</si>
  <si>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</si>
  <si>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</si>
  <si>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</si>
  <si>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</si>
  <si>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</si>
  <si>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</si>
  <si>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</si>
  <si>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</si>
  <si>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</si>
  <si>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</si>
  <si>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</si>
  <si>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</si>
  <si>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</si>
  <si>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</si>
  <si>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</si>
  <si>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</si>
  <si>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</si>
  <si>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</si>
  <si>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</si>
  <si>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</si>
  <si>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</si>
  <si>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</si>
  <si>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</si>
  <si>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</si>
  <si>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</si>
  <si>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</si>
  <si>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</si>
  <si>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</si>
  <si>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</si>
  <si>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</si>
  <si>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</si>
  <si>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</si>
  <si>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</si>
  <si>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</si>
  <si>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</si>
  <si>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</si>
  <si>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</si>
  <si>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</si>
  <si>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</si>
  <si>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</si>
  <si>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</si>
  <si>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</si>
  <si>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</si>
  <si>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</si>
  <si>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</si>
  <si>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</si>
  <si>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</si>
  <si>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</si>
  <si>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</si>
  <si>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</si>
  <si>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</si>
  <si>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</si>
  <si>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</si>
  <si>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</si>
  <si>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</si>
  <si>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</si>
  <si>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</si>
  <si>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</si>
  <si>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</si>
  <si>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</si>
  <si>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</si>
  <si>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</si>
  <si>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</si>
  <si>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</si>
  <si>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</si>
  <si>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</si>
  <si>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</si>
  <si>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</si>
  <si>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</si>
  <si>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</si>
  <si>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</si>
  <si>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</si>
  <si>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</si>
  <si>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</si>
  <si>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</si>
  <si>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</si>
  <si>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</si>
  <si>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</si>
  <si>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</si>
  <si>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</si>
  <si>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</si>
  <si>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</si>
  <si>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</si>
  <si>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</si>
  <si>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</si>
  <si>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</si>
  <si>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</si>
  <si>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</si>
  <si>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</si>
  <si>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</si>
  <si>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</si>
  <si>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</si>
  <si>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</si>
  <si>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</si>
  <si>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</si>
  <si>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</si>
  <si>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</si>
  <si>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</si>
  <si>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</si>
  <si>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</si>
  <si>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</si>
  <si>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</si>
  <si>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</si>
  <si>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</si>
  <si>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</si>
  <si>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</si>
  <si>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</si>
  <si>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</si>
  <si>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</si>
  <si>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</si>
  <si>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</si>
  <si>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</si>
  <si>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</si>
  <si>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</si>
  <si>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</si>
  <si>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</si>
  <si>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</si>
  <si>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</si>
  <si>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</si>
  <si>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</si>
  <si>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</si>
  <si>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</si>
  <si>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</si>
  <si>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</si>
  <si>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</si>
  <si>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</si>
  <si>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</si>
  <si>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</si>
  <si>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</si>
  <si>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</si>
  <si>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</si>
  <si>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</si>
  <si>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</si>
  <si>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</si>
  <si>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</si>
  <si>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</si>
  <si>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</si>
  <si>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</si>
  <si>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</si>
  <si>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</si>
  <si>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</si>
  <si>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</si>
  <si>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</si>
  <si>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</si>
  <si>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</si>
  <si>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</si>
  <si>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</si>
  <si>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</si>
  <si>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</si>
  <si>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</si>
  <si>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</si>
  <si>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</si>
  <si>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</si>
  <si>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</si>
  <si>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</si>
  <si>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</si>
  <si>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</si>
  <si>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</si>
  <si>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</si>
  <si>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</si>
  <si>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</si>
  <si>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</si>
  <si>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</si>
  <si>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</si>
  <si>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</si>
  <si>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</si>
  <si>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</si>
  <si>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</si>
  <si>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</si>
  <si>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</si>
  <si>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</si>
  <si>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</si>
  <si>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</si>
  <si>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</si>
  <si>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</si>
  <si>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</si>
  <si>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</si>
  <si>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</si>
  <si>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</si>
  <si>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</si>
  <si>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</si>
  <si>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</si>
  <si>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</si>
  <si>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</si>
  <si>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</si>
  <si>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</si>
  <si>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</si>
  <si>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</si>
  <si>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</si>
  <si>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</si>
  <si>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</si>
  <si>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</si>
  <si>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</si>
  <si>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</si>
  <si>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</si>
  <si>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</si>
  <si>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</si>
  <si>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</si>
  <si>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</si>
  <si>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</si>
  <si>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</si>
  <si>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</si>
  <si>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</si>
  <si>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</si>
  <si>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</si>
  <si>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</si>
  <si>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</si>
  <si>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</si>
  <si>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</si>
  <si>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</si>
  <si>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</si>
  <si>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</si>
  <si>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</si>
  <si>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</si>
  <si>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</si>
  <si>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</si>
  <si>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</si>
  <si>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</si>
  <si>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</si>
  <si>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</si>
  <si>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</si>
  <si>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</si>
  <si>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</si>
  <si>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</si>
  <si>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</si>
  <si>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</si>
  <si>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</si>
  <si>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</si>
  <si>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</si>
  <si>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</si>
  <si>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</si>
  <si>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</si>
  <si>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</si>
  <si>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</si>
  <si>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</si>
  <si>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</si>
  <si>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</si>
  <si>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</si>
  <si>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</si>
  <si>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</si>
  <si>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</si>
  <si>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</si>
  <si>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</si>
  <si>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</si>
  <si>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</si>
  <si>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</si>
  <si>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</si>
  <si>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</si>
  <si>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</si>
  <si>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</si>
  <si>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</si>
  <si>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</si>
  <si>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</si>
  <si>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</si>
  <si>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</si>
  <si>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</si>
  <si>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</si>
  <si>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</si>
  <si>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</si>
  <si>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</si>
  <si>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</si>
  <si>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</si>
  <si>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</si>
  <si>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</si>
  <si>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</si>
  <si>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</si>
  <si>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</si>
  <si>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</si>
  <si>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</si>
  <si>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</si>
  <si>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</si>
  <si>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</si>
  <si>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</si>
  <si>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</si>
  <si>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</si>
  <si>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</si>
  <si>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</si>
  <si>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</si>
  <si>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</si>
  <si>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</si>
  <si>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</si>
  <si>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</si>
  <si>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</si>
  <si>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</si>
  <si>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</si>
  <si>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</si>
  <si>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</si>
  <si>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</si>
  <si>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</si>
  <si>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</si>
  <si>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</si>
  <si>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</si>
  <si>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</si>
  <si>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</si>
  <si>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</si>
  <si>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</si>
  <si>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</si>
  <si>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</si>
  <si>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</si>
  <si>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</si>
  <si>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</si>
  <si>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</si>
  <si>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</si>
  <si>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</si>
  <si>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</si>
  <si>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</si>
  <si>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</si>
  <si>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</si>
  <si>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</si>
  <si>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</si>
  <si>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</si>
  <si>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</si>
  <si>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</si>
  <si>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</si>
  <si>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</si>
  <si>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</si>
  <si>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</si>
  <si>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</si>
  <si>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</si>
  <si>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</si>
  <si>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</si>
  <si>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</si>
  <si>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</si>
  <si>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</si>
  <si>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</si>
  <si>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</si>
  <si>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</si>
  <si>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</si>
  <si>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</si>
  <si>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</si>
  <si>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</si>
  <si>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</si>
  <si>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</si>
  <si>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</si>
  <si>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</si>
  <si>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</si>
  <si>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</si>
  <si>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</si>
  <si>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</si>
  <si>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</si>
  <si>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</si>
  <si>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</si>
  <si>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</si>
  <si>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</si>
  <si>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</si>
  <si>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</si>
  <si>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</si>
  <si>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</si>
  <si>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</si>
  <si>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</si>
  <si>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</si>
  <si>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</si>
  <si>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</si>
  <si>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</si>
  <si>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</si>
  <si>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</si>
  <si>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</si>
  <si>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</si>
  <si>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</si>
  <si>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</si>
  <si>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</si>
  <si>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</si>
  <si>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</si>
  <si>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</si>
  <si>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</si>
  <si>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</si>
  <si>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</si>
  <si>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</si>
  <si>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</si>
  <si>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</si>
  <si>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</si>
  <si>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</si>
  <si>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</si>
  <si>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</si>
  <si>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</si>
  <si>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</si>
  <si>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</si>
  <si>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</si>
  <si>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</si>
  <si>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</si>
  <si>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</si>
  <si>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</si>
  <si>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</si>
  <si>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</si>
  <si>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</si>
  <si>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</si>
  <si>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</si>
  <si>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</si>
  <si>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</si>
  <si>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</si>
  <si>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</si>
  <si>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</si>
  <si>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</si>
  <si>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</si>
  <si>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</si>
  <si>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</si>
  <si>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</si>
  <si>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</si>
  <si>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</si>
  <si>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</si>
  <si>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</si>
  <si>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</si>
  <si>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</si>
  <si>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</si>
  <si>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</si>
  <si>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</si>
  <si>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</si>
  <si>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</si>
  <si>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</si>
  <si>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</si>
  <si>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</si>
  <si>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</si>
  <si>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</si>
  <si>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</si>
  <si>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</si>
  <si>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</si>
  <si>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</si>
  <si>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</si>
  <si>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</si>
  <si>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</si>
  <si>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</si>
  <si>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</si>
  <si>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</si>
  <si>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</si>
  <si>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</si>
  <si>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</si>
  <si>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</si>
  <si>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</si>
  <si>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</si>
  <si>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</si>
  <si>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</si>
  <si>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</si>
  <si>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</si>
  <si>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</si>
  <si>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</si>
  <si>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</si>
  <si>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</si>
  <si>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</si>
  <si>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</si>
  <si>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</si>
  <si>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</si>
  <si>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</si>
  <si>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</si>
  <si>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</si>
  <si>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</si>
  <si>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</si>
  <si>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</si>
  <si>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</si>
  <si>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</si>
  <si>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</si>
  <si>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</si>
  <si>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</si>
  <si>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</si>
  <si>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</si>
  <si>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</si>
  <si>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</si>
  <si>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</si>
  <si>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</si>
  <si>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</si>
  <si>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</si>
  <si>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</si>
  <si>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</si>
  <si>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</si>
  <si>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</si>
  <si>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</si>
  <si>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</si>
  <si>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</si>
  <si>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</si>
  <si>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</si>
  <si>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</si>
  <si>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</si>
  <si>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</si>
  <si>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</si>
  <si>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</si>
  <si>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</si>
  <si>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</si>
  <si>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</si>
  <si>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</si>
  <si>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</si>
  <si>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</si>
  <si>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</si>
  <si>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</si>
  <si>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</si>
  <si>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</si>
  <si>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</si>
  <si>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</si>
  <si>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</si>
  <si>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</si>
  <si>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</si>
  <si>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</si>
  <si>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</si>
  <si>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</si>
  <si>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</si>
  <si>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</si>
  <si>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</si>
  <si>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</si>
  <si>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</si>
  <si>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</si>
  <si>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</si>
  <si>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</si>
  <si>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</si>
  <si>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</si>
  <si>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</si>
  <si>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</si>
  <si>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</si>
  <si>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</si>
  <si>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</si>
  <si>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</si>
  <si>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</si>
  <si>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</si>
  <si>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</si>
  <si>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</si>
  <si>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</si>
  <si>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</si>
  <si>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</si>
  <si>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</si>
  <si>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</si>
  <si>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</si>
  <si>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</si>
  <si>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</si>
  <si>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</si>
  <si>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</si>
  <si>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</si>
  <si>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</si>
  <si>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</si>
  <si>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</si>
  <si>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</si>
  <si>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</si>
  <si>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</si>
  <si>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</si>
  <si>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</si>
  <si>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</si>
  <si>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</si>
  <si>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</si>
  <si>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</si>
  <si>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</si>
  <si>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</si>
  <si>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</si>
  <si>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</si>
  <si>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</si>
  <si>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</si>
  <si>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</si>
  <si>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</si>
  <si>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</si>
  <si>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</si>
  <si>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</si>
  <si>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</si>
  <si>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</si>
  <si>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</si>
  <si>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</si>
  <si>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</si>
  <si>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</si>
  <si>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</si>
  <si>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</si>
  <si>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</si>
  <si>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</si>
  <si>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</si>
  <si>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</si>
  <si>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</si>
  <si>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</si>
  <si>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</si>
  <si>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</si>
  <si>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</si>
  <si>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</si>
  <si>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</si>
  <si>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</si>
  <si>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</si>
  <si>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</si>
  <si>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</si>
  <si>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</si>
  <si>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</si>
  <si>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</si>
  <si>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</si>
  <si>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</si>
  <si>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</si>
  <si>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</si>
  <si>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</si>
  <si>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</si>
  <si>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</si>
  <si>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</si>
  <si>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</si>
  <si>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</si>
  <si>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</si>
  <si>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</si>
  <si>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</si>
  <si>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</si>
  <si>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</si>
  <si>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</si>
  <si>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</si>
  <si>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</si>
  <si>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</si>
  <si>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</si>
  <si>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</si>
  <si>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</si>
  <si>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</si>
  <si>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</si>
  <si>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</si>
  <si>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</si>
  <si>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</si>
  <si>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</si>
  <si>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</si>
  <si>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</si>
  <si>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</si>
  <si>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</si>
  <si>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</si>
  <si>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</si>
  <si>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</si>
  <si>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</si>
  <si>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</si>
  <si>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</si>
  <si>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</si>
  <si>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</si>
  <si>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</si>
  <si>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</si>
  <si>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</si>
  <si>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</si>
  <si>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</si>
  <si>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</si>
  <si>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</si>
  <si>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</si>
  <si>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</si>
  <si>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</si>
  <si>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</si>
  <si>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</si>
  <si>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</si>
  <si>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</si>
  <si>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</si>
  <si>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</si>
  <si>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</si>
  <si>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</si>
  <si>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</si>
  <si>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</si>
  <si>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</si>
  <si>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</si>
  <si>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</si>
  <si>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</si>
  <si>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</si>
  <si>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</si>
  <si>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</si>
  <si>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</si>
  <si>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</si>
  <si>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</si>
  <si>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</si>
  <si>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</si>
  <si>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</si>
  <si>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</si>
  <si>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</si>
  <si>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</si>
  <si>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</si>
  <si>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</si>
  <si>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</si>
  <si>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</si>
  <si>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</si>
  <si>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</si>
  <si>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</si>
  <si>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</si>
  <si>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</si>
  <si>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</si>
  <si>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</si>
  <si>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</si>
  <si>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</si>
  <si>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</si>
  <si>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</si>
  <si>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</si>
  <si>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</si>
  <si>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</si>
  <si>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</si>
  <si>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</si>
  <si>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</si>
  <si>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</si>
  <si>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</si>
  <si>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</si>
  <si>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</si>
  <si>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</si>
  <si>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</si>
  <si>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</si>
  <si>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</si>
  <si>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</si>
  <si>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</si>
  <si>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</si>
  <si>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</si>
  <si>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</si>
  <si>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</si>
  <si>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</si>
  <si>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</si>
  <si>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</si>
  <si>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</si>
  <si>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</si>
  <si>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</si>
  <si>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</si>
  <si>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</si>
  <si>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</si>
  <si>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</si>
  <si>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</si>
  <si>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</si>
  <si>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</si>
  <si>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</si>
  <si>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</si>
  <si>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</si>
  <si>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</si>
  <si>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</si>
  <si>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</si>
  <si>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</si>
  <si>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</si>
  <si>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</si>
  <si>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</si>
  <si>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</si>
  <si>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</si>
  <si>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</si>
  <si>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</si>
  <si>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</si>
  <si>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</si>
  <si>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</si>
  <si>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</si>
  <si>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</si>
  <si>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</si>
  <si>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</si>
  <si>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</si>
  <si>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</si>
  <si>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</si>
  <si>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</si>
  <si>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</si>
  <si>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</si>
  <si>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</si>
  <si>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</si>
  <si>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</si>
  <si>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</si>
  <si>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</si>
  <si>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</si>
  <si>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</si>
  <si>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</si>
  <si>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</si>
  <si>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</si>
  <si>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</si>
  <si>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</si>
  <si>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</si>
  <si>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</si>
  <si>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</si>
  <si>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</si>
  <si>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</si>
  <si>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</si>
  <si>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</si>
  <si>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</si>
  <si>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</si>
  <si>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</si>
  <si>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</si>
  <si>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</si>
  <si>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</si>
  <si>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</si>
  <si>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</si>
  <si>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</si>
  <si>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</si>
  <si>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</si>
  <si>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</si>
  <si>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</si>
  <si>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</si>
  <si>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</si>
  <si>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</si>
  <si>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</si>
  <si>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</si>
  <si>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</si>
  <si>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</si>
  <si>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</si>
  <si>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</si>
  <si>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</si>
  <si>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</si>
  <si>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</si>
  <si>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</si>
  <si>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</si>
  <si>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</si>
  <si>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</si>
  <si>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</si>
  <si>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</si>
  <si>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</si>
  <si>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</si>
  <si>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</si>
  <si>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</si>
  <si>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</si>
  <si>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</si>
  <si>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</si>
  <si>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</si>
  <si>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</si>
  <si>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</si>
  <si>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</si>
  <si>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</si>
  <si>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</si>
  <si>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</si>
  <si>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</si>
  <si>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</si>
  <si>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</si>
  <si>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</si>
  <si>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</si>
  <si>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</si>
  <si>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</si>
  <si>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</si>
  <si>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</si>
  <si>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</si>
  <si>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</si>
  <si>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</si>
  <si>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</si>
  <si>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</si>
  <si>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</si>
  <si>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</si>
  <si>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</si>
  <si>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</si>
  <si>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</si>
  <si>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</si>
  <si>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</si>
  <si>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</si>
  <si>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</si>
  <si>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</si>
  <si>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</si>
  <si>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</si>
  <si>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</si>
  <si>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</si>
  <si>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</si>
  <si>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</si>
  <si>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</si>
  <si>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</si>
  <si>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</si>
  <si>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</si>
  <si>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</si>
  <si>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</si>
  <si>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</si>
  <si>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</si>
  <si>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</si>
  <si>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</si>
  <si>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</si>
  <si>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</si>
  <si>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</si>
  <si>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</si>
  <si>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</si>
  <si>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</si>
  <si>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</si>
  <si>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</si>
  <si>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</si>
  <si>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</si>
  <si>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</si>
  <si>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</si>
  <si>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</si>
  <si>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</si>
  <si>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</si>
  <si>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</si>
  <si>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</si>
  <si>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</si>
  <si>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</si>
  <si>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</si>
  <si>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</si>
  <si>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</si>
  <si>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</si>
  <si>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</si>
  <si>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</si>
  <si>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</si>
  <si>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</si>
  <si>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</si>
  <si>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</si>
  <si>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</si>
  <si>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</si>
  <si>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</si>
  <si>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</si>
  <si>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</si>
  <si>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</si>
  <si>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</si>
  <si>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</si>
  <si>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</si>
  <si>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</si>
  <si>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</si>
  <si>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</si>
  <si>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</si>
  <si>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</si>
  <si>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</si>
  <si>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</si>
  <si>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</si>
  <si>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</si>
  <si>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</si>
  <si>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</si>
  <si>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</si>
  <si>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</si>
  <si>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</si>
  <si>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</si>
  <si>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</si>
  <si>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</si>
  <si>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</si>
  <si>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</si>
  <si>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</si>
  <si>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</si>
  <si>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</si>
  <si>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</si>
  <si>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</si>
  <si>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</si>
  <si>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</si>
  <si>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</si>
  <si>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</si>
  <si>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</si>
  <si>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</si>
  <si>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</si>
  <si>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</si>
  <si>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</si>
  <si>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</si>
  <si>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</si>
  <si>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</si>
  <si>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</si>
  <si>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</si>
  <si>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</si>
  <si>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</si>
  <si>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</si>
  <si>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</si>
  <si>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</si>
  <si>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</si>
  <si>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</si>
  <si>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</si>
  <si>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</si>
  <si>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</si>
  <si>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</si>
  <si>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</si>
  <si>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</si>
  <si>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</si>
  <si>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</si>
  <si>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</si>
  <si>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</si>
  <si>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</si>
  <si>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</si>
  <si>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</si>
  <si>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</si>
  <si>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</si>
  <si>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</si>
  <si>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</si>
  <si>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</si>
  <si>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</si>
  <si>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</si>
  <si>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</si>
  <si>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</si>
  <si>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</si>
  <si>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</si>
  <si>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</si>
  <si>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</si>
  <si>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</si>
  <si>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</si>
  <si>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</si>
  <si>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</si>
  <si>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</si>
  <si>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</si>
  <si>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</si>
  <si>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</si>
  <si>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</si>
  <si>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</si>
  <si>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</si>
  <si>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</si>
  <si>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</si>
  <si>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</si>
  <si>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</si>
  <si>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</si>
  <si>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</si>
  <si>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</si>
  <si>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</si>
  <si>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</si>
  <si>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</si>
  <si>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</si>
  <si>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</si>
  <si>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</si>
  <si>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</si>
  <si>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</si>
  <si>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</si>
  <si>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</si>
  <si>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</si>
  <si>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</si>
  <si>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</si>
  <si>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</si>
  <si>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</si>
  <si>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</si>
  <si>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</si>
  <si>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</si>
  <si>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</si>
  <si>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</si>
  <si>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</si>
  <si>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</si>
  <si>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</si>
  <si>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</si>
  <si>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</si>
  <si>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</si>
  <si>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</si>
  <si>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</si>
  <si>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</si>
  <si>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</si>
  <si>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</si>
  <si>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</si>
  <si>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</si>
  <si>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</si>
  <si>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</si>
  <si>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</si>
  <si>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</si>
  <si>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</si>
  <si>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</si>
  <si>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</si>
  <si>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</si>
  <si>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</si>
  <si>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</si>
  <si>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</si>
  <si>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</si>
  <si>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</si>
  <si>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</si>
  <si>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</si>
  <si>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</si>
  <si>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</si>
  <si>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</si>
  <si>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</si>
  <si>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</si>
  <si>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</si>
  <si>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</si>
  <si>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</si>
  <si>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</si>
  <si>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</si>
  <si>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</si>
  <si>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</si>
  <si>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</si>
  <si>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</si>
  <si>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</si>
  <si>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</si>
  <si>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</si>
  <si>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</si>
  <si>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</si>
  <si>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</si>
  <si>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</si>
  <si>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</si>
  <si>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</si>
  <si>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</si>
  <si>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</si>
  <si>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</si>
  <si>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</si>
  <si>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</si>
  <si>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</si>
  <si>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</si>
  <si>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</si>
  <si>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</si>
  <si>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</si>
  <si>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</si>
  <si>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</si>
  <si>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</si>
  <si>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</si>
  <si>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</si>
  <si>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</si>
  <si>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</si>
  <si>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</si>
  <si>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</si>
  <si>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</si>
  <si>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</si>
  <si>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</si>
  <si>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</si>
  <si>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</si>
  <si>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</si>
  <si>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</si>
  <si>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</si>
  <si>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</si>
  <si>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</si>
  <si>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</si>
  <si>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</si>
  <si>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</si>
  <si>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</si>
  <si>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</si>
  <si>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</si>
  <si>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</si>
  <si>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</si>
  <si>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</si>
  <si>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</si>
  <si>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</si>
  <si>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</si>
  <si>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</si>
  <si>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</si>
  <si>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</si>
  <si>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</si>
  <si>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</si>
  <si>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</si>
  <si>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</si>
  <si>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</si>
  <si>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</si>
  <si>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</si>
  <si>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</si>
  <si>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</si>
  <si>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</si>
  <si>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</si>
  <si>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</si>
  <si>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</si>
  <si>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</si>
  <si>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</si>
  <si>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</si>
  <si>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</si>
  <si>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</si>
  <si>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</si>
  <si>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</si>
  <si>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</si>
  <si>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</si>
  <si>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</si>
  <si>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</si>
  <si>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</si>
  <si>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</si>
  <si>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</si>
  <si>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</si>
  <si>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</si>
  <si>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</si>
  <si>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</si>
  <si>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</si>
  <si>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</si>
  <si>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</si>
  <si>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</si>
  <si>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</si>
  <si>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</si>
  <si>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</si>
  <si>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</si>
  <si>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</si>
  <si>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</si>
  <si>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</si>
  <si>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</si>
  <si>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</si>
  <si>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</si>
  <si>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</si>
  <si>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</si>
  <si>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</si>
  <si>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</si>
  <si>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</si>
  <si>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</si>
  <si>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</si>
  <si>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</si>
  <si>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</si>
  <si>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</si>
  <si>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</si>
  <si>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</si>
  <si>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</si>
  <si>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</si>
  <si>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</si>
  <si>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</si>
  <si>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</si>
  <si>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</si>
  <si>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</si>
  <si>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</si>
  <si>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</si>
  <si>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</si>
  <si>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</si>
  <si>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</si>
  <si>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</si>
  <si>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</si>
  <si>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</si>
  <si>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</si>
  <si>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</si>
  <si>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</si>
  <si>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</si>
  <si>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</si>
  <si>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</si>
  <si>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</si>
  <si>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</si>
  <si>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</si>
  <si>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</si>
  <si>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</si>
  <si>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</si>
  <si>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</si>
  <si>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</si>
  <si>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</si>
  <si>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</si>
  <si>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</si>
  <si>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</si>
  <si>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</si>
  <si>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</si>
  <si>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</si>
  <si>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</si>
  <si>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</si>
  <si>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</si>
  <si>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</si>
  <si>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</si>
  <si>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</si>
  <si>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</si>
  <si>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</si>
  <si>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</si>
  <si>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</si>
  <si>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</si>
  <si>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</si>
  <si>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</si>
  <si>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</si>
  <si>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</si>
  <si>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</si>
  <si>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</si>
  <si>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</si>
  <si>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</si>
  <si>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</si>
  <si>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</si>
  <si>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</si>
  <si>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</si>
  <si>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</si>
  <si>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</si>
  <si>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</si>
  <si>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</si>
  <si>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</si>
  <si>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</si>
  <si>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</si>
  <si>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</si>
  <si>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</si>
  <si>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</si>
  <si>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</si>
  <si>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</si>
  <si>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</si>
  <si>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</si>
  <si>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</si>
  <si>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</si>
  <si>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</si>
  <si>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</si>
  <si>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</si>
  <si>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</si>
  <si>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</si>
  <si>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</si>
  <si>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</si>
  <si>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</si>
  <si>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</si>
  <si>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</si>
  <si>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</si>
  <si>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</si>
  <si>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</si>
  <si>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</si>
  <si>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</si>
  <si>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</si>
  <si>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</si>
  <si>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</si>
  <si>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</si>
  <si>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</si>
  <si>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</si>
  <si>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</si>
  <si>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</si>
  <si>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</si>
  <si>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</si>
  <si>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</si>
  <si>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</si>
  <si>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</si>
  <si>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</si>
  <si>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</si>
  <si>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</si>
  <si>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</si>
  <si>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</si>
  <si>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</si>
  <si>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</si>
  <si>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</si>
  <si>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</si>
  <si>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</si>
  <si>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</si>
  <si>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</si>
  <si>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</si>
  <si>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</si>
  <si>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</si>
  <si>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</si>
  <si>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</si>
  <si>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</si>
  <si>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</si>
  <si>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</si>
  <si>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</si>
  <si>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</si>
  <si>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</si>
  <si>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</si>
  <si>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</si>
  <si>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</si>
  <si>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</si>
  <si>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</si>
  <si>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</si>
  <si>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</si>
  <si>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</si>
  <si>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</si>
  <si>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</si>
  <si>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</si>
  <si>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</si>
  <si>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</si>
  <si>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</si>
  <si>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</si>
  <si>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</si>
  <si>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</si>
  <si>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</si>
  <si>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</si>
  <si>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</si>
  <si>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</si>
  <si>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</si>
  <si>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</si>
  <si>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</si>
  <si>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</si>
  <si>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</si>
  <si>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</si>
  <si>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</si>
  <si>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</si>
  <si>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</si>
  <si>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</si>
  <si>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</si>
  <si>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</si>
  <si>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</si>
  <si>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</si>
  <si>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</si>
  <si>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</si>
  <si>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</si>
  <si>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</si>
  <si>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</si>
  <si>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</si>
  <si>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</si>
  <si>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</si>
  <si>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</si>
  <si>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</si>
  <si>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</si>
  <si>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</si>
  <si>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</si>
  <si>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</si>
  <si>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</si>
  <si>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</si>
  <si>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</si>
  <si>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</si>
  <si>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</si>
  <si>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</si>
  <si>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</si>
  <si>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</si>
  <si>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</si>
  <si>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</si>
  <si>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</si>
  <si>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</si>
  <si>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</si>
  <si>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</si>
  <si>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</si>
  <si>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</si>
  <si>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</si>
  <si>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</si>
  <si>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</si>
  <si>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</si>
  <si>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</si>
  <si>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</si>
  <si>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</si>
  <si>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</si>
  <si>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</si>
  <si>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</si>
  <si>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</si>
  <si>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</si>
  <si>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</si>
  <si>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</si>
  <si>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</si>
  <si>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</si>
  <si>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</si>
  <si>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</si>
  <si>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</si>
  <si>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</si>
  <si>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</si>
  <si>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</si>
  <si>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</si>
  <si>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</si>
  <si>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</si>
  <si>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</si>
  <si>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</si>
  <si>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</si>
  <si>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</si>
  <si>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</si>
  <si>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</si>
  <si>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</si>
  <si>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</si>
  <si>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</si>
  <si>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</si>
  <si>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</si>
  <si>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</si>
  <si>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</si>
  <si>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</si>
  <si>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</si>
  <si>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</si>
  <si>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</si>
  <si>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</si>
  <si>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</si>
  <si>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</si>
  <si>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</si>
  <si>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</si>
  <si>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</si>
  <si>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</si>
  <si>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</si>
  <si>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</si>
  <si>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</si>
  <si>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</si>
  <si>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</si>
  <si>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</si>
  <si>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</si>
  <si>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</si>
  <si>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</si>
  <si>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</si>
  <si>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</si>
  <si>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</si>
  <si>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</si>
  <si>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</si>
  <si>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</si>
  <si>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</si>
  <si>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</si>
  <si>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</si>
  <si>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</si>
  <si>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</si>
  <si>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</si>
  <si>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</si>
  <si>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</si>
  <si>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</si>
  <si>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</si>
  <si>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</si>
  <si>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</si>
  <si>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</si>
  <si>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</si>
  <si>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</si>
  <si>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</si>
  <si>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</si>
  <si>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</si>
  <si>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</si>
  <si>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</si>
  <si>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</si>
  <si>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</si>
  <si>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</si>
  <si>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</si>
  <si>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</si>
  <si>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</si>
  <si>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</si>
  <si>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</si>
  <si>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</si>
  <si>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</si>
  <si>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</si>
  <si>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</si>
  <si>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</si>
  <si>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</si>
  <si>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</si>
  <si>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</si>
  <si>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</si>
  <si>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</si>
  <si>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</si>
  <si>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</si>
  <si>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</si>
  <si>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</si>
  <si>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</si>
  <si>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</si>
  <si>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</si>
  <si>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</si>
  <si>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</si>
  <si>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</si>
  <si>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</si>
  <si>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</si>
  <si>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</si>
  <si>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</si>
  <si>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</si>
  <si>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</si>
  <si>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</si>
  <si>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</si>
  <si>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</si>
  <si>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</si>
  <si>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</si>
  <si>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</si>
  <si>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</si>
  <si>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</si>
  <si>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</si>
  <si>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</si>
  <si>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</si>
  <si>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</si>
  <si>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</si>
  <si>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</si>
  <si>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</si>
  <si>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</si>
  <si>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</si>
  <si>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</si>
  <si>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</si>
  <si>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</si>
  <si>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</si>
  <si>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</si>
  <si>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</si>
  <si>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</si>
  <si>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</si>
  <si>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</si>
  <si>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</si>
  <si>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</si>
  <si>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</si>
  <si>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</si>
  <si>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</si>
  <si>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</si>
  <si>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</si>
  <si>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</si>
  <si>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</si>
  <si>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</si>
  <si>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</si>
  <si>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</si>
  <si>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</si>
  <si>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</si>
  <si>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</si>
  <si>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</si>
  <si>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</si>
  <si>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</si>
  <si>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</si>
  <si>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</si>
  <si>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</si>
  <si>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</si>
  <si>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</si>
  <si>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</si>
  <si>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</si>
  <si>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</si>
  <si>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</si>
  <si>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</si>
  <si>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</si>
  <si>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</si>
  <si>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</si>
  <si>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</si>
  <si>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</si>
  <si>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</si>
  <si>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</si>
  <si>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</si>
  <si>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</si>
  <si>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</si>
  <si>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</si>
  <si>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</si>
  <si>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</si>
  <si>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</si>
  <si>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</si>
  <si>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</si>
  <si>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</si>
  <si>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</si>
  <si>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</si>
  <si>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</si>
  <si>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</si>
  <si>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</si>
  <si>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</si>
  <si>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</si>
  <si>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</si>
  <si>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</si>
  <si>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</si>
  <si>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</si>
  <si>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</si>
  <si>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</si>
  <si>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</si>
  <si>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</si>
  <si>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</si>
  <si>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</si>
  <si>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</si>
  <si>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</si>
  <si>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</si>
  <si>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</si>
  <si>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</si>
  <si>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</si>
  <si>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</si>
  <si>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</si>
  <si>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</si>
  <si>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</si>
  <si>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</si>
  <si>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</si>
  <si>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</si>
  <si>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</si>
  <si>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</si>
  <si>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</si>
  <si>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</si>
  <si>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</si>
  <si>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</si>
  <si>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</si>
  <si>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</si>
  <si>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</si>
  <si>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</si>
  <si>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</si>
  <si>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</si>
  <si>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</si>
  <si>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</si>
  <si>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</si>
  <si>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</si>
  <si>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</si>
  <si>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</si>
  <si>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</si>
  <si>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</si>
  <si>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</si>
  <si>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</si>
  <si>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</si>
  <si>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</si>
  <si>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</si>
  <si>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</si>
  <si>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</si>
  <si>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</si>
  <si>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</si>
  <si>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</si>
  <si>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</si>
  <si>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</si>
  <si>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</si>
  <si>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</si>
  <si>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</si>
  <si>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</si>
  <si>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</si>
  <si>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</si>
  <si>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</si>
  <si>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</si>
  <si>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</si>
  <si>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</si>
  <si>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</si>
  <si>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</si>
  <si>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</si>
  <si>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</si>
  <si>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</si>
  <si>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</si>
  <si>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</si>
  <si>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</si>
  <si>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</si>
  <si>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</si>
  <si>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</si>
  <si>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</si>
  <si>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</si>
  <si>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</si>
  <si>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</si>
  <si>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</si>
  <si>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</si>
  <si>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</si>
  <si>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</si>
  <si>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</si>
  <si>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</si>
  <si>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</si>
  <si>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</si>
  <si>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</si>
  <si>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</si>
  <si>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</si>
  <si>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</si>
  <si>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</si>
  <si>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</si>
  <si>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</si>
  <si>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</si>
  <si>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</si>
  <si>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</si>
  <si>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</si>
  <si>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</si>
  <si>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</si>
  <si>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</si>
  <si>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</si>
  <si>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</si>
  <si>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</si>
  <si>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</si>
  <si>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</si>
  <si>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</si>
  <si>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</si>
  <si>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</si>
  <si>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</si>
  <si>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</si>
  <si>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</si>
  <si>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</si>
  <si>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</si>
  <si>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</si>
  <si>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</si>
  <si>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</si>
  <si>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</si>
  <si>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</si>
  <si>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</si>
  <si>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</si>
  <si>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</si>
  <si>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</si>
  <si>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</si>
  <si>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</si>
  <si>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</si>
  <si>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</si>
  <si>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</si>
  <si>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</si>
  <si>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</si>
  <si>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</si>
  <si>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</si>
  <si>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</si>
  <si>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</si>
  <si>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</si>
  <si>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</si>
  <si>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</si>
  <si>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</si>
  <si>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</si>
  <si>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</si>
  <si>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</si>
  <si>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</si>
  <si>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</si>
  <si>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</si>
  <si>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</si>
  <si>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</si>
  <si>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</si>
  <si>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</si>
  <si>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</si>
  <si>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</si>
  <si>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</si>
  <si>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</si>
  <si>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</si>
  <si>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</si>
  <si>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</si>
  <si>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</si>
  <si>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</si>
  <si>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</si>
  <si>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</si>
  <si>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</si>
  <si>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</si>
  <si>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</si>
  <si>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</si>
  <si>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</si>
  <si>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</si>
  <si>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</si>
  <si>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</si>
  <si>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</si>
  <si>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</si>
  <si>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</si>
  <si>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</si>
  <si>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</si>
  <si>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</si>
  <si>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</si>
  <si>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</si>
  <si>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</si>
  <si>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</si>
  <si>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</si>
  <si>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</si>
  <si>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</si>
  <si>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</si>
  <si>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</si>
  <si>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</si>
  <si>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</si>
  <si>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</si>
  <si>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</si>
  <si>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</si>
  <si>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</si>
  <si>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</si>
  <si>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</si>
  <si>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</si>
  <si>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</si>
  <si>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</si>
  <si>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</si>
  <si>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</si>
  <si>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</si>
  <si>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</si>
  <si>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</si>
  <si>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</si>
  <si>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</si>
  <si>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</si>
  <si>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</si>
  <si>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</si>
  <si>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</si>
  <si>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</si>
  <si>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</si>
  <si>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</si>
  <si>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</si>
  <si>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</si>
  <si>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</si>
  <si>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</si>
  <si>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</si>
  <si>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</si>
  <si>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</si>
  <si>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</si>
  <si>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</si>
  <si>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</si>
  <si>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</si>
  <si>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</si>
  <si>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</si>
  <si>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</si>
  <si>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</si>
  <si>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</si>
  <si>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</si>
  <si>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</si>
  <si>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</si>
  <si>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</si>
  <si>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</si>
  <si>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</si>
  <si>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</si>
  <si>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</si>
  <si>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</si>
  <si>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</si>
  <si>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</si>
  <si>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</si>
  <si>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</si>
  <si>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</si>
  <si>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</si>
  <si>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</si>
  <si>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</si>
  <si>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</si>
  <si>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</si>
  <si>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</si>
  <si>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</si>
  <si>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</si>
  <si>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</si>
  <si>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</si>
  <si>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</si>
  <si>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</si>
  <si>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</si>
  <si>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</si>
  <si>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</si>
  <si>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</si>
  <si>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</si>
  <si>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</si>
  <si>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</si>
  <si>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</si>
  <si>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</si>
  <si>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</si>
  <si>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</si>
  <si>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</si>
  <si>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</si>
  <si>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</si>
  <si>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</si>
  <si>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</si>
  <si>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</si>
  <si>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</si>
  <si>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</si>
  <si>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</si>
  <si>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</si>
  <si>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</si>
  <si>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</si>
  <si>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</si>
  <si>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</si>
  <si>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</si>
  <si>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</si>
  <si>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</si>
  <si>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</si>
  <si>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</si>
  <si>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</si>
  <si>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</si>
  <si>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</si>
  <si>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</si>
  <si>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</si>
  <si>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</si>
  <si>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</si>
  <si>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</si>
  <si>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</si>
  <si>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</si>
  <si>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</si>
  <si>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</si>
  <si>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</si>
  <si>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</si>
  <si>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</si>
  <si>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</si>
  <si>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</si>
  <si>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</si>
  <si>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</si>
  <si>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</si>
  <si>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</si>
  <si>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</si>
  <si>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</si>
  <si>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</si>
  <si>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</si>
  <si>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</si>
  <si>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</si>
  <si>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</si>
  <si>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</si>
  <si>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</si>
  <si>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</si>
  <si>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</si>
  <si>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</si>
  <si>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</si>
  <si>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</si>
  <si>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</si>
  <si>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</si>
  <si>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</si>
  <si>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</si>
  <si>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</si>
  <si>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</si>
  <si>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</si>
  <si>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</si>
  <si>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</si>
  <si>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</si>
  <si>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</si>
  <si>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</si>
  <si>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</si>
  <si>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</si>
  <si>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</si>
  <si>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</si>
  <si>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</si>
  <si>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</si>
  <si>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</si>
  <si>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</si>
  <si>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</si>
  <si>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</si>
  <si>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</si>
  <si>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</si>
  <si>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</si>
  <si>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</si>
  <si>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</si>
  <si>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</si>
  <si>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</si>
  <si>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</si>
  <si>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</si>
  <si>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</si>
  <si>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</si>
  <si>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</si>
  <si>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</si>
  <si>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</si>
  <si>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</si>
  <si>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</si>
  <si>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</si>
  <si>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</si>
  <si>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</si>
  <si>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</si>
  <si>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</si>
  <si>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</si>
  <si>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</si>
  <si>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</si>
  <si>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</si>
  <si>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</si>
  <si>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</si>
  <si>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</si>
  <si>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</si>
  <si>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</si>
  <si>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</si>
  <si>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</si>
  <si>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</si>
  <si>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</si>
  <si>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</si>
  <si>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</si>
  <si>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</si>
  <si>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</si>
  <si>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</si>
  <si>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</si>
  <si>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</si>
  <si>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</si>
  <si>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</si>
  <si>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</si>
  <si>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</si>
  <si>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</si>
  <si>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</si>
  <si>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</si>
  <si>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</si>
  <si>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</si>
  <si>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</si>
  <si>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</si>
  <si>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</si>
  <si>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</si>
  <si>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</si>
  <si>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</si>
  <si>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</si>
  <si>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</si>
  <si>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</si>
  <si>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</si>
  <si>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</si>
  <si>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</si>
  <si>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</si>
  <si>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</si>
  <si>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</si>
  <si>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</si>
  <si>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</si>
  <si>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</si>
  <si>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</si>
  <si>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</si>
  <si>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</si>
  <si>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</si>
  <si>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</si>
  <si>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</si>
  <si>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</si>
  <si>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</si>
  <si>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</si>
  <si>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</si>
  <si>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</si>
  <si>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</si>
  <si>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</si>
  <si>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</si>
  <si>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</si>
  <si>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</si>
  <si>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</si>
  <si>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</si>
  <si>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</si>
  <si>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</si>
  <si>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</si>
  <si>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</si>
  <si>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</si>
  <si>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</si>
  <si>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</si>
  <si>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</si>
  <si>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</si>
  <si>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</si>
  <si>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</si>
  <si>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</si>
  <si>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</si>
  <si>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</si>
  <si>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</si>
  <si>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</si>
  <si>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</si>
  <si>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</si>
  <si>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</si>
  <si>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</si>
  <si>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</si>
  <si>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</si>
  <si>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</si>
  <si>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</si>
  <si>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</si>
  <si>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</si>
  <si>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</si>
  <si>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</si>
  <si>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</si>
  <si>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</si>
  <si>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</si>
  <si>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</si>
  <si>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</si>
  <si>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</si>
  <si>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</si>
  <si>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</si>
  <si>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</si>
  <si>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</si>
  <si>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</si>
  <si>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</si>
  <si>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</si>
  <si>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</si>
  <si>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</si>
  <si>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</si>
  <si>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</si>
  <si>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</si>
  <si>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</si>
  <si>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</si>
  <si>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</si>
  <si>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</si>
  <si>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</si>
  <si>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</si>
  <si>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</si>
  <si>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</si>
  <si>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</si>
  <si>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</si>
  <si>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</si>
  <si>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</si>
  <si>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</si>
  <si>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</si>
  <si>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</si>
  <si>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</si>
  <si>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</si>
  <si>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</si>
  <si>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</si>
  <si>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</si>
  <si>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</si>
  <si>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</si>
  <si>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</si>
  <si>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</si>
  <si>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</si>
  <si>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</si>
  <si>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</si>
  <si>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</si>
  <si>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</si>
  <si>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</si>
  <si>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</si>
  <si>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</si>
  <si>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</si>
  <si>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</si>
  <si>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</si>
  <si>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</si>
  <si>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</si>
  <si>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</si>
  <si>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</si>
  <si>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</si>
  <si>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</si>
  <si>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</si>
  <si>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</si>
  <si>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</si>
  <si>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</si>
  <si>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</si>
  <si>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</si>
  <si>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</si>
  <si>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</si>
  <si>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</si>
  <si>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</si>
  <si>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</si>
  <si>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</si>
  <si>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</si>
  <si>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</si>
  <si>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</si>
  <si>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</si>
  <si>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</si>
  <si>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</si>
  <si>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</si>
  <si>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</si>
  <si>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</si>
  <si>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</si>
  <si>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</si>
  <si>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</si>
  <si>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</si>
  <si>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</si>
  <si>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</si>
  <si>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</si>
  <si>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</si>
  <si>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</si>
  <si>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</si>
  <si>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</si>
  <si>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</si>
  <si>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</si>
  <si>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</si>
  <si>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</si>
  <si>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</si>
  <si>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</si>
  <si>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</si>
  <si>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</si>
  <si>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</si>
  <si>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</si>
  <si>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</si>
  <si>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</si>
  <si>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</si>
  <si>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</si>
  <si>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</si>
  <si>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</si>
  <si>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</si>
  <si>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</si>
  <si>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</si>
  <si>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</si>
  <si>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</si>
  <si>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</si>
  <si>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</si>
  <si>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</si>
  <si>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</si>
  <si>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</si>
  <si>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</si>
  <si>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</si>
  <si>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</si>
  <si>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</si>
  <si>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</si>
  <si>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</si>
  <si>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</si>
  <si>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</si>
  <si>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</si>
  <si>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</si>
  <si>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</si>
  <si>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</si>
  <si>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</si>
  <si>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</si>
  <si>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</si>
  <si>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</si>
  <si>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</si>
  <si>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</si>
  <si>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</si>
  <si>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</si>
  <si>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商业</t>
  </si>
  <si>
    <t>抵押价格</t>
  </si>
  <si>
    <t>地上</t>
  </si>
  <si>
    <t xml:space="preserve"> </t>
    <phoneticPr fontId="3" type="noConversion"/>
  </si>
  <si>
    <t>商业</t>
    <phoneticPr fontId="7" type="noConversion"/>
  </si>
  <si>
    <t>不动产收益法</t>
  </si>
  <si>
    <t>比较法-住宅、综合</t>
  </si>
  <si>
    <t>剩余法-待开发</t>
  </si>
  <si>
    <t>自定义</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</si>
  <si>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</si>
  <si>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</si>
  <si>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</si>
  <si>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</si>
  <si>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</si>
  <si>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</si>
  <si>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</si>
  <si>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</si>
  <si>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</si>
  <si>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</si>
  <si>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</si>
  <si>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</si>
  <si>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</si>
  <si>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</si>
  <si>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</si>
  <si>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曹妃甸新城学府路以西,溯河道以北</t>
  </si>
  <si>
    <t>唐山市</t>
  </si>
  <si>
    <t>商业/办公用地</t>
  </si>
  <si>
    <t>小于或等于3</t>
  </si>
  <si>
    <t>拍卖</t>
  </si>
  <si>
    <t>2019-09-12</t>
  </si>
  <si>
    <t>唐山辰星房地产开发有限公司</t>
  </si>
  <si>
    <t>3星</t>
  </si>
  <si>
    <t>曹妃甸新城东海路以西,渤海大道以北</t>
  </si>
  <si>
    <t>小于或等于1.5</t>
  </si>
  <si>
    <t>唐山曹妃甸瑞和房地产开发有限公司</t>
  </si>
  <si>
    <t>1星</t>
  </si>
  <si>
    <t>曹妃甸新城青裳西路以西,绿城道以北</t>
  </si>
  <si>
    <t>小于或等于1</t>
  </si>
  <si>
    <t>唐山恒鹏健康产业有限公司</t>
  </si>
  <si>
    <t>2星</t>
  </si>
  <si>
    <t>曹妃甸新城通海路以西,玉湖道以南</t>
  </si>
  <si>
    <t>小于或等于1.8</t>
  </si>
  <si>
    <t>河北巴斯文化旅游发展有限公司</t>
  </si>
  <si>
    <t>曹妃甸新城东海路以西,科教大道以北</t>
  </si>
  <si>
    <t>曹妃甸新城绿珠东路以西,绿城道以北</t>
  </si>
  <si>
    <t>曹妃甸新城东海路以西,科教北道以北</t>
  </si>
  <si>
    <t>唐山曹妃甸发展投资集团有限公司</t>
  </si>
  <si>
    <t>曹妃甸新城学府路以西,科技道以北</t>
  </si>
  <si>
    <t>小于或等于2</t>
  </si>
  <si>
    <t>曹妃甸新城东海路以西,溯北道以南</t>
  </si>
  <si>
    <t>小于或等于2.1</t>
  </si>
  <si>
    <t>曹妃甸新城德胜路西,景明道以南</t>
  </si>
  <si>
    <t>小于或等于0.5</t>
  </si>
  <si>
    <t>2019-09-04</t>
  </si>
  <si>
    <t>唐山恒瀚邑房地产开发有限公司</t>
  </si>
  <si>
    <t>沿海公路以南、海港大路以东</t>
  </si>
  <si>
    <t>小于或等于2.5</t>
  </si>
  <si>
    <t>2019-08-23</t>
  </si>
  <si>
    <t>河北乐甯冶金材料科技有限公司</t>
  </si>
  <si>
    <t>县城发展大道东侧、腾飞街南侧</t>
  </si>
  <si>
    <t>大于1并且小于或等于4</t>
  </si>
  <si>
    <t>挂牌</t>
  </si>
  <si>
    <t>2019-06-06</t>
  </si>
  <si>
    <t>唐山奇意商贸有限公司</t>
  </si>
  <si>
    <t>滨水正街西侧</t>
  </si>
  <si>
    <t>＞1,≤1.5</t>
  </si>
  <si>
    <t>2018-12-03</t>
  </si>
  <si>
    <t>南二道北侧、南二路东侧</t>
  </si>
  <si>
    <t>≥1.3,≤2.5</t>
  </si>
  <si>
    <t>南一道南侧、南二路东侧</t>
  </si>
  <si>
    <t>≥1.3,≤2</t>
  </si>
  <si>
    <t>南二道北侧、南一路西侧</t>
  </si>
  <si>
    <t>≥1.3,≤3.5</t>
  </si>
  <si>
    <t>南一道南侧、南一路西侧</t>
  </si>
  <si>
    <t>县城农产品物流中心中轴路西侧、鹏程街以南</t>
  </si>
  <si>
    <t>2018-11-29</t>
  </si>
  <si>
    <t>乐亭县四季香糕点厂</t>
  </si>
  <si>
    <t>5星</t>
  </si>
  <si>
    <t>唐海镇沿海路南侧</t>
  </si>
  <si>
    <t>≤2.2</t>
  </si>
  <si>
    <t>2018-11-22</t>
  </si>
  <si>
    <t>＞3,≤5</t>
  </si>
  <si>
    <t>县城健康路东侧、觅园街南侧</t>
  </si>
  <si>
    <t>2018-11-09</t>
  </si>
  <si>
    <t>唐山市新华书店有限责任公司</t>
  </si>
  <si>
    <t>北一路以西、滨水正街以东、北四北支路以南、河北二路以北</t>
  </si>
  <si>
    <t>≥1.5,≤2</t>
  </si>
  <si>
    <t>2018-10-18</t>
  </si>
  <si>
    <t>唐山首横房地产开发有限公司</t>
  </si>
  <si>
    <t>通岛路以西、北一路以东、北四北支路以南、河北二路以北</t>
  </si>
  <si>
    <t>≥1.8,≤2</t>
  </si>
  <si>
    <t>纵一路以西、纵二路以南、横五路以南、横二路以北</t>
  </si>
  <si>
    <t>≥0.88,≤0.9</t>
  </si>
  <si>
    <t>2018-10-11</t>
  </si>
  <si>
    <t>唐山首源农产品有限公司</t>
  </si>
  <si>
    <t>纵一路以西、纵二路以东、横一路以南、横五路以北</t>
  </si>
  <si>
    <t>≥0.92,≤0.94</t>
  </si>
  <si>
    <t>唐山华沣冷链物流有限公司</t>
  </si>
  <si>
    <t>中央大街以西、唐曹铁路以东、横二路以南、北环河以北</t>
  </si>
  <si>
    <t>≥1,≤1.5</t>
  </si>
  <si>
    <t>唐山首达汽车贸易有限公司</t>
  </si>
  <si>
    <t>城区工业聚集区中轴路北侧</t>
  </si>
  <si>
    <t>河北明盛实业集团乐亭县宏晨建筑安装工程有限公司</t>
  </si>
  <si>
    <t>妃甸湿地文化旅游度假区庙中路以南、唐曹高速以西</t>
  </si>
  <si>
    <t>≤0.2</t>
  </si>
  <si>
    <t>2018-09-20</t>
  </si>
  <si>
    <t>唐山多玛乐园旅游文化有限公司</t>
  </si>
  <si>
    <t>≤0.6</t>
  </si>
  <si>
    <t>纵二路以西、纵六路以东、横五路以南、横二路以北</t>
  </si>
  <si>
    <t>2018-09-11</t>
  </si>
  <si>
    <t>唐山首贸五金建材有限公司</t>
  </si>
  <si>
    <t>第八农场南田庄供销社南侧</t>
  </si>
  <si>
    <t>≤2</t>
  </si>
  <si>
    <t>郑德新</t>
  </si>
  <si>
    <t>临港商务区北三路以西,北六南支路以南</t>
  </si>
  <si>
    <t>2018-08-29</t>
  </si>
  <si>
    <t>曹妃甸慧宇环境工程有限公司</t>
  </si>
  <si>
    <t>庙中路以南、唐曹高速以西</t>
  </si>
  <si>
    <t>2018-08-08</t>
  </si>
  <si>
    <t>城南乐港公路西侧、栗家湾坨村东</t>
  </si>
  <si>
    <t>2018-06-29</t>
  </si>
  <si>
    <t>乐亭乐源燃气有限公司</t>
  </si>
  <si>
    <t>金越道以南,北二路以西</t>
  </si>
  <si>
    <t>≥2且≤2.5</t>
  </si>
  <si>
    <t>2018-06-14</t>
  </si>
  <si>
    <t>唐山曹妃甸万居房地产开发有限公司</t>
  </si>
  <si>
    <t>县城农产品物流中心中轴路东侧、鹏程西街以北</t>
  </si>
  <si>
    <t>2018-05-09</t>
  </si>
  <si>
    <t>乐亭县鑫宇农资物流有限公司</t>
  </si>
  <si>
    <t>县城农产品物流中心中轴路东侧、鹏程西街北侧</t>
  </si>
  <si>
    <t>乐亭县江沣农资物流有限公司</t>
  </si>
  <si>
    <t>港荣街以北、海安路以东</t>
  </si>
  <si>
    <t>≤2.7</t>
  </si>
  <si>
    <t>2018-05-03</t>
  </si>
  <si>
    <t>唐山海港鑫丰房地产开发有限公司</t>
  </si>
  <si>
    <t>县城乐安路以东、鹏程街以北</t>
  </si>
  <si>
    <t>2018-04-18</t>
  </si>
  <si>
    <t>乐亭县冀东皮毛交易市场服务有限公司</t>
  </si>
  <si>
    <t>县城农产品物流中心中轴路东侧、锦绣街南侧</t>
  </si>
  <si>
    <t>裴建宏</t>
  </si>
  <si>
    <t>县城农产品物流中心中轴路以东、锦绣街南侧</t>
  </si>
  <si>
    <t>乐亭县凯元种业有限公司</t>
  </si>
  <si>
    <t>金融东街北侧、高科三路以西</t>
  </si>
  <si>
    <t>大于0并且小于或等于1</t>
  </si>
  <si>
    <t>河北夏日集团物流有限公司</t>
  </si>
  <si>
    <t>县城乐安路东侧、鹏程街北侧</t>
  </si>
  <si>
    <t>乐亭煜达植保服务有限公司</t>
  </si>
  <si>
    <t>小康西里大通路西侧</t>
  </si>
  <si>
    <t>等于0.82</t>
  </si>
  <si>
    <t>2018-03-07</t>
  </si>
  <si>
    <t>唐山市曹妃甸区城市建设投资集团有限责任公司</t>
  </si>
  <si>
    <t>曹妃甸新城东海路以东,5号河以北</t>
  </si>
  <si>
    <t>≤1.5</t>
  </si>
  <si>
    <t>2018-02-12</t>
  </si>
  <si>
    <t>唐山曹妃甸富力城房地产开发有限公司</t>
  </si>
  <si>
    <t>曹妃甸新城东海路以东,景明道以南</t>
  </si>
  <si>
    <t>≤3</t>
  </si>
  <si>
    <t>大清河盐场南北路以东、高科十七道以南</t>
  </si>
  <si>
    <t>≤0.5</t>
  </si>
  <si>
    <t>2018-02-01</t>
  </si>
  <si>
    <t>河北长芦大清河盐化集团有限公司</t>
  </si>
  <si>
    <t>乐北路西侧,惠民街南侧</t>
  </si>
  <si>
    <t>2018-01-29</t>
  </si>
  <si>
    <t>唐山湾国际旅游岛旺盛房地产开发有限公司</t>
  </si>
  <si>
    <t>乐亭县城南乐安路东侧、锦绣街南侧</t>
  </si>
  <si>
    <t>2018-01-19</t>
  </si>
  <si>
    <t>县城乐安路东侧、鹏程街以北</t>
  </si>
  <si>
    <t>县城农产品物流中心中轴路以西、锦绣街南侧</t>
  </si>
  <si>
    <t>曹妃甸新城新阳路以西,新港大道以南</t>
  </si>
  <si>
    <t>2017-12-20</t>
  </si>
  <si>
    <t>曹妃甸新城德胜路以东,富春道以南</t>
  </si>
  <si>
    <t>曹妃甸新城正阳路以东,新港大道以南</t>
  </si>
  <si>
    <t>汀流河工业园区平青大路西侧</t>
  </si>
  <si>
    <t>大于1并且小于或等于2</t>
  </si>
  <si>
    <t>2017-11-30</t>
  </si>
  <si>
    <t>马铭</t>
  </si>
  <si>
    <t>曹南铁路桥以东、河北一路以南</t>
  </si>
  <si>
    <t>≥2且≤3</t>
  </si>
  <si>
    <t>北一道以北、河北东路以东</t>
  </si>
  <si>
    <t>≥3.5且≤4</t>
  </si>
  <si>
    <t>北一道以北、河北东路以西</t>
  </si>
  <si>
    <t>乐亭县逸隆汽车服务有限公司</t>
  </si>
  <si>
    <t>北四道以北,中央大街以东</t>
  </si>
  <si>
    <t>2017-11-13</t>
  </si>
  <si>
    <t>唐山曹妃甸双创企业孵化器有限公司</t>
  </si>
  <si>
    <t>北四北支路以北,中央大街以东</t>
  </si>
  <si>
    <t>≥2.5且≤3</t>
  </si>
  <si>
    <t>曹妃甸区十一农场唐曹高速公路南侧</t>
  </si>
  <si>
    <t>≤0.8</t>
  </si>
  <si>
    <t>2017-11-10</t>
  </si>
  <si>
    <t>唐山唐曹高速公路有限公司</t>
  </si>
  <si>
    <t>曹妃甸区十一农场唐曹高速公路北侧</t>
  </si>
  <si>
    <t>清河东路东侧,惠民街南侧</t>
  </si>
  <si>
    <t>2017-11-08</t>
  </si>
  <si>
    <t>商钰平</t>
  </si>
  <si>
    <t>乐北路以西,秀兰饭店以北</t>
  </si>
  <si>
    <t>唐山秀兰房地产开发有限公司</t>
  </si>
  <si>
    <t>河北二路以南</t>
  </si>
  <si>
    <t>2017-09-18</t>
  </si>
  <si>
    <t>中油曹妃甸石油销售有限公司</t>
  </si>
  <si>
    <t>一号路以东,北环路以南</t>
  </si>
  <si>
    <t>中海路以东、新元道以南</t>
  </si>
  <si>
    <t>≤1.2</t>
  </si>
  <si>
    <t>2017-09-14</t>
  </si>
  <si>
    <t>中鹰曹建投(曹妃甸)房地产开发有限公司</t>
  </si>
  <si>
    <t>曹妃甸中小企业园区迁曹公路西侧</t>
  </si>
  <si>
    <t>≥0.8且≤1.2</t>
  </si>
  <si>
    <t>2017-09-13</t>
  </si>
  <si>
    <t>中青冷链仓储贸易(唐山)有限公司</t>
  </si>
  <si>
    <t>海景大道以北,乐北路以东</t>
  </si>
  <si>
    <t>2017-07-24</t>
  </si>
  <si>
    <t>唐山湾国际旅游岛大唐小镇文化旅游有限公司</t>
  </si>
  <si>
    <t>乐北路以西,惠民街以南</t>
  </si>
  <si>
    <t>唐山湾国际旅游岛润泽房地产开发有限公司</t>
  </si>
  <si>
    <t>≥1.5,≤1.8</t>
  </si>
  <si>
    <t>唐山曹妃甸宝骏金融街房地产开发有限公司</t>
  </si>
  <si>
    <t>清河东路以东,三贝道以北</t>
  </si>
  <si>
    <t>唐山湾国际旅游岛红博实业有限公司</t>
  </si>
  <si>
    <t>A02路以西,C5路以北</t>
  </si>
  <si>
    <t>2017-07-17</t>
  </si>
  <si>
    <t>唐山曹妃甸综保投资有限公司</t>
  </si>
  <si>
    <t>A02路以西,B4路以北</t>
  </si>
  <si>
    <t>新港大道以南,绿珠河以东</t>
  </si>
  <si>
    <t>2017-07-14</t>
  </si>
  <si>
    <t>唐山曹妃甸赫祥泰业房地产开发有限公司</t>
  </si>
  <si>
    <t>兴业大街以南、海河路以东</t>
  </si>
  <si>
    <t>2017-06-16</t>
  </si>
  <si>
    <t>河南川西能源有限公司</t>
  </si>
  <si>
    <t>县城腾飞街北侧、中医院以东</t>
  </si>
  <si>
    <t>2017-05-25</t>
  </si>
  <si>
    <t>刘忠贤</t>
  </si>
  <si>
    <t>北三路以东,北四道以北</t>
  </si>
  <si>
    <t>2017-04-26</t>
  </si>
  <si>
    <t>唐山曹妃甸太阳城房地产开发有限公司</t>
  </si>
  <si>
    <t>乐亭县城南乐安路东侧、腾飞街南侧</t>
  </si>
  <si>
    <t>2017-04-13</t>
  </si>
  <si>
    <t>乐亭县冀东国际农产品物流有限公司</t>
  </si>
  <si>
    <t>乐亭县城南发展大路西侧、锦绣街北侧</t>
  </si>
  <si>
    <t>乐亭县城南乐安路东侧、锦绣街北侧</t>
  </si>
  <si>
    <t>清河东路以东,纬四东路以南</t>
  </si>
  <si>
    <t>2017-03-30</t>
  </si>
  <si>
    <t>唐山湾国际旅游岛紫竹园房地产开发有限公司</t>
  </si>
  <si>
    <t>大清河以西,滨海大道以北</t>
  </si>
  <si>
    <t>2017-02-22</t>
  </si>
  <si>
    <t>唐山金融控股集团园区经济发展有限公司</t>
  </si>
  <si>
    <t>唐山湾生态城行知路以西,富春道以北</t>
  </si>
  <si>
    <t>2016-12-19</t>
  </si>
  <si>
    <t>唐山市曹妃甸大正房地产开发有限公司</t>
  </si>
  <si>
    <t>正常</t>
  </si>
  <si>
    <t>较差</t>
  </si>
  <si>
    <t>较好</t>
  </si>
  <si>
    <t>七通</t>
  </si>
  <si>
    <t>差</t>
  </si>
  <si>
    <t>较规则</t>
  </si>
  <si>
    <t>较规则</t>
    <phoneticPr fontId="26" type="noConversion"/>
  </si>
  <si>
    <t>较适宜</t>
  </si>
  <si>
    <t>较适宜</t>
    <phoneticPr fontId="26" type="noConversion"/>
  </si>
  <si>
    <t>三通</t>
  </si>
  <si>
    <t>三通</t>
    <phoneticPr fontId="26" type="noConversion"/>
  </si>
  <si>
    <t>市区</t>
    <phoneticPr fontId="3" type="noConversion"/>
  </si>
  <si>
    <t>乐亭县</t>
    <phoneticPr fontId="3" type="noConversion"/>
  </si>
  <si>
    <r>
      <t>1</t>
    </r>
    <r>
      <rPr>
        <sz val="10"/>
        <color indexed="8"/>
        <rFont val="宋体"/>
        <family val="3"/>
        <charset val="134"/>
      </rPr>
      <t>至</t>
    </r>
    <r>
      <rPr>
        <sz val="10"/>
        <color indexed="8"/>
        <rFont val="Arial"/>
        <family val="2"/>
      </rPr>
      <t>2</t>
    </r>
    <r>
      <rPr>
        <sz val="10"/>
        <color indexed="8"/>
        <rFont val="宋体"/>
        <family val="3"/>
        <charset val="134"/>
      </rPr>
      <t>层</t>
    </r>
    <phoneticPr fontId="3" type="noConversion"/>
  </si>
  <si>
    <t>租金</t>
    <phoneticPr fontId="3" type="noConversion"/>
  </si>
  <si>
    <t>平整费</t>
    <phoneticPr fontId="9" type="noConversion"/>
  </si>
  <si>
    <t>楼面地价</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</si>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</sst>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8" fillId="0" borderId="0">
      <alignment vertical="center"/>
    </xf>
    <xf numFmtId="0" fontId="148" fillId="0" borderId="0">
      <alignment vertical="center"/>
    </xf>
    <xf numFmtId="0" fontId="145" fillId="0" borderId="0"/>
    <xf numFmtId="0" fontId="148" fillId="0" borderId="0">
      <alignment vertical="center"/>
    </xf>
    <xf numFmtId="0" fontId="86"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18" borderId="0" xfId="0" applyFill="1" applyAlignment="1"/>
    <xf numFmtId="0" fontId="71" fillId="0" borderId="12" xfId="1" applyFont="1" applyBorder="1" applyAlignment="1" applyProtection="1">
      <alignment horizontal="center" vertical="center"/>
      <protection locked="0"/>
    </xf>
    <xf numFmtId="0" fontId="82" fillId="5" borderId="0" xfId="0" applyFont="1" applyFill="1" applyAlignment="1" applyProtection="1">
      <alignment vertical="center"/>
      <protection locked="0"/>
    </xf>
    <xf numFmtId="0" fontId="202" fillId="0" borderId="11" xfId="0" applyFont="1" applyBorder="1" applyAlignment="1" applyProtection="1">
      <alignment horizontal="center" vertical="center"/>
      <protection locked="0"/>
    </xf>
    <xf numFmtId="58" fontId="76" fillId="5" borderId="0" xfId="0" applyNumberFormat="1" applyFont="1" applyFill="1" applyAlignment="1" applyProtection="1">
      <alignment vertical="center"/>
      <protection locked="0"/>
    </xf>
    <xf numFmtId="0" fontId="0" fillId="0" borderId="0" xfId="0" applyFill="1" applyAlignment="1"/>
    <xf numFmtId="0" fontId="76" fillId="5" borderId="0" xfId="1" applyFont="1" applyFill="1" applyAlignment="1" applyProtection="1">
      <alignment vertical="center"/>
      <protection locked="0"/>
    </xf>
    <xf numFmtId="49" fontId="83" fillId="9" borderId="7" xfId="0"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181" fontId="76" fillId="9" borderId="51"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0" fillId="9" borderId="0" xfId="0" applyFill="1" applyAlignment="1"/>
    <xf numFmtId="0" fontId="71" fillId="9" borderId="11" xfId="0" applyFont="1" applyFill="1" applyBorder="1" applyAlignment="1" applyProtection="1">
      <alignment vertical="center"/>
      <protection locked="0"/>
    </xf>
    <xf numFmtId="181" fontId="71" fillId="9" borderId="2"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6 2 3" xfId="17"/>
    <cellStyle name="常规 7" xfId="9"/>
    <cellStyle name="常规 8" xfId="15"/>
    <cellStyle name="常规 8 2" xfId="16"/>
    <cellStyle name="常规 9" xfId="14"/>
    <cellStyle name="常规 9 2" xfId="1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102</xdr:row>
      <xdr:rowOff>0</xdr:rowOff>
    </xdr:from>
    <xdr:to>
      <xdr:col>7</xdr:col>
      <xdr:colOff>1256026</xdr:colOff>
      <xdr:row>136</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487900"/>
          <a:ext cx="10200001" cy="5914286"/>
        </a:xfrm>
        <a:prstGeom prst="rect">
          <a:avLst/>
        </a:prstGeom>
      </xdr:spPr>
    </xdr:pic>
    <xdr:clientData/>
  </xdr:twoCellAnchor>
  <xdr:twoCellAnchor editAs="oneCell">
    <xdr:from>
      <xdr:col>7</xdr:col>
      <xdr:colOff>1409700</xdr:colOff>
      <xdr:row>102</xdr:row>
      <xdr:rowOff>57150</xdr:rowOff>
    </xdr:from>
    <xdr:to>
      <xdr:col>12</xdr:col>
      <xdr:colOff>532932</xdr:colOff>
      <xdr:row>113</xdr:row>
      <xdr:rowOff>161676</xdr:rowOff>
    </xdr:to>
    <xdr:pic>
      <xdr:nvPicPr>
        <xdr:cNvPr id="3" name="图片 2"/>
        <xdr:cNvPicPr>
          <a:picLocks noChangeAspect="1"/>
        </xdr:cNvPicPr>
      </xdr:nvPicPr>
      <xdr:blipFill>
        <a:blip xmlns:r="http://schemas.openxmlformats.org/officeDocument/2006/relationships" r:embed="rId2"/>
        <a:stretch>
          <a:fillRect/>
        </a:stretch>
      </xdr:blipFill>
      <xdr:spPr>
        <a:xfrm>
          <a:off x="10353675" y="17545050"/>
          <a:ext cx="3742857" cy="19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256372</xdr:colOff>
      <xdr:row>42</xdr:row>
      <xdr:rowOff>56243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428572" cy="7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636981</xdr:colOff>
      <xdr:row>8</xdr:row>
      <xdr:rowOff>171257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52381" cy="1542857"/>
        </a:xfrm>
        <a:prstGeom prst="rect">
          <a:avLst/>
        </a:prstGeom>
      </xdr:spPr>
    </xdr:pic>
    <xdr:clientData/>
  </xdr:twoCellAnchor>
  <xdr:twoCellAnchor editAs="oneCell">
    <xdr:from>
      <xdr:col>0</xdr:col>
      <xdr:colOff>0</xdr:colOff>
      <xdr:row>10</xdr:row>
      <xdr:rowOff>0</xdr:rowOff>
    </xdr:from>
    <xdr:to>
      <xdr:col>14</xdr:col>
      <xdr:colOff>72055</xdr:colOff>
      <xdr:row>19</xdr:row>
      <xdr:rowOff>130946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9673255" cy="16739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61815.58平方米。根据《建设工程规划许可证》[]、《出让合同》[]，估价对象规划建筑面积为92723.37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2019年9月26日（评估专业人员勘察现场之日）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根据《国有土地使用证》[]，估价对象（分摊）出让国有建设用地使用权面积为61815.58平方米。根据《建设工程规划许可证》[]、《出让合同》[]，估价对象规划建筑面积为92723.37平方米。</v>
      </c>
    </row>
    <row r="16" spans="1:55" s="2831" customFormat="1">
      <c r="A16" s="2832" t="s">
        <v>2668</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3月31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9月26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估价期日：2019年9月26日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61815.58</v>
      </c>
    </row>
    <row r="44" spans="1:2">
      <c r="A44" s="2832" t="s">
        <v>2739</v>
      </c>
      <c r="B44" s="2833" t="str">
        <f>'预评函-2'!O3</f>
        <v>规划建筑面积/㎡</v>
      </c>
    </row>
    <row r="45" spans="1:2">
      <c r="A45" s="2832" t="s">
        <v>2721</v>
      </c>
      <c r="B45" s="2833">
        <f>'预评函-2'!O5</f>
        <v>92723.37</v>
      </c>
    </row>
    <row r="46" spans="1:2">
      <c r="A46" s="2832" t="s">
        <v>2722</v>
      </c>
      <c r="B46" s="2833">
        <f ca="1">'预评函-2'!P5</f>
        <v>902</v>
      </c>
    </row>
    <row r="47" spans="1:2">
      <c r="A47" s="2832" t="s">
        <v>2723</v>
      </c>
      <c r="B47" s="2833">
        <f ca="1">'预评函-2'!Q5</f>
        <v>601</v>
      </c>
    </row>
    <row r="48" spans="1:2">
      <c r="A48" s="2832" t="s">
        <v>2724</v>
      </c>
      <c r="B48" s="2833">
        <f ca="1">'预评函-2'!R5</f>
        <v>5576</v>
      </c>
    </row>
    <row r="49" spans="1:2">
      <c r="A49" s="2832" t="s">
        <v>2740</v>
      </c>
      <c r="B49" s="2833" t="str">
        <f>'预评函-2'!A6</f>
        <v>抵押价格</v>
      </c>
    </row>
    <row r="50" spans="1:2">
      <c r="A50" s="2832" t="s">
        <v>2725</v>
      </c>
      <c r="B50" s="2833">
        <f ca="1">'预评函-2'!R6</f>
        <v>5576</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5" thickBot="1">
      <c r="A72" s="2854" t="s">
        <v>2690</v>
      </c>
      <c r="B72" s="2860">
        <f>'预评函-3'!B21</f>
        <v>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5" sqref="F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244" t="str">
        <f>IF(B10="北京市","北京市",C10)&amp;F10&amp;B16&amp;"国有建设用地使用权"&amp;B9&amp;"预评估"</f>
        <v>出让国有建设用地使用权抵押价格预评估</v>
      </c>
      <c r="C1" s="3245"/>
      <c r="D1" s="3245"/>
      <c r="E1" s="3245"/>
      <c r="F1" s="3245"/>
      <c r="G1" s="3245"/>
      <c r="H1" s="3245"/>
      <c r="I1" s="3246"/>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1938</v>
      </c>
      <c r="B3" s="1645">
        <v>43734</v>
      </c>
      <c r="C3" s="1646" t="s">
        <v>1994</v>
      </c>
      <c r="D3" s="1645">
        <v>43734</v>
      </c>
      <c r="E3" s="1677"/>
      <c r="F3" s="1677"/>
      <c r="G3" s="1677"/>
      <c r="H3" s="1643"/>
      <c r="I3" s="1678"/>
      <c r="J3" s="1677"/>
      <c r="K3" s="1757"/>
      <c r="L3" s="1706"/>
      <c r="M3" s="1706"/>
      <c r="N3" s="1677"/>
      <c r="O3" s="1678"/>
      <c r="P3" s="1677"/>
      <c r="Q3" s="1677"/>
      <c r="R3" s="1677"/>
      <c r="S3" s="1677"/>
      <c r="T3" s="1677"/>
      <c r="U3" s="1677"/>
    </row>
    <row r="4" spans="1:21" ht="29.25" thickBot="1">
      <c r="A4" s="1647" t="s">
        <v>1939</v>
      </c>
      <c r="B4" s="1826" t="s">
        <v>2888</v>
      </c>
      <c r="C4" s="1829">
        <f>SUMIF(土地估价师,B4,估价师及机构信息!E3:E24)</f>
        <v>0</v>
      </c>
      <c r="D4" s="1826" t="s">
        <v>2888</v>
      </c>
      <c r="E4" s="1829">
        <f>SUMIF(土地估价师,D4,估价师及机构信息!E3:E24)</f>
        <v>0</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2997</v>
      </c>
      <c r="C8" s="1654"/>
      <c r="D8" s="3250" t="s">
        <v>1943</v>
      </c>
      <c r="E8" s="1827" t="s">
        <v>2999</v>
      </c>
      <c r="F8" s="1655"/>
      <c r="G8" s="1643"/>
      <c r="H8" s="1643"/>
      <c r="I8" s="1690"/>
      <c r="J8" s="1677"/>
      <c r="K8" s="1757"/>
      <c r="L8" s="1706"/>
      <c r="M8" s="1706"/>
      <c r="N8" s="1677"/>
      <c r="O8" s="1678"/>
      <c r="P8" s="1677"/>
      <c r="Q8" s="1677"/>
      <c r="R8" s="1677"/>
      <c r="S8" s="1677"/>
      <c r="T8" s="1677"/>
      <c r="U8" s="1677"/>
    </row>
    <row r="9" spans="1:21" ht="15" thickBot="1">
      <c r="A9" s="1656" t="s">
        <v>1942</v>
      </c>
      <c r="B9" s="1657" t="s">
        <v>2999</v>
      </c>
      <c r="C9" s="1658"/>
      <c r="D9" s="3251"/>
      <c r="E9" s="1657"/>
      <c r="F9" s="1730"/>
      <c r="G9" s="1725"/>
      <c r="H9" s="1725"/>
      <c r="I9" s="1726"/>
      <c r="J9" s="1677"/>
      <c r="K9" s="1757"/>
      <c r="L9" s="1706"/>
      <c r="M9" s="1706"/>
      <c r="N9" s="1677"/>
      <c r="O9" s="1678"/>
      <c r="P9" s="1677"/>
      <c r="Q9" s="1677"/>
      <c r="R9" s="1677"/>
      <c r="S9" s="1677"/>
      <c r="T9" s="1677"/>
      <c r="U9" s="1677"/>
    </row>
    <row r="10" spans="1:21" ht="15" thickTop="1">
      <c r="A10" s="1727" t="s">
        <v>1998</v>
      </c>
      <c r="B10" s="1702"/>
      <c r="C10" s="1659"/>
      <c r="D10" s="1650"/>
      <c r="E10" s="1660" t="s">
        <v>1945</v>
      </c>
      <c r="F10" s="1661"/>
      <c r="G10" s="1728"/>
      <c r="H10" s="1729"/>
      <c r="I10" s="1650"/>
      <c r="J10" s="1677"/>
      <c r="K10" s="1757"/>
      <c r="L10" s="1706"/>
      <c r="M10" s="1706"/>
      <c r="N10" s="1677"/>
      <c r="O10" s="1678"/>
      <c r="P10" s="1677"/>
      <c r="Q10" s="1677"/>
      <c r="R10" s="1677"/>
      <c r="S10" s="1677"/>
      <c r="T10" s="1677"/>
      <c r="U10" s="1677"/>
    </row>
    <row r="11" spans="1:21">
      <c r="A11" s="1680" t="s">
        <v>1999</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47"/>
      <c r="C12" s="3248"/>
      <c r="D12" s="3249"/>
      <c r="E12" s="1682" t="s">
        <v>2060</v>
      </c>
      <c r="F12" s="3265" t="s">
        <v>2889</v>
      </c>
      <c r="G12" s="3266"/>
      <c r="H12" s="3266"/>
      <c r="I12" s="3267"/>
      <c r="J12" s="1677"/>
      <c r="K12" s="1757"/>
      <c r="L12" s="1706"/>
      <c r="M12" s="1706"/>
      <c r="N12" s="1677"/>
      <c r="O12" s="1678"/>
      <c r="P12" s="1677"/>
      <c r="Q12" s="1677"/>
      <c r="R12" s="1677"/>
      <c r="S12" s="1677"/>
      <c r="T12" s="1677"/>
      <c r="U12" s="1677"/>
    </row>
    <row r="13" spans="1:21">
      <c r="A13" s="1670" t="s">
        <v>2058</v>
      </c>
      <c r="B13" s="3247"/>
      <c r="C13" s="3248"/>
      <c r="D13" s="3249"/>
      <c r="E13" s="1682" t="s">
        <v>2060</v>
      </c>
      <c r="F13" s="3265" t="s">
        <v>2890</v>
      </c>
      <c r="G13" s="3266"/>
      <c r="H13" s="3266"/>
      <c r="I13" s="3267"/>
      <c r="J13" s="1677"/>
      <c r="K13" s="1757"/>
      <c r="L13" s="1706"/>
      <c r="M13" s="1706"/>
      <c r="N13" s="1677"/>
      <c r="O13" s="1678"/>
      <c r="P13" s="1677"/>
      <c r="Q13" s="1677"/>
      <c r="R13" s="1677"/>
      <c r="S13" s="1677"/>
      <c r="T13" s="1677"/>
      <c r="U13" s="1677"/>
    </row>
    <row r="14" spans="1:21">
      <c r="A14" s="1644" t="s">
        <v>2061</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28.5">
      <c r="A16" s="1663" t="s">
        <v>1946</v>
      </c>
      <c r="B16" s="1664" t="s">
        <v>2990</v>
      </c>
      <c r="C16" s="1682" t="s">
        <v>1947</v>
      </c>
      <c r="D16" s="2609" t="s">
        <v>1948</v>
      </c>
      <c r="E16" s="1705" t="s">
        <v>2998</v>
      </c>
      <c r="F16" s="1705"/>
      <c r="G16" s="1705"/>
      <c r="H16" s="1705"/>
      <c r="I16" s="1669" t="s">
        <v>1953</v>
      </c>
      <c r="J16" s="1677"/>
      <c r="K16" s="2419" t="str">
        <f>IF(D17="","",D16&amp;TEXT(D17,"yyyy年m月d日;;"))</f>
        <v/>
      </c>
      <c r="L16" s="1682" t="str">
        <f>IF(OR(K16="",M16=""),"","、")</f>
        <v/>
      </c>
      <c r="M16" s="2419" t="str">
        <f>IF(E17="","",E16&amp;TEXT(E17,"yyyy年m月d日;;"))</f>
        <v>商业2057年3月31日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1954</v>
      </c>
      <c r="D17" s="1683"/>
      <c r="E17" s="1683">
        <v>57435</v>
      </c>
      <c r="F17" s="1683"/>
      <c r="G17" s="1683"/>
      <c r="H17" s="1683"/>
      <c r="I17" s="1683"/>
      <c r="J17" s="1677"/>
      <c r="K17" s="2418" t="str">
        <f>CONCATENATE(K16,L16,M16,N16,O16,P16,Q16,R16,S16,T16,,U16)</f>
        <v>商业2057年3月31日</v>
      </c>
      <c r="L17" s="1706"/>
      <c r="M17" s="1706"/>
      <c r="N17" s="1677"/>
      <c r="O17" s="1678"/>
      <c r="P17" s="1677"/>
      <c r="Q17" s="1677"/>
      <c r="R17" s="1677"/>
      <c r="S17" s="1677"/>
      <c r="T17" s="1677"/>
      <c r="U17" s="1677"/>
    </row>
    <row r="18" spans="1:21">
      <c r="A18" s="1746"/>
      <c r="B18" s="1665"/>
      <c r="C18" s="1666" t="s">
        <v>1955</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1956</v>
      </c>
      <c r="D19" s="1741" t="str">
        <f>IF(B16="出让",IF(D17="","",ROUNDDOWN(MIN((D17-$D$3)/365,D18),2)),D18)</f>
        <v/>
      </c>
      <c r="E19" s="1668">
        <f>IF(B16="出让",IF(E17="","",ROUNDDOWN(MIN((E17-$D$3)/365,E18),2)),E18)</f>
        <v>37.53</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62"/>
      <c r="E20" s="3263"/>
      <c r="F20" s="3263"/>
      <c r="G20" s="3263"/>
      <c r="H20" s="3263"/>
      <c r="I20" s="3264"/>
      <c r="J20" s="1677"/>
      <c r="K20" s="1757"/>
      <c r="L20" s="1706"/>
      <c r="M20" s="1706"/>
      <c r="N20" s="1677"/>
      <c r="O20" s="1678"/>
      <c r="P20" s="1677"/>
      <c r="Q20" s="1677"/>
      <c r="R20" s="1677"/>
      <c r="S20" s="1677"/>
      <c r="T20" s="1677"/>
      <c r="U20" s="1677"/>
    </row>
    <row r="21" spans="1:21">
      <c r="A21" s="1746" t="s">
        <v>1957</v>
      </c>
      <c r="B21" s="1747" t="s">
        <v>1958</v>
      </c>
      <c r="C21" s="1742">
        <f>'数据-汇总表'!E3</f>
        <v>92723.37</v>
      </c>
      <c r="D21" s="1743" t="s">
        <v>1959</v>
      </c>
      <c r="E21" s="3252" t="s">
        <v>1997</v>
      </c>
      <c r="F21" s="3253"/>
      <c r="G21" s="3253"/>
      <c r="H21" s="3253"/>
      <c r="I21" s="3254"/>
      <c r="J21" s="1677"/>
      <c r="K21" s="1757"/>
      <c r="L21" s="1706"/>
      <c r="M21" s="1706"/>
      <c r="N21" s="1677"/>
      <c r="O21" s="1678"/>
      <c r="P21" s="1677"/>
      <c r="Q21" s="1677"/>
      <c r="R21" s="1677"/>
      <c r="S21" s="1677"/>
      <c r="T21" s="1677"/>
      <c r="U21" s="1677"/>
    </row>
    <row r="22" spans="1:21">
      <c r="A22" s="3096" t="s">
        <v>951</v>
      </c>
      <c r="B22" s="1644" t="s">
        <v>1960</v>
      </c>
      <c r="C22" s="1669">
        <f>'数据-汇总表'!D3</f>
        <v>61815.58</v>
      </c>
      <c r="D22" s="1670" t="s">
        <v>1959</v>
      </c>
      <c r="E22" s="3252" t="s">
        <v>2891</v>
      </c>
      <c r="F22" s="3253"/>
      <c r="G22" s="3253"/>
      <c r="H22" s="3253"/>
      <c r="I22" s="3254"/>
      <c r="J22" s="1677"/>
      <c r="K22" s="1757"/>
      <c r="L22" s="1706"/>
      <c r="M22" s="1706"/>
      <c r="N22" s="1677"/>
      <c r="O22" s="1678"/>
      <c r="P22" s="1677"/>
      <c r="Q22" s="1677"/>
      <c r="R22" s="1677"/>
      <c r="S22" s="1677"/>
      <c r="T22" s="1677"/>
      <c r="U22" s="1677"/>
    </row>
    <row r="23" spans="1:21" ht="43.5"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55" t="s">
        <v>1965</v>
      </c>
      <c r="C24" s="3256"/>
      <c r="D24" s="3257" t="s">
        <v>1966</v>
      </c>
      <c r="E24" s="3258"/>
      <c r="F24" s="1691" t="s">
        <v>1967</v>
      </c>
      <c r="G24" s="1677"/>
      <c r="H24" s="1677"/>
      <c r="I24" s="1690"/>
      <c r="J24" s="1677"/>
      <c r="K24" s="3243"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1969</v>
      </c>
      <c r="D25" s="1693"/>
      <c r="E25" s="1694" t="s">
        <v>951</v>
      </c>
      <c r="F25" s="1695"/>
      <c r="G25" s="1677"/>
      <c r="H25" s="1677"/>
      <c r="I25" s="1690"/>
      <c r="J25" s="1677"/>
      <c r="K25" s="3243"/>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1970</v>
      </c>
      <c r="C26" s="1692" t="s">
        <v>2325</v>
      </c>
      <c r="D26" s="1643"/>
      <c r="E26" s="1643"/>
      <c r="F26" s="1671"/>
      <c r="G26" s="1677"/>
      <c r="H26" s="1677"/>
      <c r="I26" s="1690"/>
      <c r="J26" s="1677"/>
      <c r="K26" s="3243"/>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4"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5"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5" t="s">
        <v>1974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1975</v>
      </c>
      <c r="C30" s="1700"/>
      <c r="D30" s="2616" t="s">
        <v>1975</v>
      </c>
      <c r="E30" s="1701"/>
      <c r="F30" s="1672"/>
      <c r="G30" s="1725"/>
      <c r="H30" s="1725"/>
      <c r="I30" s="1726"/>
      <c r="J30" s="1677"/>
      <c r="K30" s="1757"/>
      <c r="L30" s="1706"/>
      <c r="M30" s="1706"/>
      <c r="N30" s="1677"/>
      <c r="O30" s="1678"/>
      <c r="P30" s="1677"/>
      <c r="Q30" s="1677"/>
      <c r="R30" s="1677"/>
      <c r="S30" s="1677"/>
      <c r="T30" s="1677"/>
      <c r="U30" s="1677"/>
    </row>
    <row r="31" spans="1:21" ht="15" thickTop="1">
      <c r="A31" s="3229" t="s">
        <v>2000</v>
      </c>
      <c r="B31" s="1747" t="s">
        <v>2001</v>
      </c>
      <c r="C31" s="3268"/>
      <c r="D31" s="3269"/>
      <c r="E31" s="1677"/>
      <c r="F31" s="1677"/>
      <c r="G31" s="1677"/>
      <c r="H31" s="1677"/>
      <c r="I31" s="1690"/>
      <c r="J31" s="1677"/>
      <c r="K31" s="2421"/>
      <c r="L31" s="1677"/>
      <c r="M31" s="1677"/>
      <c r="N31" s="1677"/>
      <c r="O31" s="1677"/>
      <c r="P31" s="1677"/>
      <c r="Q31" s="1677"/>
      <c r="R31" s="1677"/>
      <c r="S31" s="1677"/>
      <c r="T31" s="1677"/>
      <c r="U31" s="1677"/>
    </row>
    <row r="32" spans="1:21">
      <c r="A32" s="3229"/>
      <c r="B32" s="1644" t="s">
        <v>2002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29"/>
      <c r="B33" s="1644" t="s">
        <v>2003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0"/>
      <c r="B34" s="1644" t="s">
        <v>2004</v>
      </c>
      <c r="C34" s="3231"/>
      <c r="D34" s="3232"/>
      <c r="E34" s="1677"/>
      <c r="F34" s="1677"/>
      <c r="G34" s="1677"/>
      <c r="H34" s="1677"/>
      <c r="I34" s="1690"/>
      <c r="J34" s="1677"/>
      <c r="K34" s="2421"/>
      <c r="L34" s="1677"/>
      <c r="M34" s="1677"/>
      <c r="N34" s="1677"/>
      <c r="O34" s="1677"/>
      <c r="P34" s="1677"/>
      <c r="Q34" s="1677"/>
      <c r="R34" s="1677"/>
      <c r="S34" s="1677"/>
      <c r="T34" s="1677"/>
      <c r="U34" s="1677"/>
    </row>
    <row r="35" spans="1:21">
      <c r="A35" s="3233" t="s">
        <v>846</v>
      </c>
      <c r="B35" s="1705"/>
      <c r="C35" s="1759" t="str">
        <f>IF(B35="场地平整","——","具体情况：")</f>
        <v>具体情况：</v>
      </c>
      <c r="D35" s="3235"/>
      <c r="E35" s="3236"/>
      <c r="F35" s="3236"/>
      <c r="G35" s="3236"/>
      <c r="H35" s="3236"/>
      <c r="I35" s="3237"/>
      <c r="J35" s="1677"/>
      <c r="K35" s="1758"/>
      <c r="L35" s="1706"/>
      <c r="M35" s="1706"/>
      <c r="N35" s="1677"/>
      <c r="O35" s="1678"/>
      <c r="P35" s="1677"/>
      <c r="Q35" s="1677"/>
      <c r="R35" s="1677"/>
      <c r="S35" s="1677"/>
      <c r="T35" s="1677"/>
      <c r="U35" s="1677"/>
    </row>
    <row r="36" spans="1:21">
      <c r="A36" s="3229"/>
      <c r="B36" s="3238" t="s">
        <v>2053</v>
      </c>
      <c r="C36" s="3239"/>
      <c r="D36" s="1775"/>
      <c r="E36" s="3240"/>
      <c r="F36" s="3240"/>
      <c r="G36" s="1670" t="str">
        <f>IF(B35="场地未平整","估价结果处理","")</f>
        <v/>
      </c>
      <c r="H36" s="3241"/>
      <c r="I36" s="3241"/>
      <c r="J36" s="1677"/>
      <c r="K36" s="1758"/>
      <c r="L36" s="1706"/>
      <c r="M36" s="1706"/>
      <c r="N36" s="1677"/>
      <c r="O36" s="1678"/>
      <c r="P36" s="1677"/>
      <c r="Q36" s="1677"/>
      <c r="R36" s="1677"/>
      <c r="S36" s="1677"/>
      <c r="T36" s="1677"/>
      <c r="U36" s="1677"/>
    </row>
    <row r="37" spans="1:21" ht="28.5">
      <c r="A37" s="3229"/>
      <c r="B37" s="3259"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29"/>
      <c r="B38" s="3260"/>
      <c r="C38" s="1652" t="s">
        <v>849</v>
      </c>
      <c r="D38" s="1774">
        <f>ROUNDDOWN(MIN(('数据-取费表'!$B$2-D37)/365,D34),1)</f>
        <v>119.8</v>
      </c>
      <c r="E38" s="1710" t="s">
        <v>850</v>
      </c>
      <c r="F38" s="1677"/>
      <c r="G38" s="1677"/>
      <c r="H38" s="1677"/>
      <c r="I38" s="1690"/>
      <c r="J38" s="1677"/>
      <c r="K38" s="1758"/>
      <c r="L38" s="1677"/>
      <c r="M38" s="1677"/>
      <c r="N38" s="1677"/>
      <c r="O38" s="1677"/>
      <c r="P38" s="1677"/>
      <c r="Q38" s="1677"/>
      <c r="R38" s="1677"/>
      <c r="S38" s="1677"/>
      <c r="T38" s="1677"/>
      <c r="U38" s="1677"/>
    </row>
    <row r="39" spans="1:21">
      <c r="A39" s="3230"/>
      <c r="B39" s="3261"/>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42" t="s">
        <v>1984</v>
      </c>
      <c r="T40" s="1714" t="str">
        <f>NUMBERSTRING(7-K40,1)&amp;"通"</f>
        <v>七通</v>
      </c>
      <c r="U40" s="1677"/>
    </row>
    <row r="41" spans="1:21">
      <c r="A41" s="1646"/>
      <c r="B41" s="3234" t="s">
        <v>1720</v>
      </c>
      <c r="C41" s="3234"/>
      <c r="D41" s="3234"/>
      <c r="E41" s="3234"/>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2"/>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2892</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1" sqref="B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61815.58</v>
      </c>
      <c r="B3" s="22">
        <f>IF(C3="否",G5-AT5,G5)</f>
        <v>92723.37</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92723.37</v>
      </c>
      <c r="H5" s="27">
        <f t="shared" ref="H5:AT5" si="0">SUM(H13:H641)</f>
        <v>92723.37</v>
      </c>
      <c r="I5" s="27">
        <f t="shared" si="0"/>
        <v>92723.37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92723.37</v>
      </c>
      <c r="BA5" s="29">
        <f t="shared" si="1"/>
        <v>92723.37</v>
      </c>
      <c r="BB5" s="29">
        <f t="shared" si="1"/>
        <v>92723.37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61815.58</v>
      </c>
      <c r="F6" s="27" t="s">
        <v>1</v>
      </c>
      <c r="G6" s="27" t="s">
        <v>2</v>
      </c>
      <c r="H6" s="33">
        <f>SUMIF(I$12:AB$12,"总值",I6:AB6)</f>
        <v>61815.58</v>
      </c>
      <c r="I6" s="27">
        <f t="shared" ref="I6:AB6" si="2">ROUND($A$3*I5/$B$3,2)</f>
        <v>61815.58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61815.58</v>
      </c>
      <c r="AZ6" s="27" t="s">
        <v>3</v>
      </c>
      <c r="BA6" s="27">
        <f>ROUND($AY$6*BA5/$AZ$5,2)</f>
        <v>61815.58</v>
      </c>
      <c r="BB6" s="27">
        <f>ROUND($AY$6*BB5/$AZ$5,2)</f>
        <v>61815.58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3000</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2998</v>
      </c>
      <c r="J10" s="51"/>
      <c r="K10" s="2972"/>
      <c r="L10" s="51"/>
      <c r="M10" s="2972"/>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1677</v>
      </c>
      <c r="E13" s="27">
        <f t="shared" ref="E13:E20" si="6">IF($C$3="是",ROUND($A$3*G13/$B$3,2),ROUND($A$3*(G13-AT13)/$B$3,2))</f>
        <v>61815.58</v>
      </c>
      <c r="F13" s="81"/>
      <c r="G13" s="82">
        <f t="shared" ref="G13:G20" si="7">H13+AC13+AT13</f>
        <v>92723.37</v>
      </c>
      <c r="H13" s="33">
        <f t="shared" ref="H13:H20" si="8">SUMIF(I$12:AB$12,"总值",I13:AB13)</f>
        <v>92723.37</v>
      </c>
      <c r="I13" s="2969">
        <f>ROUND((A3*1.5),2)</f>
        <v>92723.37</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5">
        <f t="shared" ref="AY13:AY20" si="11">ROUND($AY$6*AZ13/$AZ$5,2)</f>
        <v>61815.58</v>
      </c>
      <c r="AZ13" s="27">
        <f t="shared" ref="AZ13:AZ20" si="12">BA13+BL13</f>
        <v>92723.37</v>
      </c>
      <c r="BA13" s="27">
        <f t="shared" ref="BA13:BA20" si="13">SUM(BB13:BK13)</f>
        <v>92723.37</v>
      </c>
      <c r="BB13" s="27">
        <f t="shared" ref="BB13:BB20" si="14">IF($D13="是",I13-J13,0)</f>
        <v>92723.37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t="s">
        <v>3001</v>
      </c>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40" sqref="F4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1" t="s">
        <v>203</v>
      </c>
      <c r="B2" s="3281"/>
      <c r="C2" s="3281"/>
      <c r="D2" s="1959" t="s">
        <v>204</v>
      </c>
      <c r="E2" s="106" t="s">
        <v>205</v>
      </c>
      <c r="F2" s="1968"/>
      <c r="G2" s="1193"/>
      <c r="H2" s="1194"/>
      <c r="I2" s="1195" t="s">
        <v>856</v>
      </c>
      <c r="J2" s="1968"/>
      <c r="K2" s="1968"/>
      <c r="L2" s="1968"/>
    </row>
    <row r="3" spans="1:16" ht="15.75" thickBot="1">
      <c r="A3" s="3282" t="s">
        <v>206</v>
      </c>
      <c r="B3" s="3282"/>
      <c r="C3" s="3282"/>
      <c r="D3" s="107">
        <f>'数据-基础表'!AY6</f>
        <v>61815.58</v>
      </c>
      <c r="E3" s="107">
        <f>'数据-基础表'!AZ5</f>
        <v>92723.37</v>
      </c>
      <c r="F3" s="1968"/>
      <c r="G3" s="279" t="s">
        <v>857</v>
      </c>
      <c r="H3" s="274" t="s">
        <v>858</v>
      </c>
      <c r="I3" s="1960">
        <f>ROUND('数据-基础表'!B3/'数据-基础表'!A3,2)</f>
        <v>1.5</v>
      </c>
      <c r="J3" s="1968"/>
      <c r="K3" s="1968"/>
      <c r="L3" s="1968"/>
    </row>
    <row r="4" spans="1:16" ht="15">
      <c r="A4" s="3283"/>
      <c r="B4" s="3284"/>
      <c r="C4" s="3285"/>
      <c r="D4" s="108" t="s">
        <v>204</v>
      </c>
      <c r="E4" s="109" t="s">
        <v>205</v>
      </c>
      <c r="F4" s="1968"/>
      <c r="G4" s="1196"/>
      <c r="H4" s="274" t="s">
        <v>859</v>
      </c>
      <c r="I4" s="1960">
        <f>ROUND(SUMIF('数据-基础表'!I9:AS9,"地上",'数据-基础表'!I5:AS5)/'数据-基础表'!A3,2)</f>
        <v>1.5</v>
      </c>
      <c r="J4" s="1968"/>
      <c r="K4" s="1968"/>
      <c r="L4" s="1968"/>
    </row>
    <row r="5" spans="1:16">
      <c r="A5" s="110" t="s">
        <v>207</v>
      </c>
      <c r="B5" s="3286" t="s">
        <v>230</v>
      </c>
      <c r="C5" s="3286"/>
      <c r="D5" s="111">
        <f>ROUND($D$3*E5/$E$3,2)</f>
        <v>0</v>
      </c>
      <c r="E5" s="112">
        <f>SUMIF('数据-基础表'!$11:$11,"住宅",'数据-基础表'!$5:$5)</f>
        <v>0</v>
      </c>
      <c r="F5" s="1968"/>
      <c r="G5" s="279" t="s">
        <v>860</v>
      </c>
      <c r="H5" s="274" t="s">
        <v>858</v>
      </c>
      <c r="I5" s="1960">
        <f>ROUND(E31/D31,2)</f>
        <v>1.5</v>
      </c>
      <c r="J5" s="1968"/>
      <c r="K5" s="1968"/>
      <c r="L5" s="1968"/>
    </row>
    <row r="6" spans="1:16" ht="15" thickBot="1">
      <c r="A6" s="113"/>
      <c r="B6" s="3286" t="s">
        <v>208</v>
      </c>
      <c r="C6" s="3286"/>
      <c r="D6" s="111">
        <f>ROUND($D$3*E6/$E$3,2)</f>
        <v>61815.58</v>
      </c>
      <c r="E6" s="112">
        <f>E3-E5</f>
        <v>92723.37</v>
      </c>
      <c r="F6" s="1968"/>
      <c r="G6" s="1196"/>
      <c r="H6" s="274" t="s">
        <v>859</v>
      </c>
      <c r="I6" s="1960">
        <f>ROUND(F31/D31,2)</f>
        <v>1.5</v>
      </c>
      <c r="J6" s="1968"/>
      <c r="K6" s="1968"/>
      <c r="L6" s="1968"/>
    </row>
    <row r="7" spans="1:16" ht="15">
      <c r="A7" s="3278"/>
      <c r="B7" s="3279"/>
      <c r="C7" s="3280"/>
      <c r="D7" s="108" t="s">
        <v>204</v>
      </c>
      <c r="E7" s="114" t="s">
        <v>231</v>
      </c>
      <c r="F7" s="1968"/>
      <c r="G7" s="1151" t="s">
        <v>1644</v>
      </c>
      <c r="H7" s="1152"/>
      <c r="I7" s="1830"/>
      <c r="J7" s="1968"/>
      <c r="K7" s="1968"/>
      <c r="L7" s="1968"/>
    </row>
    <row r="8" spans="1:16">
      <c r="A8" s="110" t="s">
        <v>209</v>
      </c>
      <c r="B8" s="115" t="s">
        <v>210</v>
      </c>
      <c r="C8" s="111" t="s">
        <v>211</v>
      </c>
      <c r="D8" s="111">
        <f t="shared" ref="D8:D15" si="0">ROUND($D$3*E8/$E$3,2)</f>
        <v>61815.58</v>
      </c>
      <c r="E8" s="116">
        <f>SUMIF('数据-基础表'!BB10:BK10,"地上",'数据-基础表'!BB5:BK5)</f>
        <v>92723.37</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61815.58</v>
      </c>
      <c r="E16" s="120">
        <f>SUM(E8:E15)</f>
        <v>92723.37</v>
      </c>
      <c r="F16" s="1968"/>
      <c r="G16" s="1970"/>
      <c r="H16" s="967" t="s">
        <v>219</v>
      </c>
      <c r="I16" s="968"/>
      <c r="J16" s="1968"/>
      <c r="K16" s="3272" t="s">
        <v>2565</v>
      </c>
      <c r="L16" s="3273"/>
      <c r="M16" s="3273"/>
      <c r="N16" s="3273"/>
      <c r="O16" s="3273"/>
      <c r="P16" s="3274"/>
    </row>
    <row r="17" spans="1:19" ht="15">
      <c r="A17" s="121" t="s">
        <v>216</v>
      </c>
      <c r="B17" s="122" t="s">
        <v>217</v>
      </c>
      <c r="C17" s="2282" t="s">
        <v>2312</v>
      </c>
      <c r="D17" s="108" t="s">
        <v>204</v>
      </c>
      <c r="E17" s="124" t="s">
        <v>205</v>
      </c>
      <c r="F17" s="125"/>
      <c r="G17" s="1361"/>
      <c r="H17" s="969" t="s">
        <v>218</v>
      </c>
      <c r="I17" s="970" t="s">
        <v>2311</v>
      </c>
      <c r="J17" s="1968"/>
      <c r="K17" s="3275" t="s">
        <v>2566</v>
      </c>
      <c r="L17" s="3276"/>
      <c r="M17" s="3277"/>
      <c r="N17" s="3275" t="s">
        <v>2567</v>
      </c>
      <c r="O17" s="3276"/>
      <c r="P17" s="3277"/>
      <c r="R17" s="2283" t="s">
        <v>2310</v>
      </c>
      <c r="S17" s="144"/>
    </row>
    <row r="18" spans="1:19" ht="15">
      <c r="A18" s="117"/>
      <c r="B18" s="128"/>
      <c r="C18" s="129"/>
      <c r="D18" s="2605"/>
      <c r="E18" s="130" t="s">
        <v>220</v>
      </c>
      <c r="F18" s="131" t="s">
        <v>221</v>
      </c>
      <c r="G18" s="1362" t="s">
        <v>222</v>
      </c>
      <c r="H18" s="971" t="s">
        <v>223</v>
      </c>
      <c r="I18" s="972" t="s">
        <v>224</v>
      </c>
      <c r="J18" s="1968"/>
      <c r="K18" s="2568" t="s">
        <v>2568</v>
      </c>
      <c r="L18" s="2569" t="s">
        <v>2569</v>
      </c>
      <c r="M18" s="2570" t="s">
        <v>2570</v>
      </c>
      <c r="N18" s="2568" t="s">
        <v>2568</v>
      </c>
      <c r="O18" s="2569" t="s">
        <v>2569</v>
      </c>
      <c r="P18" s="2570" t="s">
        <v>2570</v>
      </c>
      <c r="R18" s="2284" t="s">
        <v>2308</v>
      </c>
      <c r="S18" s="2284" t="s">
        <v>2309</v>
      </c>
    </row>
    <row r="19" spans="1:19">
      <c r="A19" s="133"/>
      <c r="B19" s="115" t="s">
        <v>225</v>
      </c>
      <c r="C19" s="2976" t="s">
        <v>3002</v>
      </c>
      <c r="D19" s="111">
        <f t="shared" ref="D19:D26" si="1">ROUND($D$3*E19/$E$3,2)</f>
        <v>61815.58</v>
      </c>
      <c r="E19" s="134">
        <f t="shared" ref="E19:E26" si="2">SUM(F19:G19)</f>
        <v>92723.37</v>
      </c>
      <c r="F19" s="135">
        <f>'数据-基础表'!I13</f>
        <v>92723.37</v>
      </c>
      <c r="G19" s="1363"/>
      <c r="H19" s="973">
        <f>ROUND($D$3*I19/$E$3,2)</f>
        <v>0</v>
      </c>
      <c r="I19" s="116">
        <f>IF($I$17="自定义",P19,M19)</f>
        <v>0</v>
      </c>
      <c r="J19" s="1968"/>
      <c r="K19" s="2571">
        <f t="shared" ref="K19:K26" si="3">ROUND(E$28*E19/E$27,2)</f>
        <v>0</v>
      </c>
      <c r="L19" s="274">
        <f t="shared" ref="L19:L26" si="4">ROUND(IF(COUNTIF(C19,"*住宅*")&gt;0,E$29*E19/E$32,0),2)</f>
        <v>0</v>
      </c>
      <c r="M19" s="2572">
        <f>K19+L19</f>
        <v>0</v>
      </c>
      <c r="N19" s="2573"/>
      <c r="O19" s="2574"/>
      <c r="P19" s="2575">
        <f>N19+O19</f>
        <v>0</v>
      </c>
      <c r="R19" s="274">
        <f t="shared" ref="R19:S26" si="5">D19+H19</f>
        <v>61815.58</v>
      </c>
      <c r="S19" s="2285">
        <f t="shared" si="5"/>
        <v>92723.37</v>
      </c>
    </row>
    <row r="20" spans="1:19">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0</v>
      </c>
      <c r="S20" s="2285">
        <f t="shared" si="5"/>
        <v>0</v>
      </c>
    </row>
    <row r="21" spans="1:19">
      <c r="A21" s="138"/>
      <c r="B21" s="115" t="s">
        <v>226</v>
      </c>
      <c r="C21" s="2976"/>
      <c r="D21" s="111">
        <f t="shared" si="1"/>
        <v>0</v>
      </c>
      <c r="E21" s="134">
        <f t="shared" si="2"/>
        <v>0</v>
      </c>
      <c r="F21" s="135"/>
      <c r="G21" s="1363"/>
      <c r="H21" s="973">
        <f t="shared" si="6"/>
        <v>0</v>
      </c>
      <c r="I21" s="116">
        <f t="shared" si="7"/>
        <v>0</v>
      </c>
      <c r="J21" s="1968"/>
      <c r="K21" s="2571">
        <f t="shared" si="3"/>
        <v>0</v>
      </c>
      <c r="L21" s="274">
        <f t="shared" si="4"/>
        <v>0</v>
      </c>
      <c r="M21" s="2572">
        <f t="shared" si="8"/>
        <v>0</v>
      </c>
      <c r="N21" s="2573"/>
      <c r="O21" s="2574"/>
      <c r="P21" s="2575">
        <f t="shared" si="9"/>
        <v>0</v>
      </c>
      <c r="R21" s="274">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79">
        <f t="shared" si="4"/>
        <v>0</v>
      </c>
      <c r="M26" s="146">
        <f t="shared" si="8"/>
        <v>0</v>
      </c>
      <c r="N26" s="2577"/>
      <c r="O26" s="2578"/>
      <c r="P26" s="2579">
        <f t="shared" si="9"/>
        <v>0</v>
      </c>
      <c r="R26" s="274">
        <f t="shared" si="5"/>
        <v>0</v>
      </c>
      <c r="S26" s="2285">
        <f t="shared" si="5"/>
        <v>0</v>
      </c>
    </row>
    <row r="27" spans="1:19" ht="15.75" thickBot="1">
      <c r="A27" s="138"/>
      <c r="B27" s="111"/>
      <c r="C27" s="127" t="s">
        <v>215</v>
      </c>
      <c r="D27" s="134">
        <f>SUM(D19:D26)</f>
        <v>61815.58</v>
      </c>
      <c r="E27" s="143">
        <f>IF(SUM(E19:E26)='数据-基础表'!BA5,SUM(E19:E26),IF(F27="地上面积有误","面积有误","地下面积有误"))</f>
        <v>92723.37</v>
      </c>
      <c r="F27" s="134">
        <f>IF(SUM(F19:F26)=E8,SUM(F19:F26),"地上面积有误")</f>
        <v>92723.37</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61815.58</v>
      </c>
      <c r="S27" s="274">
        <f>IF(SUM(S19:S26)=$E$3,SUM(S19:S26),SUM(S19:S26)&amp;"误差"&amp;ROUND(SUM(S19:S26)-E3,2))</f>
        <v>92723.37</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61815.58</v>
      </c>
      <c r="E31" s="1367">
        <f>E27+E30</f>
        <v>92723.37</v>
      </c>
      <c r="F31" s="1368">
        <f>F27+F30</f>
        <v>92723.37</v>
      </c>
      <c r="G31" s="1369">
        <f>G27+G30</f>
        <v>0</v>
      </c>
      <c r="H31" s="1968"/>
      <c r="I31" s="1968"/>
      <c r="J31" s="1968"/>
      <c r="K31" s="1968"/>
      <c r="L31" s="1968"/>
    </row>
    <row r="32" spans="1:19">
      <c r="A32" s="1968"/>
      <c r="B32" s="2326" t="s">
        <v>2320</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5" sqref="K25"/>
    </sheetView>
  </sheetViews>
  <sheetFormatPr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9" style="1982"/>
    <col min="84" max="16384" width="9"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43734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商业</v>
      </c>
      <c r="B6" s="2321" t="str">
        <f>IF(A6=0,"","经营性")</f>
        <v>经营性</v>
      </c>
      <c r="C6" s="173" t="s">
        <v>2998</v>
      </c>
      <c r="D6" s="2292">
        <f>SUMIF(项目基本情况!D$15:I$15,C6,项目基本情况!D$18:I$18)</f>
        <v>40</v>
      </c>
      <c r="E6" s="2293">
        <f>IF(B6="","",SUMIF(项目基本情况!D$15:I$15,C6,项目基本情况!D$17:I$17))</f>
        <v>57435</v>
      </c>
      <c r="F6" s="174">
        <f>SUMIF(项目基本情况!D$15:I$15,C6,项目基本情况!D$19:I$19)</f>
        <v>37.53</v>
      </c>
      <c r="G6" s="175">
        <f>IF(ISERROR(ROUND(POWER(1+H6,D6-F6)*(POWER(1+H6,F6)-1)/(POWER(1+H6,D6)-1),3)),0,ROUND(POWER(1+H6,D6-F6)*(POWER(1+H6,F6)-1)/(POWER(1+H6,D6)-1),3))</f>
        <v>0.97899999999999998</v>
      </c>
      <c r="H6" s="2977">
        <v>0.05</v>
      </c>
      <c r="I6" s="2977">
        <v>5.5E-2</v>
      </c>
      <c r="J6" s="176">
        <v>8.5000000000000006E-2</v>
      </c>
      <c r="K6" s="179">
        <f>SUMIF('数据-汇总表'!C$19:C$33,'数据-取费表'!A6,'数据-汇总表'!E$19:E$33)</f>
        <v>92723.37</v>
      </c>
      <c r="L6" s="3197">
        <v>2700</v>
      </c>
      <c r="M6" s="177">
        <f t="shared" ref="M6:M14" si="0">ROUND(K6*L6/10000,0)</f>
        <v>25035</v>
      </c>
      <c r="N6" s="2979">
        <v>0</v>
      </c>
      <c r="O6" s="177">
        <f>IF($N$5="成新度","——",ROUND(M6*N6,0))</f>
        <v>0</v>
      </c>
      <c r="P6" s="178">
        <f>IF($N$5="成新度","——",M6-O6)</f>
        <v>25035</v>
      </c>
      <c r="Q6" s="3194">
        <v>0.2</v>
      </c>
      <c r="R6" s="179">
        <f>SUMIF('数据-汇总表'!C$19:C$33,A6,'数据-汇总表'!R$19:R$33)</f>
        <v>61815.58</v>
      </c>
      <c r="S6" s="132">
        <f>IF('数据-汇总表'!$I$17="按面积比例",SUMIF('数据-汇总表'!C$19:C$33,A6,'数据-汇总表'!K$19:K$33),SUMIF('数据-汇总表'!C$19:C$33,A6,'数据-汇总表'!N$19:N$33))</f>
        <v>0</v>
      </c>
      <c r="T6" s="2218" t="str">
        <f>IF($T$4="按面积比例",IF(ISERROR(ROUND($M$14*S6/S$16,0)),"0",ROUND($M$14*S6/S$16,0)),"需自行计算录入")</f>
        <v>0</v>
      </c>
      <c r="U6" s="3199">
        <v>1.3</v>
      </c>
      <c r="V6" s="3200">
        <v>2.5000000000000001E-2</v>
      </c>
      <c r="W6" s="3200">
        <v>0.15</v>
      </c>
      <c r="X6" s="2305"/>
      <c r="Y6" s="182">
        <v>1</v>
      </c>
      <c r="Z6" s="183"/>
      <c r="AA6" s="176"/>
      <c r="AB6" s="176"/>
      <c r="AC6" s="2308"/>
      <c r="AD6" s="184"/>
      <c r="AE6" s="971">
        <f ca="1">IF(AN6="",0,SUMIF(INDIRECT("'"&amp;AN6&amp;"'"&amp;"!E:E"),$AE$5,INDIRECT("'"&amp;AN6&amp;"'"&amp;"!F:F")))</f>
        <v>35.03</v>
      </c>
      <c r="AF6" s="141"/>
      <c r="AG6" s="1208">
        <f>IF(AF6="",0,AE6-AF6)</f>
        <v>0</v>
      </c>
      <c r="AH6" s="141"/>
      <c r="AI6" s="187">
        <v>365</v>
      </c>
      <c r="AJ6" s="188"/>
      <c r="AK6" s="189">
        <v>1.4999999999999999E-2</v>
      </c>
      <c r="AL6" s="190">
        <v>1.5E-3</v>
      </c>
      <c r="AM6" s="2991">
        <v>0.01</v>
      </c>
      <c r="AN6" s="2355" t="s">
        <v>3003</v>
      </c>
      <c r="AO6" s="1984"/>
      <c r="AP6" s="1199">
        <f>ROUND(1-1/(1+H6)^F6,3)</f>
        <v>0.84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hidden="1">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hidden="1">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hidden="1">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hidden="1">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hidden="1">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hidden="1">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hidden="1">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0.97899999999999998</v>
      </c>
      <c r="H16" s="203">
        <f>ROUND(SUMPRODUCT(H6:H13,K6:K13)/SUMPRODUCT((H6:H13&gt;0)*(K6:K13)),3)</f>
        <v>0.05</v>
      </c>
      <c r="I16" s="204"/>
      <c r="J16" s="204"/>
      <c r="K16" s="205">
        <f>SUM(K6:K15)</f>
        <v>92723.37</v>
      </c>
      <c r="L16" s="206">
        <f>ROUND(M16*10000/SUM(K6:K14),0)</f>
        <v>2700</v>
      </c>
      <c r="M16" s="206">
        <f>SUM(M6:M14)</f>
        <v>25035</v>
      </c>
      <c r="N16" s="207">
        <f>ROUND(SUMPRODUCT(M6:M14,N6:N14)/M16,3)</f>
        <v>0</v>
      </c>
      <c r="O16" s="206">
        <f>SUM(O6:O14)</f>
        <v>0</v>
      </c>
      <c r="P16" s="206">
        <f>SUM(P6:P14)</f>
        <v>25035</v>
      </c>
      <c r="Q16" s="208">
        <f>ROUND(SUMPRODUCT(Q6:Q13,K6:K13)/SUMPRODUCT((Q6:Q13&gt;0)*(K6:K13)),2)</f>
        <v>0.2</v>
      </c>
      <c r="R16" s="2295">
        <f>SUM(R6:R13)</f>
        <v>61815.58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2334</v>
      </c>
      <c r="D20" s="1977"/>
      <c r="E20" s="1976"/>
      <c r="F20" s="1976"/>
      <c r="G20" s="1976"/>
      <c r="H20" s="1976"/>
      <c r="I20" s="1976"/>
      <c r="J20" s="1976"/>
      <c r="K20" s="1975"/>
      <c r="L20" s="1975"/>
      <c r="M20" s="1973"/>
      <c r="N20" s="1973"/>
      <c r="O20" s="1973"/>
      <c r="P20" s="3188" t="s">
        <v>3257</v>
      </c>
      <c r="Q20" s="3188" t="s">
        <v>3260</v>
      </c>
      <c r="R20" s="1973"/>
      <c r="S20" s="1973"/>
      <c r="T20" s="3188" t="s">
        <v>3258</v>
      </c>
      <c r="U20" s="3188" t="s">
        <v>3260</v>
      </c>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3192">
        <v>1</v>
      </c>
      <c r="Q21" s="3192">
        <v>3.5</v>
      </c>
      <c r="R21" s="1973"/>
      <c r="S21" s="1973"/>
      <c r="T21" s="3190" t="s">
        <v>3259</v>
      </c>
      <c r="U21" s="1973">
        <v>1.5</v>
      </c>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3192">
        <v>2</v>
      </c>
      <c r="Q22" s="3192">
        <f>Q21*R22</f>
        <v>2.1</v>
      </c>
      <c r="R22" s="1973">
        <v>0.6</v>
      </c>
      <c r="S22" s="1973"/>
      <c r="T22" s="1973">
        <v>3</v>
      </c>
      <c r="U22" s="1973">
        <f>U21*V22</f>
        <v>0.89999999999999991</v>
      </c>
      <c r="V22" s="1973">
        <v>0.6</v>
      </c>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3"/>
      <c r="J23" s="1973"/>
      <c r="K23" s="1973"/>
      <c r="L23" s="1973"/>
      <c r="M23" s="1973"/>
      <c r="N23" s="1973"/>
      <c r="O23" s="1973"/>
      <c r="P23" s="3192">
        <v>3</v>
      </c>
      <c r="Q23" s="3192">
        <f>Q21*R23</f>
        <v>1.75</v>
      </c>
      <c r="R23" s="1973">
        <v>0.5</v>
      </c>
      <c r="S23" s="1973"/>
      <c r="T23" s="1973">
        <v>4</v>
      </c>
      <c r="U23" s="1973">
        <f>U21*V23</f>
        <v>0.75</v>
      </c>
      <c r="V23" s="1973">
        <v>0.5</v>
      </c>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3"/>
      <c r="J24" s="1973"/>
      <c r="K24" s="1973"/>
      <c r="L24" s="1973"/>
      <c r="M24" s="1973"/>
      <c r="N24" s="1973"/>
      <c r="O24" s="1973"/>
      <c r="P24" s="3192">
        <v>4</v>
      </c>
      <c r="Q24" s="3192">
        <f>Q21*R24</f>
        <v>1.4000000000000001</v>
      </c>
      <c r="R24" s="1973">
        <v>0.4</v>
      </c>
      <c r="S24" s="1973"/>
      <c r="T24" s="1973">
        <v>5</v>
      </c>
      <c r="U24" s="1973">
        <f>U21*V24</f>
        <v>0.75</v>
      </c>
      <c r="V24" s="1973">
        <v>0.5</v>
      </c>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v>5</v>
      </c>
      <c r="Q25" s="3192">
        <f>Q21*R25</f>
        <v>1.4000000000000001</v>
      </c>
      <c r="R25" s="1973">
        <v>0.4</v>
      </c>
      <c r="S25" s="1973"/>
      <c r="T25" s="1973"/>
      <c r="U25" s="1973">
        <f>(U21+U22+U23+U24)/5</f>
        <v>0.78</v>
      </c>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f>(Q21+Q22+Q23+Q24+Q25)/5</f>
        <v>2.0300000000000002</v>
      </c>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2337</v>
      </c>
      <c r="B27" s="227">
        <v>90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2338</v>
      </c>
      <c r="B28" s="229">
        <v>60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0.05</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2894</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3195">
        <v>1.4999999999999999E-2</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3196">
        <v>2.5000000000000001E-2</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39">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285</v>
      </c>
      <c r="B44" s="241">
        <v>0.05</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286</v>
      </c>
      <c r="B45" s="239">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287</v>
      </c>
      <c r="B46" s="239">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288</v>
      </c>
      <c r="B47" s="243"/>
      <c r="C47" s="3025"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289</v>
      </c>
      <c r="B48" s="245">
        <v>0.03</v>
      </c>
      <c r="C48" s="3026"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290</v>
      </c>
      <c r="B49" s="239">
        <v>5.0000000000000001E-4</v>
      </c>
      <c r="C49" s="3026"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291</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293</v>
      </c>
      <c r="B52" s="249">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0" t="s">
        <v>1325</v>
      </c>
      <c r="C53" s="3027" t="s">
        <v>2904</v>
      </c>
      <c r="D53" s="3028"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2906</v>
      </c>
      <c r="B54" s="3187">
        <v>15</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2907</v>
      </c>
      <c r="B55" s="3187">
        <v>9</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2908</v>
      </c>
      <c r="B56" s="3187">
        <v>5</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2909</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2910</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2911</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2915</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7"/>
      <c r="L64" s="57"/>
    </row>
    <row r="65" spans="1:12" s="1982" customFormat="1">
      <c r="A65" s="252"/>
      <c r="D65" s="1983"/>
      <c r="K65" s="57"/>
      <c r="L65" s="57"/>
    </row>
    <row r="66" spans="1:12" s="1982" customFormat="1">
      <c r="A66" s="252"/>
      <c r="D66" s="1983"/>
      <c r="K66" s="57"/>
      <c r="L66" s="57"/>
    </row>
    <row r="67" spans="1:12" s="1982" customFormat="1">
      <c r="A67" s="252"/>
      <c r="D67" s="1983"/>
      <c r="K67" s="57"/>
      <c r="L67" s="57"/>
    </row>
    <row r="68" spans="1:12" s="1982" customFormat="1">
      <c r="A68" s="252"/>
      <c r="D68" s="1983"/>
      <c r="K68" s="57"/>
      <c r="L68" s="57"/>
    </row>
    <row r="69" spans="1:12" s="1982" customFormat="1">
      <c r="A69" s="252"/>
      <c r="D69" s="1983"/>
      <c r="K69" s="57"/>
      <c r="L69" s="57"/>
    </row>
    <row r="70" spans="1:12" s="1982" customFormat="1">
      <c r="A70" s="252"/>
      <c r="D70" s="1983"/>
      <c r="K70" s="57"/>
      <c r="L70" s="57"/>
    </row>
    <row r="71" spans="1:12" s="1982" customFormat="1">
      <c r="A71" s="252"/>
      <c r="D71" s="1983"/>
      <c r="K71" s="57"/>
      <c r="L71" s="57"/>
    </row>
    <row r="72" spans="1:12" s="1982" customFormat="1">
      <c r="A72" s="252"/>
      <c r="D72" s="1983"/>
      <c r="K72" s="57"/>
      <c r="L72" s="57"/>
    </row>
    <row r="73" spans="1:12" s="1982" customFormat="1">
      <c r="A73" s="252"/>
      <c r="D73" s="1983"/>
      <c r="K73" s="57"/>
      <c r="L73" s="57"/>
    </row>
    <row r="74" spans="1:12" s="1982" customFormat="1">
      <c r="A74" s="252"/>
      <c r="D74" s="1983"/>
      <c r="K74" s="57"/>
      <c r="L74" s="57"/>
    </row>
    <row r="75" spans="1:12" s="1982" customFormat="1">
      <c r="A75" s="252"/>
      <c r="D75" s="1983"/>
      <c r="K75" s="57"/>
      <c r="L75" s="57"/>
    </row>
    <row r="76" spans="1:12" s="1982" customFormat="1">
      <c r="A76" s="252"/>
      <c r="D76" s="1983"/>
      <c r="K76" s="57"/>
      <c r="L76" s="57"/>
    </row>
    <row r="77" spans="1:12" s="1982" customFormat="1">
      <c r="A77" s="252"/>
      <c r="D77" s="1983"/>
      <c r="K77" s="57"/>
      <c r="L77" s="57"/>
    </row>
    <row r="78" spans="1:12" s="1982" customFormat="1">
      <c r="A78" s="252"/>
      <c r="D78" s="1983"/>
      <c r="K78" s="57"/>
      <c r="L78" s="57"/>
    </row>
    <row r="79" spans="1:12" s="1982" customFormat="1">
      <c r="A79" s="252"/>
      <c r="D79" s="1983"/>
      <c r="K79" s="57"/>
      <c r="L79" s="57"/>
    </row>
    <row r="80" spans="1:12" s="1982" customFormat="1">
      <c r="A80" s="252"/>
      <c r="D80" s="1983"/>
      <c r="K80" s="57"/>
      <c r="L80" s="57"/>
    </row>
    <row r="81" spans="1:12" s="1982" customFormat="1">
      <c r="A81" s="252"/>
      <c r="D81" s="1983"/>
      <c r="K81" s="57"/>
      <c r="L81" s="57"/>
    </row>
    <row r="82" spans="1:12" s="1982" customFormat="1">
      <c r="A82" s="252"/>
      <c r="D82" s="1983"/>
      <c r="K82" s="57"/>
      <c r="L82" s="57"/>
    </row>
    <row r="83" spans="1:12" s="1982" customFormat="1">
      <c r="A83" s="252"/>
      <c r="D83" s="1983"/>
      <c r="K83" s="57"/>
      <c r="L83" s="57"/>
    </row>
    <row r="84" spans="1:12" s="1982" customFormat="1">
      <c r="A84" s="252"/>
      <c r="D84" s="1983"/>
      <c r="K84" s="57"/>
      <c r="L84" s="57"/>
    </row>
    <row r="85" spans="1:12" s="1982" customFormat="1">
      <c r="A85" s="252"/>
      <c r="D85" s="1983"/>
      <c r="K85" s="57"/>
      <c r="L85" s="57"/>
    </row>
    <row r="86" spans="1:12" s="1982" customFormat="1">
      <c r="A86" s="252"/>
      <c r="D86" s="1983"/>
      <c r="K86" s="57"/>
      <c r="L86" s="57"/>
    </row>
    <row r="87" spans="1:12" s="1982" customFormat="1">
      <c r="A87" s="252"/>
      <c r="D87" s="1983"/>
      <c r="K87" s="57"/>
      <c r="L87" s="57"/>
    </row>
    <row r="88" spans="1:12" s="1982" customFormat="1">
      <c r="A88" s="252"/>
      <c r="D88" s="1983"/>
      <c r="K88" s="57"/>
      <c r="L88" s="57"/>
    </row>
    <row r="89" spans="1:12" s="1982" customFormat="1">
      <c r="A89" s="252"/>
      <c r="D89" s="1983"/>
      <c r="K89" s="57"/>
      <c r="L89" s="57"/>
    </row>
    <row r="90" spans="1:12" s="1982" customFormat="1">
      <c r="A90" s="252"/>
      <c r="D90" s="1983"/>
      <c r="K90" s="57"/>
      <c r="L90" s="57"/>
    </row>
    <row r="91" spans="1:12" s="1982" customFormat="1">
      <c r="A91" s="252"/>
      <c r="D91" s="1983"/>
      <c r="K91" s="57"/>
      <c r="L91" s="57"/>
    </row>
    <row r="92" spans="1:12" s="1982" customFormat="1">
      <c r="A92" s="252"/>
      <c r="D92" s="1983"/>
      <c r="K92" s="57"/>
      <c r="L92" s="57"/>
    </row>
    <row r="93" spans="1:12" s="1982" customFormat="1">
      <c r="A93" s="252"/>
      <c r="D93" s="1983"/>
      <c r="K93" s="57"/>
      <c r="L93" s="57"/>
    </row>
    <row r="94" spans="1:12" s="1982" customFormat="1">
      <c r="A94" s="252"/>
      <c r="D94" s="1983"/>
      <c r="K94" s="57"/>
      <c r="L94" s="57"/>
    </row>
    <row r="95" spans="1:12" s="1982" customFormat="1">
      <c r="A95" s="252"/>
      <c r="D95" s="1983"/>
      <c r="K95" s="57"/>
      <c r="L95" s="57"/>
    </row>
    <row r="96" spans="1:12" s="1982" customFormat="1">
      <c r="A96" s="252"/>
      <c r="D96" s="1983"/>
      <c r="K96" s="57"/>
      <c r="L96" s="57"/>
    </row>
    <row r="97" spans="1:12" s="1982" customFormat="1">
      <c r="A97" s="252"/>
      <c r="D97" s="1983"/>
      <c r="K97" s="57"/>
      <c r="L97" s="57"/>
    </row>
    <row r="98" spans="1:12" s="1982" customFormat="1">
      <c r="A98" s="252"/>
      <c r="D98" s="1983"/>
      <c r="K98" s="57"/>
      <c r="L98" s="57"/>
    </row>
    <row r="99" spans="1:12" s="1982" customFormat="1">
      <c r="A99" s="252"/>
      <c r="D99" s="1983"/>
      <c r="K99" s="57"/>
      <c r="L99" s="57"/>
    </row>
    <row r="100" spans="1:12" s="1982" customFormat="1">
      <c r="A100" s="252"/>
      <c r="D100" s="1983"/>
      <c r="K100" s="57"/>
      <c r="L100" s="57"/>
    </row>
    <row r="101" spans="1:12" s="1982" customFormat="1">
      <c r="A101" s="252"/>
      <c r="D101" s="1983"/>
      <c r="K101" s="57"/>
      <c r="L101" s="57"/>
    </row>
    <row r="102" spans="1:12" s="1982" customFormat="1">
      <c r="A102" s="252"/>
      <c r="D102" s="1983"/>
      <c r="K102" s="57"/>
      <c r="L102" s="57"/>
    </row>
    <row r="103" spans="1:12" s="1982" customFormat="1">
      <c r="A103" s="252"/>
      <c r="D103" s="1983"/>
      <c r="K103" s="57"/>
      <c r="L103" s="57"/>
    </row>
    <row r="104" spans="1:12" s="1982" customFormat="1">
      <c r="A104" s="252"/>
      <c r="D104" s="1983"/>
      <c r="K104" s="57"/>
      <c r="L104" s="57"/>
    </row>
    <row r="105" spans="1:12" s="1982" customFormat="1">
      <c r="A105" s="252"/>
      <c r="D105" s="1983"/>
      <c r="K105" s="57"/>
      <c r="L105" s="57"/>
    </row>
    <row r="106" spans="1:12" s="1982" customFormat="1">
      <c r="A106" s="252"/>
      <c r="D106" s="1983"/>
      <c r="K106" s="57"/>
      <c r="L106" s="57"/>
    </row>
    <row r="107" spans="1:12" s="1982" customFormat="1">
      <c r="A107" s="252"/>
      <c r="D107" s="1983"/>
      <c r="K107" s="57"/>
      <c r="L107" s="57"/>
    </row>
    <row r="108" spans="1:12" s="1982" customFormat="1">
      <c r="A108" s="252"/>
      <c r="D108" s="1983"/>
      <c r="K108" s="57"/>
      <c r="L108" s="57"/>
    </row>
    <row r="109" spans="1:12" s="1982" customFormat="1">
      <c r="A109" s="252"/>
      <c r="D109" s="1983"/>
      <c r="K109" s="57"/>
      <c r="L109" s="57"/>
    </row>
    <row r="110" spans="1:12" s="1982" customFormat="1">
      <c r="A110" s="252"/>
      <c r="D110" s="1983"/>
      <c r="K110" s="57"/>
      <c r="L110" s="57"/>
    </row>
    <row r="111" spans="1:12" s="1982" customFormat="1">
      <c r="A111" s="252"/>
      <c r="D111" s="1983"/>
      <c r="K111" s="57"/>
      <c r="L111" s="57"/>
    </row>
    <row r="112" spans="1:12" s="1982" customFormat="1">
      <c r="A112" s="252"/>
      <c r="D112" s="1983"/>
      <c r="K112" s="57"/>
      <c r="L112" s="57"/>
    </row>
    <row r="113" spans="1:12" s="1982" customFormat="1">
      <c r="A113" s="252"/>
      <c r="D113" s="1983"/>
      <c r="K113" s="57"/>
      <c r="L113" s="57"/>
    </row>
    <row r="114" spans="1:12" s="1982" customFormat="1">
      <c r="A114" s="252"/>
      <c r="D114" s="1983"/>
      <c r="K114" s="57"/>
      <c r="L114" s="57"/>
    </row>
    <row r="115" spans="1:12" s="1982" customFormat="1">
      <c r="A115" s="252"/>
      <c r="D115" s="1983"/>
      <c r="K115" s="57"/>
      <c r="L115" s="57"/>
    </row>
    <row r="116" spans="1:12" s="1982" customFormat="1">
      <c r="A116" s="252"/>
      <c r="D116" s="1983"/>
      <c r="K116" s="57"/>
      <c r="L116" s="57"/>
    </row>
    <row r="117" spans="1:12" s="1982" customFormat="1">
      <c r="A117" s="252"/>
      <c r="D117" s="1983"/>
      <c r="K117" s="57"/>
      <c r="L117" s="57"/>
    </row>
    <row r="118" spans="1:12" s="1982" customFormat="1">
      <c r="A118" s="252"/>
      <c r="D118" s="1983"/>
      <c r="K118" s="57"/>
      <c r="L118" s="57"/>
    </row>
    <row r="119" spans="1:12" s="1982" customFormat="1">
      <c r="A119" s="252"/>
      <c r="D119" s="1983"/>
      <c r="K119" s="57"/>
      <c r="L119" s="57"/>
    </row>
    <row r="120" spans="1:12" s="1982" customFormat="1">
      <c r="A120" s="252"/>
      <c r="D120" s="1983"/>
      <c r="K120" s="57"/>
      <c r="L120" s="57"/>
    </row>
    <row r="121" spans="1:12" s="1982" customFormat="1">
      <c r="A121" s="252"/>
      <c r="D121" s="1983"/>
      <c r="K121" s="57"/>
      <c r="L121" s="57"/>
    </row>
    <row r="122" spans="1:12" s="1982" customFormat="1">
      <c r="A122" s="252"/>
      <c r="D122" s="1983"/>
      <c r="K122" s="57"/>
      <c r="L122" s="57"/>
    </row>
    <row r="123" spans="1:12" s="1982" customFormat="1">
      <c r="A123" s="252"/>
      <c r="D123" s="1983"/>
      <c r="K123" s="57"/>
      <c r="L123" s="57"/>
    </row>
    <row r="124" spans="1:12" s="1982" customFormat="1">
      <c r="A124" s="252"/>
      <c r="D124" s="1983"/>
      <c r="K124" s="57"/>
      <c r="L124" s="57"/>
    </row>
    <row r="125" spans="1:12" s="1982" customFormat="1">
      <c r="A125" s="252"/>
      <c r="D125" s="1983"/>
      <c r="K125" s="57"/>
      <c r="L125" s="57"/>
    </row>
    <row r="126" spans="1:12" s="1982" customFormat="1">
      <c r="A126" s="252"/>
      <c r="D126" s="1983"/>
      <c r="K126" s="57"/>
      <c r="L126" s="57"/>
    </row>
    <row r="127" spans="1:12" s="1982" customFormat="1">
      <c r="A127" s="252"/>
      <c r="D127" s="1983"/>
      <c r="K127" s="57"/>
      <c r="L127" s="57"/>
    </row>
    <row r="128" spans="1:12" s="1982" customFormat="1">
      <c r="A128" s="252"/>
      <c r="D128" s="1983"/>
      <c r="K128" s="57"/>
      <c r="L128" s="57"/>
    </row>
    <row r="129" spans="1:12" s="1982" customFormat="1">
      <c r="A129" s="252"/>
      <c r="D129" s="1983"/>
      <c r="K129" s="57"/>
      <c r="L129" s="57"/>
    </row>
    <row r="130" spans="1:12" s="1982" customFormat="1">
      <c r="A130" s="252"/>
      <c r="D130" s="1983"/>
      <c r="K130" s="57"/>
      <c r="L130" s="57"/>
    </row>
    <row r="131" spans="1:12" s="1982" customFormat="1">
      <c r="A131" s="252"/>
      <c r="D131" s="1983"/>
      <c r="K131" s="57"/>
      <c r="L131" s="57"/>
    </row>
    <row r="132" spans="1:12" s="1982" customFormat="1">
      <c r="A132" s="252"/>
      <c r="D132" s="1983"/>
      <c r="K132" s="57"/>
      <c r="L132" s="57"/>
    </row>
    <row r="133" spans="1:12" s="1982" customFormat="1">
      <c r="A133" s="252"/>
      <c r="D133" s="1983"/>
      <c r="K133" s="57"/>
      <c r="L133" s="57"/>
    </row>
    <row r="134" spans="1:12" s="1982" customFormat="1">
      <c r="A134" s="252"/>
      <c r="D134" s="1983"/>
      <c r="K134" s="57"/>
      <c r="L134" s="57"/>
    </row>
    <row r="135" spans="1:12" s="1982" customFormat="1">
      <c r="A135" s="252"/>
      <c r="D135" s="1983"/>
      <c r="K135" s="57"/>
      <c r="L135" s="57"/>
    </row>
    <row r="136" spans="1:12" s="1982" customFormat="1">
      <c r="A136" s="252"/>
      <c r="D136" s="1983"/>
      <c r="K136" s="57"/>
      <c r="L136" s="57"/>
    </row>
    <row r="137" spans="1:12" s="1982" customFormat="1">
      <c r="A137" s="252"/>
      <c r="D137" s="1983"/>
      <c r="K137" s="57"/>
      <c r="L137" s="57"/>
    </row>
    <row r="138" spans="1:12" s="1982" customFormat="1">
      <c r="A138" s="252"/>
      <c r="D138" s="1983"/>
      <c r="K138" s="57"/>
      <c r="L138" s="57"/>
    </row>
    <row r="139" spans="1:12" s="1982" customFormat="1">
      <c r="A139" s="252"/>
      <c r="D139" s="1983"/>
      <c r="K139" s="57"/>
      <c r="L139" s="57"/>
    </row>
    <row r="140" spans="1:12" s="1982" customFormat="1">
      <c r="A140" s="252"/>
      <c r="D140" s="1983"/>
      <c r="K140" s="57"/>
      <c r="L140" s="57"/>
    </row>
    <row r="141" spans="1:12" s="1982" customFormat="1">
      <c r="A141" s="252"/>
      <c r="D141" s="1983"/>
      <c r="K141" s="57"/>
      <c r="L141" s="57"/>
    </row>
    <row r="142" spans="1:12" s="1982" customFormat="1">
      <c r="A142" s="252"/>
      <c r="D142" s="1983"/>
      <c r="K142" s="57"/>
      <c r="L142" s="57"/>
    </row>
    <row r="143" spans="1:12" s="1982" customFormat="1">
      <c r="A143" s="252"/>
      <c r="D143" s="1983"/>
      <c r="K143" s="57"/>
      <c r="L143" s="57"/>
    </row>
    <row r="144" spans="1:12" s="1982" customFormat="1">
      <c r="A144" s="252"/>
      <c r="D144" s="1983"/>
      <c r="K144" s="57"/>
      <c r="L144" s="57"/>
    </row>
    <row r="145" spans="1:12" s="1982" customFormat="1">
      <c r="A145" s="252"/>
      <c r="D145" s="1983"/>
      <c r="K145" s="57"/>
      <c r="L145" s="57"/>
    </row>
    <row r="146" spans="1:12" s="1982" customFormat="1">
      <c r="A146" s="252"/>
      <c r="D146" s="1983"/>
      <c r="K146" s="57"/>
      <c r="L146" s="57"/>
    </row>
    <row r="147" spans="1:12" s="1982" customFormat="1">
      <c r="A147" s="252"/>
      <c r="D147" s="1983"/>
      <c r="K147" s="57"/>
      <c r="L147" s="57"/>
    </row>
    <row r="148" spans="1:12" s="1982" customFormat="1">
      <c r="A148" s="252"/>
      <c r="D148" s="1983"/>
      <c r="K148" s="57"/>
      <c r="L148" s="57"/>
    </row>
    <row r="149" spans="1:12" s="1982" customFormat="1">
      <c r="A149" s="252"/>
      <c r="D149" s="1983"/>
      <c r="K149" s="57"/>
      <c r="L149" s="57"/>
    </row>
    <row r="150" spans="1:12" s="1982" customFormat="1">
      <c r="A150" s="252"/>
      <c r="D150" s="1983"/>
      <c r="K150" s="57"/>
      <c r="L150" s="57"/>
    </row>
    <row r="151" spans="1:12" s="1982" customFormat="1">
      <c r="A151" s="252"/>
      <c r="D151" s="1983"/>
      <c r="K151" s="57"/>
      <c r="L151" s="57"/>
    </row>
    <row r="152" spans="1:12" s="1982" customFormat="1">
      <c r="A152" s="252"/>
      <c r="D152" s="1983"/>
      <c r="K152" s="57"/>
      <c r="L152" s="57"/>
    </row>
    <row r="153" spans="1:12" s="1982" customFormat="1">
      <c r="A153" s="252"/>
      <c r="D153" s="1983"/>
      <c r="K153" s="57"/>
      <c r="L153" s="57"/>
    </row>
    <row r="154" spans="1:12" s="1982" customFormat="1">
      <c r="A154" s="252"/>
      <c r="D154" s="1983"/>
      <c r="K154" s="57"/>
      <c r="L154" s="57"/>
    </row>
    <row r="155" spans="1:12" s="1982" customFormat="1">
      <c r="A155" s="252"/>
      <c r="D155" s="1983"/>
      <c r="K155" s="57"/>
      <c r="L155" s="57"/>
    </row>
    <row r="156" spans="1:12" s="1982" customFormat="1">
      <c r="A156" s="252"/>
      <c r="D156" s="1983"/>
      <c r="K156" s="57"/>
      <c r="L156" s="57"/>
    </row>
    <row r="157" spans="1:12" s="1982" customFormat="1">
      <c r="A157" s="252"/>
      <c r="D157" s="1983"/>
      <c r="K157" s="57"/>
      <c r="L157" s="57"/>
    </row>
    <row r="158" spans="1:12" s="1982" customFormat="1">
      <c r="A158" s="252"/>
      <c r="D158" s="1983"/>
      <c r="K158" s="57"/>
      <c r="L158" s="57"/>
    </row>
    <row r="159" spans="1:12" s="1982" customFormat="1">
      <c r="A159" s="252"/>
      <c r="D159" s="1983"/>
      <c r="K159" s="57"/>
      <c r="L159" s="57"/>
    </row>
    <row r="160" spans="1:12" s="1982" customFormat="1">
      <c r="A160" s="252"/>
      <c r="D160" s="1983"/>
      <c r="K160" s="57"/>
      <c r="L160" s="57"/>
    </row>
    <row r="161" spans="1:12" s="1982" customFormat="1">
      <c r="A161" s="252"/>
      <c r="D161" s="1983"/>
      <c r="K161" s="57"/>
      <c r="L161" s="57"/>
    </row>
    <row r="162" spans="1:12" s="1982" customFormat="1">
      <c r="A162" s="252"/>
      <c r="D162" s="1983"/>
      <c r="K162" s="57"/>
      <c r="L162" s="57"/>
    </row>
    <row r="163" spans="1:12" s="1982" customFormat="1">
      <c r="A163" s="252"/>
      <c r="D163" s="1983"/>
      <c r="K163" s="57"/>
      <c r="L163" s="57"/>
    </row>
    <row r="164" spans="1:12" s="1982" customFormat="1">
      <c r="A164" s="252"/>
      <c r="D164" s="1983"/>
      <c r="K164" s="57"/>
      <c r="L164" s="57"/>
    </row>
    <row r="165" spans="1:12" s="1982" customFormat="1">
      <c r="A165" s="252"/>
      <c r="D165" s="1983"/>
      <c r="K165" s="57"/>
      <c r="L165" s="57"/>
    </row>
    <row r="166" spans="1:12" s="1982" customFormat="1">
      <c r="A166" s="252"/>
      <c r="D166" s="1983"/>
      <c r="K166" s="57"/>
      <c r="L166" s="57"/>
    </row>
    <row r="167" spans="1:12" s="1982" customFormat="1">
      <c r="A167" s="252"/>
      <c r="D167" s="1983"/>
      <c r="K167" s="57"/>
      <c r="L167" s="57"/>
    </row>
    <row r="168" spans="1:12" s="1982" customFormat="1">
      <c r="A168" s="252"/>
      <c r="D168" s="1983"/>
      <c r="K168" s="57"/>
      <c r="L168" s="57"/>
    </row>
    <row r="169" spans="1:12" s="1982" customFormat="1">
      <c r="A169" s="252"/>
      <c r="D169" s="1983"/>
      <c r="K169" s="57"/>
      <c r="L169" s="57"/>
    </row>
    <row r="170" spans="1:12" s="1982" customFormat="1">
      <c r="A170" s="252"/>
      <c r="D170" s="1983"/>
      <c r="K170" s="57"/>
      <c r="L170" s="57"/>
    </row>
    <row r="171" spans="1:12" s="1982" customFormat="1">
      <c r="A171" s="252"/>
      <c r="D171" s="1983"/>
      <c r="K171" s="57"/>
      <c r="L171" s="57"/>
    </row>
    <row r="172" spans="1:12" s="1982" customFormat="1">
      <c r="A172" s="252"/>
      <c r="D172" s="1983"/>
      <c r="K172" s="57"/>
      <c r="L172" s="57"/>
    </row>
    <row r="173" spans="1:12" s="1982" customFormat="1">
      <c r="A173" s="252"/>
      <c r="D173" s="1983"/>
      <c r="K173" s="57"/>
      <c r="L173" s="57"/>
    </row>
    <row r="174" spans="1:12" s="1982" customFormat="1">
      <c r="A174" s="252"/>
      <c r="D174" s="1983"/>
      <c r="K174" s="57"/>
      <c r="L174" s="57"/>
    </row>
    <row r="175" spans="1:12" s="1982" customFormat="1">
      <c r="A175" s="252"/>
      <c r="D175" s="1983"/>
      <c r="K175" s="57"/>
      <c r="L175" s="57"/>
    </row>
    <row r="176" spans="1:12" s="1982" customFormat="1">
      <c r="A176" s="252"/>
      <c r="D176" s="1983"/>
      <c r="K176" s="57"/>
      <c r="L176" s="57"/>
    </row>
    <row r="177" spans="1:12" s="1982" customFormat="1">
      <c r="A177" s="252"/>
      <c r="D177" s="1983"/>
      <c r="K177" s="57"/>
      <c r="L177" s="57"/>
    </row>
    <row r="178" spans="1:12" s="1982" customFormat="1">
      <c r="A178" s="252"/>
      <c r="D178" s="1983"/>
      <c r="K178" s="57"/>
      <c r="L178" s="57"/>
    </row>
    <row r="179" spans="1:12" s="1982" customFormat="1">
      <c r="A179" s="252"/>
      <c r="D179" s="1983"/>
      <c r="K179" s="57"/>
      <c r="L179" s="57"/>
    </row>
    <row r="180" spans="1:12" s="1982" customFormat="1">
      <c r="A180" s="252"/>
      <c r="D180" s="1983"/>
      <c r="K180" s="57"/>
      <c r="L180" s="57"/>
    </row>
    <row r="181" spans="1:12" s="1982" customFormat="1">
      <c r="A181" s="252"/>
      <c r="D181" s="1983"/>
      <c r="K181" s="57"/>
      <c r="L181" s="57"/>
    </row>
    <row r="182" spans="1:12" s="1982" customFormat="1">
      <c r="A182" s="252"/>
      <c r="D182" s="1983"/>
      <c r="K182" s="57"/>
      <c r="L182" s="57"/>
    </row>
    <row r="183" spans="1:12" s="1982" customFormat="1">
      <c r="A183" s="252"/>
      <c r="D183" s="1983"/>
      <c r="K183" s="57"/>
      <c r="L183" s="57"/>
    </row>
    <row r="184" spans="1:12" s="1982" customFormat="1">
      <c r="A184" s="252"/>
      <c r="D184" s="1983"/>
      <c r="K184" s="57"/>
      <c r="L184" s="57"/>
    </row>
    <row r="185" spans="1:12" s="1982" customFormat="1">
      <c r="A185" s="252"/>
      <c r="D185" s="1983"/>
      <c r="K185" s="57"/>
      <c r="L185" s="57"/>
    </row>
    <row r="186" spans="1:12" s="1982" customFormat="1">
      <c r="A186" s="252"/>
      <c r="D186" s="1983"/>
      <c r="K186" s="57"/>
      <c r="L186" s="57"/>
    </row>
    <row r="187" spans="1:12" s="1982" customFormat="1">
      <c r="A187" s="252"/>
      <c r="D187" s="1983"/>
      <c r="K187" s="57"/>
      <c r="L187" s="57"/>
    </row>
    <row r="188" spans="1:12" s="1982" customFormat="1">
      <c r="A188" s="252"/>
      <c r="D188" s="1983"/>
      <c r="K188" s="57"/>
      <c r="L188" s="57"/>
    </row>
    <row r="189" spans="1:12" s="1982" customFormat="1">
      <c r="A189" s="252"/>
      <c r="D189" s="1983"/>
      <c r="K189" s="57"/>
      <c r="L189" s="57"/>
    </row>
    <row r="190" spans="1:12" s="1982" customFormat="1">
      <c r="A190" s="252"/>
      <c r="D190" s="1983"/>
      <c r="K190" s="57"/>
      <c r="L190" s="57"/>
    </row>
    <row r="191" spans="1:12" s="1982" customFormat="1">
      <c r="A191" s="252"/>
      <c r="D191" s="1983"/>
      <c r="K191" s="57"/>
      <c r="L191" s="57"/>
    </row>
    <row r="192" spans="1:12" s="1982" customFormat="1">
      <c r="A192" s="252"/>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2" sqref="E22"/>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7" t="s">
        <v>1662</v>
      </c>
      <c r="B1" s="3288"/>
      <c r="C1" s="3288"/>
      <c r="D1" s="3288"/>
      <c r="E1" s="3288"/>
      <c r="F1" s="3288"/>
      <c r="G1" s="3288"/>
      <c r="H1" s="1986"/>
      <c r="I1" s="1987"/>
      <c r="J1" s="1988"/>
      <c r="K1" s="1986"/>
      <c r="L1" s="1987"/>
      <c r="M1" s="1988"/>
      <c r="N1" s="1986"/>
      <c r="O1" s="1987"/>
      <c r="P1" s="1988"/>
      <c r="Q1" s="1989"/>
      <c r="R1" s="1990"/>
    </row>
    <row r="2" spans="1:18" ht="14.25" thickBot="1">
      <c r="A2" s="1216"/>
      <c r="B2" s="1217"/>
      <c r="C2" s="1218" t="s">
        <v>1663</v>
      </c>
      <c r="D2" s="1219"/>
      <c r="E2" s="1220"/>
      <c r="F2" s="1221"/>
      <c r="G2" s="1218" t="s">
        <v>1664</v>
      </c>
      <c r="H2" s="1992"/>
      <c r="I2" s="1992"/>
      <c r="J2" s="1992"/>
      <c r="K2" s="1992"/>
      <c r="L2" s="1992"/>
      <c r="M2" s="1992"/>
      <c r="N2" s="1992"/>
      <c r="O2" s="1992"/>
      <c r="P2" s="1992"/>
      <c r="Q2" s="1992"/>
      <c r="R2" s="1992"/>
    </row>
    <row r="3" spans="1:18" ht="54">
      <c r="A3" s="1222" t="s">
        <v>1665</v>
      </c>
      <c r="B3" s="1223" t="s">
        <v>1652</v>
      </c>
      <c r="C3" s="3032" t="s">
        <v>2922</v>
      </c>
      <c r="D3" s="1993"/>
      <c r="E3" s="1224" t="s">
        <v>1665</v>
      </c>
      <c r="F3" s="1225" t="s">
        <v>1653</v>
      </c>
      <c r="G3" s="3036" t="s">
        <v>2921</v>
      </c>
      <c r="H3" s="1992"/>
      <c r="I3" s="1992"/>
      <c r="J3" s="1992"/>
      <c r="K3" s="1992"/>
      <c r="L3" s="1992"/>
      <c r="M3" s="1992"/>
      <c r="N3" s="1992"/>
      <c r="O3" s="1992"/>
      <c r="P3" s="1992"/>
      <c r="Q3" s="1992"/>
      <c r="R3" s="1992"/>
    </row>
    <row r="4" spans="1:18" ht="41.25">
      <c r="A4" s="1224"/>
      <c r="B4" s="1226" t="s">
        <v>1666</v>
      </c>
      <c r="C4" s="3033" t="s">
        <v>2923</v>
      </c>
      <c r="D4" s="1993"/>
      <c r="E4" s="1227"/>
      <c r="F4" s="1228" t="s">
        <v>1667</v>
      </c>
      <c r="G4" s="3034" t="s">
        <v>2918</v>
      </c>
      <c r="H4" s="1992"/>
      <c r="I4" s="1992"/>
      <c r="J4" s="1992"/>
      <c r="K4" s="1992"/>
      <c r="L4" s="1992"/>
      <c r="M4" s="1992"/>
      <c r="N4" s="1992"/>
      <c r="O4" s="1992"/>
      <c r="P4" s="1992"/>
      <c r="Q4" s="1992"/>
      <c r="R4" s="1992"/>
    </row>
    <row r="5" spans="1:18" ht="41.25">
      <c r="A5" s="1224"/>
      <c r="B5" s="1226" t="s">
        <v>1668</v>
      </c>
      <c r="C5" s="3033" t="s">
        <v>2924</v>
      </c>
      <c r="D5" s="1993"/>
      <c r="E5" s="1227"/>
      <c r="F5" s="1226" t="s">
        <v>2545</v>
      </c>
      <c r="G5" s="3034" t="s">
        <v>2919</v>
      </c>
      <c r="H5" s="1992"/>
      <c r="I5" s="1992"/>
      <c r="J5" s="1992"/>
      <c r="K5" s="1992"/>
      <c r="L5" s="1992"/>
      <c r="M5" s="1992"/>
      <c r="N5" s="1992"/>
      <c r="O5" s="1992"/>
      <c r="P5" s="1992"/>
      <c r="Q5" s="1992"/>
      <c r="R5" s="1992"/>
    </row>
    <row r="6" spans="1:18" ht="54">
      <c r="A6" s="1224"/>
      <c r="B6" s="1226" t="s">
        <v>1654</v>
      </c>
      <c r="C6" s="3034" t="s">
        <v>2918</v>
      </c>
      <c r="D6" s="1993"/>
      <c r="E6" s="1227"/>
      <c r="F6" s="1226" t="s">
        <v>2546</v>
      </c>
      <c r="G6" s="3034" t="s">
        <v>2916</v>
      </c>
      <c r="H6" s="1992"/>
      <c r="I6" s="1992"/>
      <c r="J6" s="1992"/>
      <c r="K6" s="1992"/>
      <c r="L6" s="1992"/>
      <c r="M6" s="1992"/>
      <c r="N6" s="1992"/>
      <c r="O6" s="1992"/>
      <c r="P6" s="1992"/>
      <c r="Q6" s="1992"/>
      <c r="R6" s="1992"/>
    </row>
    <row r="7" spans="1:18" ht="41.25" thickBot="1">
      <c r="A7" s="1224"/>
      <c r="B7" s="1226" t="s">
        <v>2545</v>
      </c>
      <c r="C7" s="3034" t="s">
        <v>2919</v>
      </c>
      <c r="D7" s="1994"/>
      <c r="E7" s="1229"/>
      <c r="F7" s="1230" t="s">
        <v>1669</v>
      </c>
      <c r="G7" s="3037" t="s">
        <v>2920</v>
      </c>
      <c r="H7" s="1992"/>
      <c r="I7" s="1992"/>
      <c r="J7" s="1992"/>
      <c r="K7" s="1992"/>
      <c r="L7" s="1992"/>
      <c r="M7" s="1992"/>
      <c r="N7" s="1992"/>
      <c r="O7" s="1992"/>
      <c r="P7" s="1992"/>
      <c r="Q7" s="1992"/>
      <c r="R7" s="1992"/>
    </row>
    <row r="8" spans="1:18" ht="27">
      <c r="A8" s="1224"/>
      <c r="B8" s="1226" t="s">
        <v>2546</v>
      </c>
      <c r="C8" s="3034" t="s">
        <v>2916</v>
      </c>
      <c r="D8" s="1994"/>
      <c r="E8" s="1994"/>
      <c r="F8" s="1539"/>
      <c r="G8" s="1539"/>
      <c r="H8" s="1992"/>
      <c r="I8" s="1992"/>
      <c r="J8" s="1992"/>
      <c r="K8" s="1992"/>
      <c r="L8" s="1992"/>
      <c r="M8" s="1992"/>
      <c r="N8" s="1992"/>
      <c r="O8" s="1992"/>
      <c r="P8" s="1992"/>
      <c r="Q8" s="1992"/>
      <c r="R8" s="1992"/>
    </row>
    <row r="9" spans="1:18" ht="40.5">
      <c r="A9" s="1224"/>
      <c r="B9" s="1226" t="s">
        <v>1655</v>
      </c>
      <c r="C9" s="3033" t="s">
        <v>2917</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19"/>
      <c r="E13" s="2541"/>
      <c r="F13" s="2541"/>
      <c r="G13" s="2541"/>
    </row>
    <row r="14" spans="1:18" ht="14.25" thickBot="1">
      <c r="A14" s="1233"/>
      <c r="B14" s="1234"/>
      <c r="C14" s="1235" t="s">
        <v>1663</v>
      </c>
      <c r="D14" s="1993"/>
      <c r="E14" s="1236"/>
      <c r="F14" s="1236"/>
      <c r="G14" s="1218" t="s">
        <v>1664</v>
      </c>
    </row>
    <row r="15" spans="1:18" ht="54">
      <c r="A15" s="2551" t="s">
        <v>1656</v>
      </c>
      <c r="B15" s="1237" t="s">
        <v>1652</v>
      </c>
      <c r="C15" s="1238" t="str">
        <f>C3</f>
        <v>估价对象周边居住用地比例、居住小区规模和社区发展完善程度，综合评价居住社区成熟度一般</v>
      </c>
      <c r="D15" s="1993"/>
      <c r="E15" s="2548" t="s">
        <v>1657</v>
      </c>
      <c r="F15" s="1237" t="s">
        <v>1672</v>
      </c>
      <c r="G15" s="1239" t="str">
        <f>G3</f>
        <v>估价对象位于XX开发区，园区建设成熟度XX，产业集聚程度XX</v>
      </c>
    </row>
    <row r="16" spans="1:18" ht="40.5">
      <c r="A16" s="2552"/>
      <c r="B16" s="1240" t="s">
        <v>1666</v>
      </c>
      <c r="C16" s="1241" t="str">
        <f>C4</f>
        <v>估价对象位于XX商圈，周边商业氛围成熟，人流量大，商业繁华度好</v>
      </c>
      <c r="D16" s="1993"/>
      <c r="E16" s="2549"/>
      <c r="F16" s="1242" t="s">
        <v>1667</v>
      </c>
      <c r="G16" s="1004" t="str">
        <f>G4</f>
        <v>估价对象周边道路状况、公共交通通达情况、停车便捷程度，综合评价交通便捷度较好</v>
      </c>
    </row>
    <row r="17" spans="1:7" ht="40.5">
      <c r="A17" s="2552"/>
      <c r="B17" s="1240" t="s">
        <v>1668</v>
      </c>
      <c r="C17" s="1241" t="str">
        <f>C5</f>
        <v>估价对象位于XX商圈，周边办公楼项目较多，入驻率高，办公集聚程度较好</v>
      </c>
      <c r="D17" s="1994"/>
      <c r="E17" s="2549"/>
      <c r="F17" s="1242" t="s">
        <v>1673</v>
      </c>
      <c r="G17" s="2749"/>
    </row>
    <row r="18" spans="1:7" ht="54">
      <c r="A18" s="2552"/>
      <c r="B18" s="1242" t="s">
        <v>1654</v>
      </c>
      <c r="C18" s="1004" t="str">
        <f>C6</f>
        <v>估价对象周边道路状况、公共交通通达情况、停车便捷程度，综合评价交通便捷度较好</v>
      </c>
      <c r="D18" s="1994"/>
      <c r="E18" s="2549"/>
      <c r="F18" s="1242" t="s">
        <v>1669</v>
      </c>
      <c r="G18" s="1004" t="str">
        <f>G7</f>
        <v>该园区内是否有污染型企业，绿化情况，卫生条件，整体环境状况判断</v>
      </c>
    </row>
    <row r="19" spans="1:7" ht="27">
      <c r="A19" s="2552"/>
      <c r="B19" s="1242" t="s">
        <v>1658</v>
      </c>
      <c r="C19" s="2749"/>
      <c r="D19" s="1993"/>
      <c r="E19" s="2549"/>
      <c r="F19" s="1226" t="s">
        <v>2545</v>
      </c>
      <c r="G19" s="1004" t="str">
        <f>G5</f>
        <v>估价对象所在区域公共配套设施齐备情况</v>
      </c>
    </row>
    <row r="20" spans="1:7" ht="40.5">
      <c r="A20" s="2552"/>
      <c r="B20" s="1242" t="s">
        <v>1659</v>
      </c>
      <c r="C20" s="1241" t="str">
        <f>C9</f>
        <v>区域自然环境：；人文环境；综合评价环境状况一般</v>
      </c>
      <c r="D20" s="1994"/>
      <c r="E20" s="2549"/>
      <c r="F20" s="1226" t="s">
        <v>2546</v>
      </c>
      <c r="G20" s="1004" t="str">
        <f>G6</f>
        <v>估价对象所在区域基础设施水平</v>
      </c>
    </row>
    <row r="21" spans="1:7" ht="27">
      <c r="A21" s="2552"/>
      <c r="B21" s="1226" t="s">
        <v>2545</v>
      </c>
      <c r="C21" s="1004" t="str">
        <f>C7</f>
        <v>估价对象所在区域公共配套设施齐备情况</v>
      </c>
      <c r="D21" s="1993"/>
      <c r="E21" s="2549"/>
      <c r="F21" s="1242" t="s">
        <v>1660</v>
      </c>
      <c r="G21" s="3038"/>
    </row>
    <row r="22" spans="1:7" ht="27">
      <c r="A22" s="2552"/>
      <c r="B22" s="1226" t="s">
        <v>2546</v>
      </c>
      <c r="C22" s="1004" t="str">
        <f>C8</f>
        <v>估价对象所在区域基础设施水平</v>
      </c>
      <c r="D22" s="1993"/>
      <c r="E22" s="2549"/>
      <c r="F22" s="1242" t="s">
        <v>1670</v>
      </c>
      <c r="G22" s="2749"/>
    </row>
    <row r="23" spans="1:7" ht="15" thickBot="1">
      <c r="A23" s="2552"/>
      <c r="B23" s="1242" t="s">
        <v>1660</v>
      </c>
      <c r="C23" s="3038"/>
      <c r="E23" s="2550"/>
      <c r="F23" s="1243" t="s">
        <v>1674</v>
      </c>
      <c r="G23" s="3039"/>
    </row>
    <row r="24" spans="1:7" ht="14.2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25" defaultRowHeight="13.5"/>
  <cols>
    <col min="1" max="1" width="24.375" customWidth="1"/>
  </cols>
  <sheetData>
    <row r="1" spans="1:9" ht="16.5">
      <c r="A1" s="2996" t="s">
        <v>2843</v>
      </c>
      <c r="B1" s="2996">
        <f>SUM(B14:B23)</f>
        <v>269891.46999999997</v>
      </c>
      <c r="C1" s="2997"/>
      <c r="D1" s="2997"/>
      <c r="E1" s="2997"/>
      <c r="F1" s="2997"/>
    </row>
    <row r="2" spans="1:9" ht="16.5">
      <c r="A2" s="2996" t="s">
        <v>2844</v>
      </c>
      <c r="B2" s="2996">
        <f>SUM(C14:C23)</f>
        <v>179927.65</v>
      </c>
      <c r="C2" s="2997"/>
      <c r="D2" s="2997"/>
      <c r="E2" s="2997"/>
      <c r="F2" s="2997"/>
    </row>
    <row r="3" spans="1:9" ht="16.5">
      <c r="A3" s="2996" t="s">
        <v>2845</v>
      </c>
      <c r="B3" s="2998">
        <f>项目基本情况!D3</f>
        <v>43734</v>
      </c>
      <c r="C3" s="2997"/>
      <c r="D3" s="2997"/>
      <c r="E3" s="2997"/>
      <c r="F3" s="2997"/>
    </row>
    <row r="4" spans="1:9" ht="33">
      <c r="A4" s="2996" t="s">
        <v>2846</v>
      </c>
      <c r="B4" s="2996" t="s">
        <v>2847</v>
      </c>
      <c r="C4" s="2996" t="s">
        <v>2848</v>
      </c>
      <c r="D4" s="2996" t="s">
        <v>2849</v>
      </c>
      <c r="E4" s="2997"/>
      <c r="F4" s="2997"/>
    </row>
    <row r="5" spans="1:9" ht="16.5">
      <c r="A5" s="2996" t="s">
        <v>2850</v>
      </c>
      <c r="B5" s="2996">
        <f ca="1">SUM(D14:D23)</f>
        <v>16221</v>
      </c>
      <c r="C5" s="2996">
        <f ca="1">ROUND(B5*10000/$B$1,0)</f>
        <v>601</v>
      </c>
      <c r="D5" s="2996">
        <f ca="1">ROUND(B5*10000/$B$2,0)</f>
        <v>902</v>
      </c>
      <c r="E5" s="2997"/>
      <c r="F5" s="2997"/>
    </row>
    <row r="6" spans="1:9" ht="16.5">
      <c r="A6" s="2996" t="s">
        <v>2851</v>
      </c>
      <c r="B6" s="2996">
        <f ca="1">SUM(G14:G23)</f>
        <v>16221</v>
      </c>
      <c r="C6" s="2996">
        <f t="shared" ref="C6:C8" ca="1" si="0">ROUND(B6*10000/$B$1,0)</f>
        <v>601</v>
      </c>
      <c r="D6" s="2996">
        <f t="shared" ref="D6:D8" ca="1" si="1">ROUND(B6*10000/$B$2,0)</f>
        <v>902</v>
      </c>
      <c r="E6" s="2997"/>
      <c r="F6" s="2997"/>
    </row>
    <row r="7" spans="1:9" ht="16.5">
      <c r="A7" s="2996" t="s">
        <v>2852</v>
      </c>
      <c r="B7" s="2996">
        <f>SUM(H14:H23)</f>
        <v>0</v>
      </c>
      <c r="C7" s="2996">
        <f t="shared" si="0"/>
        <v>0</v>
      </c>
      <c r="D7" s="2996">
        <f t="shared" si="1"/>
        <v>0</v>
      </c>
      <c r="E7" s="2997"/>
      <c r="F7" s="2997"/>
    </row>
    <row r="8" spans="1:9" ht="16.5">
      <c r="A8" s="2996" t="s">
        <v>2853</v>
      </c>
      <c r="B8" s="2996">
        <f>SUM(I14:I23)</f>
        <v>0</v>
      </c>
      <c r="C8" s="2996">
        <f t="shared" si="0"/>
        <v>0</v>
      </c>
      <c r="D8" s="2996">
        <f t="shared" si="1"/>
        <v>0</v>
      </c>
      <c r="E8" s="2997"/>
      <c r="F8" s="2997"/>
    </row>
    <row r="9" spans="1:9" ht="16.5">
      <c r="A9" s="2996" t="s">
        <v>2854</v>
      </c>
      <c r="B9" s="2999"/>
      <c r="C9" s="2997"/>
      <c r="D9" s="2997"/>
      <c r="E9" s="2997"/>
      <c r="F9" s="2997"/>
    </row>
    <row r="10" spans="1:9" ht="16.5">
      <c r="A10" s="2996" t="s">
        <v>2855</v>
      </c>
      <c r="B10" s="2999"/>
      <c r="C10" s="2997"/>
      <c r="D10" s="2997"/>
      <c r="E10" s="2997"/>
      <c r="F10" s="2997"/>
    </row>
    <row r="11" spans="1:9" ht="16.5">
      <c r="A11" s="2996" t="s">
        <v>2872</v>
      </c>
      <c r="B11" s="2999"/>
      <c r="C11" s="2997"/>
      <c r="D11" s="2997"/>
      <c r="E11" s="2997"/>
      <c r="F11" s="2997"/>
    </row>
    <row r="12" spans="1:9" ht="16.5">
      <c r="A12" s="2997"/>
      <c r="B12" s="2997"/>
      <c r="C12" s="2997"/>
      <c r="D12" s="2997"/>
      <c r="E12" s="2997"/>
      <c r="F12" s="2997"/>
    </row>
    <row r="13" spans="1:9" ht="33">
      <c r="A13" s="3002" t="s">
        <v>2871</v>
      </c>
      <c r="B13" s="3000" t="s">
        <v>2843</v>
      </c>
      <c r="C13" s="3000" t="s">
        <v>2844</v>
      </c>
      <c r="D13" s="3000" t="s">
        <v>2856</v>
      </c>
      <c r="E13" s="2996" t="s">
        <v>2870</v>
      </c>
      <c r="F13" s="2996" t="s">
        <v>2849</v>
      </c>
      <c r="G13" s="3000" t="s">
        <v>2857</v>
      </c>
      <c r="H13" s="3000" t="s">
        <v>2858</v>
      </c>
      <c r="I13" s="3000" t="s">
        <v>2859</v>
      </c>
    </row>
    <row r="14" spans="1:9" ht="16.5">
      <c r="A14" s="3003" t="s">
        <v>2869</v>
      </c>
      <c r="B14" s="3000">
        <f>典型户型修正!B22</f>
        <v>269891.46999999997</v>
      </c>
      <c r="C14" s="3000">
        <v>179927.65</v>
      </c>
      <c r="D14" s="3000">
        <f ca="1">典型户型修正!S22</f>
        <v>16221</v>
      </c>
      <c r="E14" s="3000">
        <f ca="1">ROUND(D14*10000/B14,0)</f>
        <v>601</v>
      </c>
      <c r="F14" s="3000">
        <f ca="1">ROUND(D14*10000/C14,0)</f>
        <v>902</v>
      </c>
      <c r="G14" s="3000">
        <f ca="1">D14</f>
        <v>16221</v>
      </c>
      <c r="H14" s="3000" t="str">
        <f>结果表!C45</f>
        <v>——</v>
      </c>
      <c r="I14" s="3000" t="str">
        <f>结果表!C46</f>
        <v>——</v>
      </c>
    </row>
    <row r="15" spans="1:9" ht="16.5">
      <c r="A15" s="3003" t="s">
        <v>2860</v>
      </c>
      <c r="B15" s="3004"/>
      <c r="C15" s="3004"/>
      <c r="D15" s="3004"/>
      <c r="E15" s="3000" t="e">
        <f t="shared" ref="E15:E23" si="2">ROUND(D15*10000/B15,0)</f>
        <v>#DIV/0!</v>
      </c>
      <c r="F15" s="3000" t="e">
        <f t="shared" ref="F15:F23" si="3">ROUND(D15*10000/C15,0)</f>
        <v>#DIV/0!</v>
      </c>
      <c r="G15" s="3001"/>
      <c r="H15" s="3001"/>
      <c r="I15" s="3004"/>
    </row>
    <row r="16" spans="1:9" ht="16.5">
      <c r="A16" s="3003" t="s">
        <v>2861</v>
      </c>
      <c r="B16" s="3004"/>
      <c r="C16" s="3004"/>
      <c r="D16" s="3004"/>
      <c r="E16" s="3000" t="e">
        <f t="shared" si="2"/>
        <v>#DIV/0!</v>
      </c>
      <c r="F16" s="3000" t="e">
        <f t="shared" si="3"/>
        <v>#DIV/0!</v>
      </c>
      <c r="G16" s="3001"/>
      <c r="H16" s="3001"/>
      <c r="I16" s="3004"/>
    </row>
    <row r="17" spans="1:9" ht="16.5">
      <c r="A17" s="3003" t="s">
        <v>2862</v>
      </c>
      <c r="B17" s="3004"/>
      <c r="C17" s="3004"/>
      <c r="D17" s="3004"/>
      <c r="E17" s="3000" t="e">
        <f t="shared" si="2"/>
        <v>#DIV/0!</v>
      </c>
      <c r="F17" s="3000" t="e">
        <f t="shared" si="3"/>
        <v>#DIV/0!</v>
      </c>
      <c r="G17" s="3001"/>
      <c r="H17" s="3001"/>
      <c r="I17" s="3004"/>
    </row>
    <row r="18" spans="1:9" ht="16.5">
      <c r="A18" s="3003" t="s">
        <v>2863</v>
      </c>
      <c r="B18" s="3004"/>
      <c r="C18" s="3004"/>
      <c r="D18" s="3004"/>
      <c r="E18" s="3000" t="e">
        <f t="shared" si="2"/>
        <v>#DIV/0!</v>
      </c>
      <c r="F18" s="3000" t="e">
        <f t="shared" si="3"/>
        <v>#DIV/0!</v>
      </c>
      <c r="G18" s="3004"/>
      <c r="H18" s="3004"/>
      <c r="I18" s="3004"/>
    </row>
    <row r="19" spans="1:9" ht="16.5">
      <c r="A19" s="3003" t="s">
        <v>2864</v>
      </c>
      <c r="B19" s="3004"/>
      <c r="C19" s="3004"/>
      <c r="D19" s="3004"/>
      <c r="E19" s="3000" t="e">
        <f t="shared" si="2"/>
        <v>#DIV/0!</v>
      </c>
      <c r="F19" s="3000" t="e">
        <f t="shared" si="3"/>
        <v>#DIV/0!</v>
      </c>
      <c r="G19" s="3004"/>
      <c r="H19" s="3004"/>
      <c r="I19" s="3004"/>
    </row>
    <row r="20" spans="1:9" ht="16.5">
      <c r="A20" s="3003" t="s">
        <v>2865</v>
      </c>
      <c r="B20" s="3004"/>
      <c r="C20" s="3004"/>
      <c r="D20" s="3004"/>
      <c r="E20" s="3000" t="e">
        <f t="shared" si="2"/>
        <v>#DIV/0!</v>
      </c>
      <c r="F20" s="3000" t="e">
        <f t="shared" si="3"/>
        <v>#DIV/0!</v>
      </c>
      <c r="G20" s="3004"/>
      <c r="H20" s="3004"/>
      <c r="I20" s="3004"/>
    </row>
    <row r="21" spans="1:9" ht="16.5">
      <c r="A21" s="3003" t="s">
        <v>2866</v>
      </c>
      <c r="B21" s="3004"/>
      <c r="C21" s="3004"/>
      <c r="D21" s="3004"/>
      <c r="E21" s="3000" t="e">
        <f t="shared" si="2"/>
        <v>#DIV/0!</v>
      </c>
      <c r="F21" s="3000" t="e">
        <f t="shared" si="3"/>
        <v>#DIV/0!</v>
      </c>
      <c r="G21" s="3004"/>
      <c r="H21" s="3004"/>
      <c r="I21" s="3004"/>
    </row>
    <row r="22" spans="1:9" ht="16.5">
      <c r="A22" s="3003" t="s">
        <v>2867</v>
      </c>
      <c r="B22" s="3004"/>
      <c r="C22" s="3004"/>
      <c r="D22" s="3004"/>
      <c r="E22" s="3000" t="e">
        <f t="shared" si="2"/>
        <v>#DIV/0!</v>
      </c>
      <c r="F22" s="3000" t="e">
        <f t="shared" si="3"/>
        <v>#DIV/0!</v>
      </c>
      <c r="G22" s="3004"/>
      <c r="H22" s="3004"/>
      <c r="I22" s="3004"/>
    </row>
    <row r="23" spans="1:9" ht="16.5">
      <c r="A23" s="3003" t="s">
        <v>2868</v>
      </c>
      <c r="B23" s="3004"/>
      <c r="C23" s="3004"/>
      <c r="D23" s="3004"/>
      <c r="E23" s="2996" t="e">
        <f t="shared" si="2"/>
        <v>#DIV/0!</v>
      </c>
      <c r="F23" s="2996" t="e">
        <f t="shared" si="3"/>
        <v>#DIV/0!</v>
      </c>
      <c r="G23" s="3004"/>
      <c r="H23" s="3004"/>
      <c r="I23" s="3004"/>
    </row>
  </sheetData>
  <sheetProtection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H27" sqref="H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2054</v>
      </c>
      <c r="B1" s="1761"/>
      <c r="C1" s="1789" t="s">
        <v>2055</v>
      </c>
      <c r="D1" s="1790"/>
      <c r="E1" s="1789" t="s">
        <v>2056</v>
      </c>
      <c r="F1" s="1791"/>
      <c r="G1" s="310"/>
      <c r="H1" s="310"/>
      <c r="I1" s="310"/>
      <c r="J1" s="2013"/>
      <c r="K1" s="2013"/>
      <c r="L1" s="2013"/>
      <c r="M1" s="2013"/>
      <c r="N1" s="2013"/>
      <c r="O1" s="2013"/>
      <c r="P1" s="2013"/>
      <c r="Q1" s="2013"/>
      <c r="R1" s="2013"/>
      <c r="S1" s="2013"/>
      <c r="T1" s="2013"/>
      <c r="U1" s="2013"/>
      <c r="V1" s="2013"/>
    </row>
    <row r="2" spans="1:22" ht="21.75" customHeight="1" thickBot="1">
      <c r="A2" s="3329" t="str">
        <f>项目基本情况!K2</f>
        <v>出让国有建设用地使用权</v>
      </c>
      <c r="B2" s="3330"/>
      <c r="C2" s="3331"/>
      <c r="D2" s="3331"/>
      <c r="E2" s="3331"/>
      <c r="F2" s="3331"/>
      <c r="G2" s="3330"/>
      <c r="H2" s="3330"/>
      <c r="I2" s="3332"/>
      <c r="J2" s="2014"/>
      <c r="K2" s="2013"/>
      <c r="L2" s="2013"/>
      <c r="M2" s="2013"/>
      <c r="N2" s="2013"/>
      <c r="O2" s="2013"/>
      <c r="P2" s="2013"/>
      <c r="Q2" s="2013"/>
      <c r="R2" s="2013"/>
      <c r="S2" s="2013"/>
      <c r="T2" s="2013"/>
      <c r="U2" s="2013"/>
      <c r="V2" s="2013"/>
    </row>
    <row r="3" spans="1:22" ht="14.25">
      <c r="A3" s="3321" t="s">
        <v>298</v>
      </c>
      <c r="B3" s="3322"/>
      <c r="C3" s="3322"/>
      <c r="D3" s="3322"/>
      <c r="E3" s="3322"/>
      <c r="F3" s="3322"/>
      <c r="G3" s="3322"/>
      <c r="H3" s="3322"/>
      <c r="I3" s="3322"/>
      <c r="J3" s="2014"/>
      <c r="K3" s="2013"/>
      <c r="L3" s="2013"/>
      <c r="M3" s="2013"/>
      <c r="N3" s="2013"/>
      <c r="O3" s="2013"/>
      <c r="P3" s="2013"/>
      <c r="Q3" s="2013"/>
      <c r="R3" s="2013"/>
      <c r="S3" s="2013"/>
      <c r="T3" s="2013"/>
      <c r="U3" s="2013"/>
      <c r="V3" s="2013"/>
    </row>
    <row r="4" spans="1:22" ht="14.25">
      <c r="A4" s="257" t="s">
        <v>299</v>
      </c>
      <c r="B4" s="258" t="s">
        <v>300</v>
      </c>
      <c r="C4" s="259" t="s">
        <v>3004</v>
      </c>
      <c r="D4" s="259" t="s">
        <v>3005</v>
      </c>
      <c r="E4" s="3290" t="s">
        <v>301</v>
      </c>
      <c r="F4" s="3291"/>
      <c r="G4" s="3291"/>
      <c r="H4" s="3291"/>
      <c r="I4" s="3324"/>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89" t="s">
        <v>302</v>
      </c>
      <c r="B5" s="3315">
        <v>25</v>
      </c>
      <c r="C5" s="3313"/>
      <c r="D5" s="3320"/>
      <c r="E5" s="260" t="s">
        <v>303</v>
      </c>
      <c r="F5" s="261"/>
      <c r="G5" s="261"/>
      <c r="H5" s="261"/>
      <c r="I5" s="262"/>
      <c r="J5" s="2014"/>
      <c r="K5" s="2013"/>
      <c r="L5" s="2013"/>
      <c r="M5" s="2013"/>
      <c r="N5" s="2013"/>
      <c r="O5" s="2013"/>
      <c r="P5" s="2013"/>
      <c r="Q5" s="2013"/>
      <c r="R5" s="2013"/>
      <c r="S5" s="2013"/>
      <c r="T5" s="2013"/>
      <c r="U5" s="2013"/>
      <c r="V5" s="2013"/>
    </row>
    <row r="6" spans="1:22" ht="14.25">
      <c r="A6" s="3289"/>
      <c r="B6" s="3315"/>
      <c r="C6" s="3323"/>
      <c r="D6" s="3320"/>
      <c r="E6" s="260" t="s">
        <v>304</v>
      </c>
      <c r="F6" s="261"/>
      <c r="G6" s="261"/>
      <c r="H6" s="261"/>
      <c r="I6" s="262"/>
      <c r="J6" s="2014"/>
      <c r="K6" s="2013"/>
      <c r="L6" s="2013"/>
      <c r="M6" s="2013"/>
      <c r="N6" s="2013"/>
      <c r="O6" s="2013"/>
      <c r="P6" s="2013"/>
      <c r="Q6" s="2013"/>
      <c r="R6" s="2013"/>
      <c r="S6" s="2013"/>
      <c r="T6" s="2013"/>
      <c r="U6" s="2013"/>
      <c r="V6" s="2013"/>
    </row>
    <row r="7" spans="1:22" ht="14.25">
      <c r="A7" s="3289"/>
      <c r="B7" s="3315"/>
      <c r="C7" s="3314"/>
      <c r="D7" s="3320"/>
      <c r="E7" s="260" t="s">
        <v>305</v>
      </c>
      <c r="F7" s="261"/>
      <c r="G7" s="261"/>
      <c r="H7" s="261"/>
      <c r="I7" s="262"/>
      <c r="J7" s="2014"/>
      <c r="K7" s="2013"/>
      <c r="L7" s="2013"/>
      <c r="M7" s="2013"/>
      <c r="N7" s="2013"/>
      <c r="O7" s="2013"/>
      <c r="P7" s="2013"/>
      <c r="Q7" s="2013"/>
      <c r="R7" s="2013"/>
      <c r="S7" s="2013"/>
      <c r="T7" s="2013"/>
      <c r="U7" s="2013"/>
      <c r="V7" s="2013"/>
    </row>
    <row r="8" spans="1:22" ht="14.25">
      <c r="A8" s="3289" t="s">
        <v>306</v>
      </c>
      <c r="B8" s="3315">
        <v>15</v>
      </c>
      <c r="C8" s="3313"/>
      <c r="D8" s="3320"/>
      <c r="E8" s="260" t="s">
        <v>307</v>
      </c>
      <c r="F8" s="261"/>
      <c r="G8" s="261"/>
      <c r="H8" s="261"/>
      <c r="I8" s="262"/>
      <c r="J8" s="2014"/>
      <c r="K8" s="2013"/>
      <c r="L8" s="2013"/>
      <c r="M8" s="2013"/>
      <c r="N8" s="2013"/>
      <c r="O8" s="2013"/>
      <c r="P8" s="2013"/>
      <c r="Q8" s="2013"/>
      <c r="R8" s="2013"/>
      <c r="S8" s="2013"/>
      <c r="T8" s="2013"/>
      <c r="U8" s="2013"/>
      <c r="V8" s="2013"/>
    </row>
    <row r="9" spans="1:22" ht="14.25">
      <c r="A9" s="3289"/>
      <c r="B9" s="3315"/>
      <c r="C9" s="3314"/>
      <c r="D9" s="3320"/>
      <c r="E9" s="260" t="s">
        <v>308</v>
      </c>
      <c r="F9" s="261"/>
      <c r="G9" s="261"/>
      <c r="H9" s="261"/>
      <c r="I9" s="262"/>
      <c r="J9" s="2014"/>
      <c r="K9" s="2013"/>
      <c r="L9" s="2013"/>
      <c r="M9" s="2013"/>
      <c r="N9" s="2013"/>
      <c r="O9" s="2013"/>
      <c r="P9" s="2013"/>
      <c r="Q9" s="2013"/>
      <c r="R9" s="2013"/>
      <c r="S9" s="2013"/>
      <c r="T9" s="2013"/>
      <c r="U9" s="2013"/>
      <c r="V9" s="2013"/>
    </row>
    <row r="10" spans="1:22" ht="14.25">
      <c r="A10" s="3289" t="s">
        <v>309</v>
      </c>
      <c r="B10" s="3315">
        <v>15</v>
      </c>
      <c r="C10" s="3313"/>
      <c r="D10" s="3320"/>
      <c r="E10" s="260" t="s">
        <v>310</v>
      </c>
      <c r="F10" s="261"/>
      <c r="G10" s="261"/>
      <c r="H10" s="261"/>
      <c r="I10" s="262"/>
      <c r="J10" s="2014"/>
      <c r="K10" s="2013"/>
      <c r="L10" s="2013"/>
      <c r="M10" s="2013"/>
      <c r="N10" s="2013"/>
      <c r="O10" s="2013"/>
      <c r="P10" s="2013"/>
      <c r="Q10" s="2013"/>
      <c r="R10" s="2013"/>
      <c r="S10" s="2013"/>
      <c r="T10" s="2013"/>
      <c r="U10" s="2013"/>
      <c r="V10" s="2013"/>
    </row>
    <row r="11" spans="1:22" ht="14.25">
      <c r="A11" s="3289"/>
      <c r="B11" s="3315"/>
      <c r="C11" s="3314"/>
      <c r="D11" s="3320"/>
      <c r="E11" s="260" t="s">
        <v>311</v>
      </c>
      <c r="F11" s="261"/>
      <c r="G11" s="261"/>
      <c r="H11" s="261"/>
      <c r="I11" s="262"/>
      <c r="J11" s="2014"/>
      <c r="K11" s="2013"/>
      <c r="L11" s="2013"/>
      <c r="M11" s="2013"/>
      <c r="N11" s="2013"/>
      <c r="O11" s="2013"/>
      <c r="P11" s="2013"/>
      <c r="Q11" s="2013"/>
      <c r="R11" s="2013"/>
      <c r="S11" s="2013"/>
      <c r="T11" s="2013"/>
      <c r="U11" s="2013"/>
      <c r="V11" s="2013"/>
    </row>
    <row r="12" spans="1:22" ht="14.25">
      <c r="A12" s="3289" t="s">
        <v>312</v>
      </c>
      <c r="B12" s="3315">
        <v>15</v>
      </c>
      <c r="C12" s="3313"/>
      <c r="D12" s="3320"/>
      <c r="E12" s="260" t="s">
        <v>313</v>
      </c>
      <c r="F12" s="261"/>
      <c r="G12" s="261"/>
      <c r="H12" s="261"/>
      <c r="I12" s="262"/>
      <c r="J12" s="2014"/>
      <c r="K12" s="2013"/>
      <c r="L12" s="2013"/>
      <c r="M12" s="2013"/>
      <c r="N12" s="2013"/>
      <c r="O12" s="2013"/>
      <c r="P12" s="2013"/>
      <c r="Q12" s="2013"/>
      <c r="R12" s="2013"/>
      <c r="S12" s="2013"/>
      <c r="T12" s="2013"/>
      <c r="U12" s="2013"/>
      <c r="V12" s="2013"/>
    </row>
    <row r="13" spans="1:22" ht="14.25">
      <c r="A13" s="3289"/>
      <c r="B13" s="3315"/>
      <c r="C13" s="3314"/>
      <c r="D13" s="3320"/>
      <c r="E13" s="260" t="s">
        <v>314</v>
      </c>
      <c r="F13" s="261"/>
      <c r="G13" s="261"/>
      <c r="H13" s="261"/>
      <c r="I13" s="262"/>
      <c r="J13" s="2014"/>
      <c r="K13" s="2013"/>
      <c r="L13" s="2013"/>
      <c r="M13" s="2013"/>
      <c r="N13" s="2013"/>
      <c r="O13" s="2013"/>
      <c r="P13" s="2013"/>
      <c r="Q13" s="2013"/>
      <c r="R13" s="2013"/>
      <c r="S13" s="2013"/>
      <c r="T13" s="2013"/>
      <c r="U13" s="2013"/>
      <c r="V13" s="2013"/>
    </row>
    <row r="14" spans="1:22" ht="14.25">
      <c r="A14" s="3289" t="s">
        <v>315</v>
      </c>
      <c r="B14" s="3315">
        <v>30</v>
      </c>
      <c r="C14" s="3316">
        <v>5</v>
      </c>
      <c r="D14" s="3319">
        <v>5</v>
      </c>
      <c r="E14" s="260" t="s">
        <v>316</v>
      </c>
      <c r="F14" s="261"/>
      <c r="G14" s="261"/>
      <c r="H14" s="261"/>
      <c r="I14" s="262"/>
      <c r="J14" s="2014"/>
      <c r="K14" s="2013"/>
      <c r="L14" s="2013"/>
      <c r="M14" s="2013"/>
      <c r="N14" s="2013"/>
      <c r="O14" s="2013"/>
      <c r="P14" s="2013"/>
      <c r="Q14" s="2013"/>
      <c r="R14" s="2013"/>
      <c r="S14" s="2013"/>
      <c r="T14" s="2013"/>
      <c r="U14" s="2013"/>
      <c r="V14" s="2013"/>
    </row>
    <row r="15" spans="1:22" ht="14.25">
      <c r="A15" s="3289"/>
      <c r="B15" s="3315"/>
      <c r="C15" s="3317"/>
      <c r="D15" s="3319"/>
      <c r="E15" s="260" t="s">
        <v>317</v>
      </c>
      <c r="F15" s="261"/>
      <c r="G15" s="261"/>
      <c r="H15" s="261"/>
      <c r="I15" s="262"/>
      <c r="J15" s="2014"/>
      <c r="K15" s="2013"/>
      <c r="L15" s="2013"/>
      <c r="M15" s="2013"/>
      <c r="N15" s="2013"/>
      <c r="O15" s="2013"/>
      <c r="P15" s="2013"/>
      <c r="Q15" s="2013"/>
      <c r="R15" s="2013"/>
      <c r="S15" s="2013"/>
      <c r="T15" s="2013"/>
      <c r="U15" s="2013"/>
      <c r="V15" s="2013"/>
    </row>
    <row r="16" spans="1:22" ht="14.25">
      <c r="A16" s="3289"/>
      <c r="B16" s="3315"/>
      <c r="C16" s="3318"/>
      <c r="D16" s="3319"/>
      <c r="E16" s="260" t="s">
        <v>318</v>
      </c>
      <c r="F16" s="261"/>
      <c r="G16" s="261"/>
      <c r="H16" s="261"/>
      <c r="I16" s="262"/>
      <c r="J16" s="2014"/>
      <c r="K16" s="2013"/>
      <c r="L16" s="2013"/>
      <c r="M16" s="2013"/>
      <c r="N16" s="2013"/>
      <c r="O16" s="2013"/>
      <c r="P16" s="2013"/>
      <c r="Q16" s="2013"/>
      <c r="R16" s="2013"/>
      <c r="S16" s="2013"/>
      <c r="T16" s="2013"/>
      <c r="U16" s="2013"/>
      <c r="V16" s="2013"/>
    </row>
    <row r="17" spans="1:26" ht="15">
      <c r="A17" s="263" t="s">
        <v>319</v>
      </c>
      <c r="B17" s="144"/>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320</v>
      </c>
      <c r="B18" s="105"/>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5">
      <c r="A19" s="267" t="s">
        <v>321</v>
      </c>
      <c r="B19" s="268" t="s">
        <v>322</v>
      </c>
      <c r="C19" s="269">
        <f ca="1">SUMIF(INDIRECT("'"&amp;C4&amp;"'"&amp;"!A:A"),结果表!B19,INDIRECT("'"&amp;C4&amp;"'"&amp;"!B:B"))</f>
        <v>5573</v>
      </c>
      <c r="D19" s="270">
        <f ca="1">SUMIF(INDIRECT("'"&amp;D4&amp;"'"&amp;"!A:A"),结果表!B19,INDIRECT("'"&amp;D4&amp;"'"&amp;"!B:B"))</f>
        <v>5948</v>
      </c>
      <c r="E19" s="267" t="s">
        <v>323</v>
      </c>
      <c r="F19" s="268" t="s">
        <v>322</v>
      </c>
      <c r="G19" s="271">
        <f ca="1">ROUND(C19*$C$18+D19*$D$18,0)</f>
        <v>5761</v>
      </c>
      <c r="H19" s="272" t="s">
        <v>324</v>
      </c>
      <c r="I19" s="310"/>
      <c r="J19" s="2013"/>
      <c r="K19" s="2013"/>
      <c r="L19" s="2013"/>
      <c r="M19" s="2013"/>
      <c r="N19" s="2013"/>
      <c r="O19" s="2013"/>
      <c r="P19" s="2013"/>
      <c r="Q19" s="2013"/>
      <c r="R19" s="2013"/>
      <c r="S19" s="2013"/>
      <c r="T19" s="2013"/>
      <c r="U19" s="2013"/>
      <c r="V19" s="2013"/>
    </row>
    <row r="20" spans="1:26" ht="15">
      <c r="A20" s="273"/>
      <c r="B20" s="274" t="s">
        <v>325</v>
      </c>
      <c r="C20" s="275">
        <f ca="1">SUMIF(INDIRECT("'"&amp;C4&amp;"'"&amp;"!A:A"),结果表!B20,INDIRECT("'"&amp;C4&amp;"'"&amp;"!B:B"))</f>
        <v>601</v>
      </c>
      <c r="D20" s="276">
        <f ca="1">SUMIF(INDIRECT("'"&amp;D4&amp;"'"&amp;"!A:A"),结果表!B20,INDIRECT("'"&amp;D4&amp;"'"&amp;"!B:B"))</f>
        <v>641</v>
      </c>
      <c r="E20" s="273"/>
      <c r="F20" s="274" t="s">
        <v>325</v>
      </c>
      <c r="G20" s="277">
        <f ca="1">ROUND(C20*$C$18+D20*$D$18,0)</f>
        <v>621</v>
      </c>
      <c r="H20" s="278" t="s">
        <v>326</v>
      </c>
      <c r="I20" s="310"/>
      <c r="J20" s="2013"/>
      <c r="K20" s="2013"/>
      <c r="L20" s="2013"/>
      <c r="M20" s="2013"/>
      <c r="N20" s="2013"/>
      <c r="O20" s="2013"/>
      <c r="P20" s="2013"/>
      <c r="Q20" s="2013"/>
      <c r="R20" s="2013"/>
      <c r="S20" s="2013"/>
      <c r="T20" s="2013"/>
      <c r="U20" s="2013"/>
      <c r="V20" s="2013"/>
    </row>
    <row r="21" spans="1:26" ht="15" customHeight="1">
      <c r="A21" s="273"/>
      <c r="B21" s="279" t="s">
        <v>327</v>
      </c>
      <c r="C21" s="280">
        <f ca="1">SUMIF(INDIRECT("'"&amp;C4&amp;"'"&amp;"!A:A"),结果表!B21,INDIRECT("'"&amp;C4&amp;"'"&amp;"!B:B"))</f>
        <v>902</v>
      </c>
      <c r="D21" s="151">
        <f ca="1">SUMIF(INDIRECT("'"&amp;D4&amp;"'"&amp;"!A:A"),结果表!B21,INDIRECT("'"&amp;D4&amp;"'"&amp;"!B:B"))</f>
        <v>962</v>
      </c>
      <c r="E21" s="273"/>
      <c r="F21" s="279" t="s">
        <v>327</v>
      </c>
      <c r="G21" s="281">
        <f ca="1">ROUND(C21*$C$18+D21*$D$18,0)</f>
        <v>932</v>
      </c>
      <c r="H21" s="1246" t="s">
        <v>326</v>
      </c>
      <c r="I21" s="310"/>
      <c r="J21" s="2013"/>
      <c r="K21" s="2013"/>
      <c r="L21" s="2013"/>
      <c r="M21" s="2013"/>
      <c r="N21" s="2013"/>
      <c r="O21" s="2013"/>
      <c r="P21" s="2013"/>
      <c r="Q21" s="2013"/>
      <c r="R21" s="2013"/>
      <c r="S21" s="2013"/>
      <c r="T21" s="2013"/>
      <c r="U21" s="2013"/>
      <c r="V21" s="2013"/>
    </row>
    <row r="22" spans="1:26" ht="15.75" thickBot="1">
      <c r="A22" s="126" t="s">
        <v>328</v>
      </c>
      <c r="B22" s="1247"/>
      <c r="C22" s="1248"/>
      <c r="D22" s="282">
        <f ca="1">IF(C19&lt;D19,D19/C19-1,C19/D19-1)</f>
        <v>6.7288713439799031E-2</v>
      </c>
      <c r="E22" s="283"/>
      <c r="F22" s="284"/>
      <c r="G22" s="285">
        <f ca="1">ROUND(G19/('数据-汇总表'!D3/666.67),0)</f>
        <v>62</v>
      </c>
      <c r="H22" s="286" t="s">
        <v>329</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295" t="s">
        <v>330</v>
      </c>
      <c r="B24" s="268" t="s">
        <v>322</v>
      </c>
      <c r="C24" s="287">
        <f>IF(B30=0,0,D30)</f>
        <v>185</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296"/>
      <c r="B25" s="1316" t="s">
        <v>331</v>
      </c>
      <c r="C25" s="289">
        <f>IF(B30=0,0,C30)</f>
        <v>30</v>
      </c>
      <c r="D25" s="290"/>
      <c r="E25" s="310"/>
      <c r="F25" s="310"/>
      <c r="G25" s="310"/>
      <c r="H25" s="310"/>
      <c r="I25" s="310"/>
      <c r="J25" s="2013"/>
      <c r="K25" s="1250" t="str">
        <f ca="1">项目基本情况!B16&amp;"国有建设用地使用权价格："&amp;O38&amp;"万元"</f>
        <v>出让国有建设用地使用权价格：5576万元</v>
      </c>
      <c r="L25" s="1251"/>
      <c r="M25" s="1251"/>
      <c r="N25" s="1251"/>
      <c r="O25" s="1252"/>
      <c r="P25" s="2013"/>
      <c r="Q25" s="2013"/>
      <c r="R25" s="2013"/>
      <c r="S25" s="2013"/>
      <c r="T25" s="2013"/>
      <c r="U25" s="2013"/>
      <c r="V25" s="2013"/>
    </row>
    <row r="26" spans="1:26" s="1249" customFormat="1" ht="18">
      <c r="A26" s="292" t="s">
        <v>332</v>
      </c>
      <c r="B26" s="293" t="s">
        <v>333</v>
      </c>
      <c r="C26" s="293" t="s">
        <v>334</v>
      </c>
      <c r="D26" s="294" t="s">
        <v>335</v>
      </c>
      <c r="E26" s="310"/>
      <c r="F26" s="310"/>
      <c r="G26" s="310"/>
      <c r="H26" s="310"/>
      <c r="I26" s="310"/>
      <c r="J26" s="2013"/>
      <c r="K26" s="1253" t="str">
        <f ca="1">"大写金额：人民币"&amp;NUMBERSTRING(INT(O38*10000),2)&amp;"元整"</f>
        <v>大写金额：人民币伍仟伍佰柒拾陆万元整</v>
      </c>
      <c r="L26" s="1247"/>
      <c r="M26" s="1247"/>
      <c r="N26" s="1247"/>
      <c r="O26" s="1246"/>
      <c r="P26" s="2013"/>
      <c r="Q26" s="2013"/>
      <c r="R26" s="2013"/>
      <c r="S26" s="2013"/>
      <c r="T26" s="2013"/>
      <c r="U26" s="2013"/>
      <c r="V26" s="2013"/>
      <c r="W26" s="291"/>
      <c r="X26" s="291"/>
      <c r="Y26" s="291"/>
      <c r="Z26" s="291"/>
    </row>
    <row r="27" spans="1:26" ht="18">
      <c r="A27" s="3189" t="s">
        <v>3261</v>
      </c>
      <c r="B27" s="293">
        <f>'数据-基础表'!A3</f>
        <v>61815.58</v>
      </c>
      <c r="C27" s="293">
        <v>30</v>
      </c>
      <c r="D27" s="294">
        <f>ROUND((B27*C27)/10000,0)</f>
        <v>185</v>
      </c>
      <c r="E27" s="310"/>
      <c r="F27" s="310"/>
      <c r="G27" s="310"/>
      <c r="H27" s="310"/>
      <c r="I27" s="310"/>
      <c r="J27" s="2013"/>
      <c r="K27" s="1253" t="str">
        <f ca="1">"单位面积地价："&amp;M38&amp;"元/平方米"</f>
        <v>单位面积地价：902元/平方米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楼面地价：601元/平方米</v>
      </c>
      <c r="L28" s="1247"/>
      <c r="M28" s="1247"/>
      <c r="N28" s="1247"/>
      <c r="O28" s="1246"/>
      <c r="P28" s="2013"/>
      <c r="V28" s="2013"/>
    </row>
    <row r="29" spans="1:26" ht="18">
      <c r="A29" s="292"/>
      <c r="B29" s="293"/>
      <c r="C29" s="293"/>
      <c r="D29" s="294"/>
      <c r="E29" s="310"/>
      <c r="F29" s="310"/>
      <c r="G29" s="310"/>
      <c r="H29" s="310"/>
      <c r="I29" s="310"/>
      <c r="J29" s="2013"/>
      <c r="K29" s="1253" t="str">
        <f ca="1">IF(OR(项目基本情况!E8="抵押价格",项目基本情况!E8="已注销及未注销"),"抵押价格："&amp;O39&amp;"万元","——")</f>
        <v>抵押价格：5576万元</v>
      </c>
      <c r="L29" s="1247"/>
      <c r="M29" s="1247"/>
      <c r="N29" s="1247"/>
      <c r="O29" s="1246"/>
      <c r="P29" s="2013"/>
      <c r="V29" s="2013"/>
    </row>
    <row r="30" spans="1:26" ht="18.75" thickBot="1">
      <c r="A30" s="3081" t="s">
        <v>336</v>
      </c>
      <c r="B30" s="308">
        <f>B27</f>
        <v>61815.58</v>
      </c>
      <c r="C30" s="308">
        <f>C27</f>
        <v>30</v>
      </c>
      <c r="D30" s="309">
        <f>D27</f>
        <v>185</v>
      </c>
      <c r="E30" s="3082" t="s">
        <v>2968</v>
      </c>
      <c r="F30" s="310"/>
      <c r="G30" s="310"/>
      <c r="H30" s="310"/>
      <c r="I30" s="310"/>
      <c r="J30" s="2013"/>
      <c r="K30" s="1253" t="str">
        <f ca="1">IF(K29="——","——","大写金额：人民币"&amp;NUMBERSTRING(INT(O39*10000),2)&amp;"元整")</f>
        <v>大写金额：人民币伍仟伍佰柒拾陆万元整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8.75" thickBot="1">
      <c r="A32" s="267" t="s">
        <v>337</v>
      </c>
      <c r="B32" s="1377" t="s">
        <v>1687</v>
      </c>
      <c r="C32" s="1378">
        <f ca="1">G19-C24</f>
        <v>5576</v>
      </c>
      <c r="D32" s="1379" t="s">
        <v>1688</v>
      </c>
      <c r="E32" s="310"/>
      <c r="F32" s="310"/>
      <c r="G32" s="310"/>
      <c r="H32" s="310"/>
      <c r="I32" s="310"/>
      <c r="J32" s="2013"/>
      <c r="K32" s="2427" t="str">
        <f>IF(K31="——","——","大写金额：人民币"&amp;NUMBERSTRING(INT(O40*10000),2)&amp;"元整")</f>
        <v>——</v>
      </c>
      <c r="L32" s="2430"/>
      <c r="M32" s="2430"/>
      <c r="N32" s="2430"/>
      <c r="O32" s="2431"/>
      <c r="P32" s="2013"/>
      <c r="V32" s="2013"/>
    </row>
    <row r="33" spans="1:26" ht="18.75" thickBot="1">
      <c r="A33" s="297" t="s">
        <v>340</v>
      </c>
      <c r="B33" s="1380" t="s">
        <v>1689</v>
      </c>
      <c r="C33" s="263">
        <f ca="1">ROUND(C32*10000/'数据-汇总表'!E3,0)</f>
        <v>601</v>
      </c>
      <c r="D33" s="1381" t="s">
        <v>1690</v>
      </c>
      <c r="E33" s="3295" t="s">
        <v>338</v>
      </c>
      <c r="F33" s="295" t="s">
        <v>339</v>
      </c>
      <c r="G33" s="296"/>
      <c r="H33" s="979"/>
      <c r="I33" s="1254"/>
      <c r="J33" s="2013"/>
      <c r="K33" s="1253" t="str">
        <f>IF(项目基本情况!E9="——","——","抵押净值："&amp;C46&amp;"万元")</f>
        <v>抵押净值：——万元</v>
      </c>
      <c r="L33" s="1247"/>
      <c r="M33" s="1247"/>
      <c r="N33" s="1247"/>
      <c r="O33" s="1246"/>
      <c r="P33" s="2013"/>
      <c r="V33" s="2013"/>
    </row>
    <row r="34" spans="1:26" s="1249" customFormat="1" ht="18.75" thickBot="1">
      <c r="A34" s="299"/>
      <c r="B34" s="1382" t="s">
        <v>1691</v>
      </c>
      <c r="C34" s="263">
        <f ca="1">ROUND(C32*10000/'数据-汇总表'!D3,0)</f>
        <v>902</v>
      </c>
      <c r="D34" s="1383" t="s">
        <v>1690</v>
      </c>
      <c r="E34" s="3340"/>
      <c r="F34" s="127" t="s">
        <v>341</v>
      </c>
      <c r="G34" s="298"/>
      <c r="H34" s="105"/>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60</v>
      </c>
      <c r="D35" s="1386" t="s">
        <v>1692</v>
      </c>
      <c r="E35" s="3341"/>
      <c r="F35" s="300" t="s">
        <v>342</v>
      </c>
      <c r="G35" s="981"/>
      <c r="H35" s="980" t="s">
        <v>343</v>
      </c>
      <c r="I35" s="310"/>
      <c r="J35" s="2013"/>
      <c r="K35" s="3310" t="s">
        <v>350</v>
      </c>
      <c r="L35" s="3310" t="s">
        <v>351</v>
      </c>
      <c r="M35" s="1259" t="s">
        <v>352</v>
      </c>
      <c r="N35" s="3310" t="s">
        <v>353</v>
      </c>
      <c r="O35" s="3310" t="s">
        <v>354</v>
      </c>
      <c r="P35" s="2013"/>
      <c r="V35" s="2013"/>
    </row>
    <row r="36" spans="1:26" ht="16.5" customHeight="1">
      <c r="A36" s="302" t="s">
        <v>344</v>
      </c>
      <c r="B36" s="303" t="s">
        <v>333</v>
      </c>
      <c r="C36" s="304" t="s">
        <v>345</v>
      </c>
      <c r="D36" s="304" t="s">
        <v>346</v>
      </c>
      <c r="E36" s="305" t="s">
        <v>347</v>
      </c>
      <c r="F36" s="310"/>
      <c r="G36" s="310"/>
      <c r="H36" s="310"/>
      <c r="I36" s="310"/>
      <c r="J36" s="2015"/>
      <c r="K36" s="3311"/>
      <c r="L36" s="3311"/>
      <c r="M36" s="1261" t="s">
        <v>355</v>
      </c>
      <c r="N36" s="3311"/>
      <c r="O36" s="3311"/>
      <c r="P36" s="2013"/>
      <c r="V36" s="2013"/>
    </row>
    <row r="37" spans="1:26" ht="16.5" customHeight="1" thickBot="1">
      <c r="A37" s="1255" t="s">
        <v>348</v>
      </c>
      <c r="B37" s="306"/>
      <c r="C37" s="293"/>
      <c r="D37" s="293"/>
      <c r="E37" s="294"/>
      <c r="F37" s="310"/>
      <c r="G37" s="310"/>
      <c r="H37" s="310"/>
      <c r="I37" s="310"/>
      <c r="J37" s="2015"/>
      <c r="K37" s="3312"/>
      <c r="L37" s="3312"/>
      <c r="M37" s="1262"/>
      <c r="N37" s="3312"/>
      <c r="O37" s="3312"/>
      <c r="P37" s="2013"/>
      <c r="V37" s="2013"/>
    </row>
    <row r="38" spans="1:26" ht="16.5" customHeight="1" thickBot="1">
      <c r="A38" s="1255" t="s">
        <v>349</v>
      </c>
      <c r="B38" s="306"/>
      <c r="C38" s="293"/>
      <c r="D38" s="293"/>
      <c r="E38" s="294"/>
      <c r="F38" s="310"/>
      <c r="G38" s="310"/>
      <c r="H38" s="310"/>
      <c r="I38" s="310"/>
      <c r="J38" s="2015"/>
      <c r="K38" s="1263">
        <f>'数据-汇总表'!D3</f>
        <v>61815.58</v>
      </c>
      <c r="L38" s="1264">
        <f>'数据-汇总表'!E3</f>
        <v>92723.37</v>
      </c>
      <c r="M38" s="1264">
        <f ca="1">C34</f>
        <v>902</v>
      </c>
      <c r="N38" s="1264">
        <f ca="1">C33</f>
        <v>601</v>
      </c>
      <c r="O38" s="1265">
        <f ca="1">C32</f>
        <v>5576</v>
      </c>
      <c r="P38" s="2013"/>
      <c r="V38" s="2013"/>
    </row>
    <row r="39" spans="1:26" ht="16.5" customHeight="1" thickBot="1">
      <c r="A39" s="1260"/>
      <c r="B39" s="307"/>
      <c r="C39" s="308"/>
      <c r="D39" s="308"/>
      <c r="E39" s="309"/>
      <c r="F39" s="310"/>
      <c r="G39" s="310"/>
      <c r="H39" s="310"/>
      <c r="I39" s="310"/>
      <c r="J39" s="2015"/>
      <c r="K39" s="3359" t="str">
        <f>MID(A44,3,LEN(A44)-2)</f>
        <v>抵押价格</v>
      </c>
      <c r="L39" s="3360"/>
      <c r="M39" s="3360"/>
      <c r="N39" s="3361"/>
      <c r="O39" s="1388">
        <f ca="1">C44</f>
        <v>5576</v>
      </c>
      <c r="P39" s="2013"/>
      <c r="V39" s="2013"/>
    </row>
    <row r="40" spans="1:26" ht="19.5" thickBot="1">
      <c r="A40" s="104" t="s">
        <v>872</v>
      </c>
      <c r="B40" s="310"/>
      <c r="C40" s="310"/>
      <c r="D40" s="310"/>
      <c r="E40" s="310"/>
      <c r="F40" s="310"/>
      <c r="G40" s="310"/>
      <c r="H40" s="310"/>
      <c r="I40" s="310"/>
      <c r="J40" s="2015"/>
      <c r="K40" s="3359" t="str">
        <f t="shared" ref="K40:K41" si="0">MID(A45,3,LEN(A45)-2)</f>
        <v/>
      </c>
      <c r="L40" s="3360"/>
      <c r="M40" s="3360"/>
      <c r="N40" s="3361"/>
      <c r="O40" s="1388" t="str">
        <f>C45</f>
        <v>——</v>
      </c>
      <c r="P40" s="2013"/>
      <c r="V40" s="2013"/>
    </row>
    <row r="41" spans="1:26" ht="16.5" thickBot="1">
      <c r="A41" s="311" t="s">
        <v>356</v>
      </c>
      <c r="B41" s="312"/>
      <c r="C41" s="313" t="s">
        <v>357</v>
      </c>
      <c r="D41" s="314" t="s">
        <v>358</v>
      </c>
      <c r="E41" s="314" t="s">
        <v>359</v>
      </c>
      <c r="F41" s="315" t="s">
        <v>360</v>
      </c>
      <c r="G41" s="310"/>
      <c r="H41" s="310"/>
      <c r="I41" s="310"/>
      <c r="J41" s="2015"/>
      <c r="K41" s="3359" t="str">
        <f t="shared" si="0"/>
        <v/>
      </c>
      <c r="L41" s="3360"/>
      <c r="M41" s="3360"/>
      <c r="N41" s="3361"/>
      <c r="O41" s="1388" t="str">
        <f>C46</f>
        <v>——</v>
      </c>
      <c r="P41" s="2013"/>
      <c r="V41" s="2013"/>
    </row>
    <row r="42" spans="1:26" ht="29.25">
      <c r="A42" s="3297" t="s">
        <v>2066</v>
      </c>
      <c r="B42" s="3298"/>
      <c r="C42" s="263">
        <f ca="1">C32</f>
        <v>5576</v>
      </c>
      <c r="D42" s="316">
        <f ca="1">C33</f>
        <v>601</v>
      </c>
      <c r="E42" s="316">
        <f ca="1">C34</f>
        <v>902</v>
      </c>
      <c r="F42" s="317">
        <f ca="1">C35</f>
        <v>60</v>
      </c>
      <c r="G42" s="310"/>
      <c r="H42" s="310"/>
      <c r="I42" s="318"/>
      <c r="J42" s="2015"/>
      <c r="K42" s="1266" t="s">
        <v>361</v>
      </c>
      <c r="L42" s="2032" t="s">
        <v>362</v>
      </c>
      <c r="M42" s="1267" t="s">
        <v>363</v>
      </c>
      <c r="N42" s="2033" t="s">
        <v>364</v>
      </c>
      <c r="O42" s="2034" t="s">
        <v>365</v>
      </c>
      <c r="P42" s="2013"/>
      <c r="V42" s="2013"/>
    </row>
    <row r="43" spans="1:26" ht="30">
      <c r="A43" s="3308" t="s">
        <v>2729</v>
      </c>
      <c r="B43" s="3309"/>
      <c r="C43" s="263">
        <f>IF(H33="正常操作",G33+G34+G35,G34+G35)</f>
        <v>0</v>
      </c>
      <c r="D43" s="316" t="s">
        <v>43</v>
      </c>
      <c r="E43" s="316" t="s">
        <v>44</v>
      </c>
      <c r="F43" s="317" t="s">
        <v>44</v>
      </c>
      <c r="G43" s="2821" t="s">
        <v>951</v>
      </c>
      <c r="H43" s="310"/>
      <c r="I43" s="318"/>
      <c r="J43" s="2015"/>
      <c r="K43" s="1268" t="str">
        <f>C4</f>
        <v>比较法-住宅、综合</v>
      </c>
      <c r="L43" s="1269">
        <f ca="1">IF(L42="估价结果/万元",C19,C20)</f>
        <v>5573</v>
      </c>
      <c r="M43" s="1270">
        <f>C18</f>
        <v>0.5</v>
      </c>
      <c r="N43" s="1271">
        <f ca="1">IF(N42="测算结果/万元",G19,G20)</f>
        <v>5761</v>
      </c>
      <c r="O43" s="1272">
        <f ca="1">IF(O42="最终结果/万元",C32,C33)</f>
        <v>5576</v>
      </c>
      <c r="P43" s="2013"/>
      <c r="V43" s="2013"/>
    </row>
    <row r="44" spans="1:26" ht="30.75" thickBot="1">
      <c r="A44" s="3297" t="str">
        <f>IF(OR(项目基本情况!E8="抵押价格",项目基本情况!E8="已注销及未注销"),"3.抵押价格","——")</f>
        <v>3.抵押价格</v>
      </c>
      <c r="B44" s="3298"/>
      <c r="C44" s="263">
        <f ca="1">IF(A44="——","——",C42-C43)</f>
        <v>5576</v>
      </c>
      <c r="D44" s="316">
        <f ca="1">ROUND(C44*10000/'数据-汇总表'!E3,0)</f>
        <v>601</v>
      </c>
      <c r="E44" s="316">
        <f ca="1">ROUND(C44*10000/'数据-汇总表'!D3,0)</f>
        <v>902</v>
      </c>
      <c r="F44" s="317">
        <f ca="1">ROUND(C44/('数据-汇总表'!D3/666.67),0)</f>
        <v>60</v>
      </c>
      <c r="G44" s="310"/>
      <c r="H44" s="310"/>
      <c r="I44" s="318"/>
      <c r="J44" s="2015"/>
      <c r="K44" s="1273" t="str">
        <f>D4</f>
        <v>剩余法-待开发</v>
      </c>
      <c r="L44" s="1274">
        <f ca="1">IF(L42="估价结果/万元",D19,D20)</f>
        <v>5948</v>
      </c>
      <c r="M44" s="1275">
        <f>D18</f>
        <v>0.5</v>
      </c>
      <c r="N44" s="1276"/>
      <c r="O44" s="1277"/>
      <c r="P44" s="2013"/>
      <c r="V44" s="2013"/>
    </row>
    <row r="45" spans="1:26" ht="15">
      <c r="A45" s="3303" t="str">
        <f>IF(项目基本情况!E8="已注销及未注销","4.抵押担保权已注销时的抵押价格",IF(项目基本情况!E8="已注销","3.抵押担保权已注销时的抵押价格","——"))</f>
        <v>——</v>
      </c>
      <c r="B45" s="3304"/>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299" t="str">
        <f>IF(项目基本情况!E9="抵押净值",IF(A45="——","4.抵押净值","5.抵押净值"),"——")</f>
        <v>——</v>
      </c>
      <c r="B46" s="3300"/>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366</v>
      </c>
      <c r="B47" s="1278"/>
      <c r="C47" s="321" t="s">
        <v>367</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368</v>
      </c>
      <c r="G53" s="336"/>
      <c r="H53" s="336"/>
      <c r="I53" s="337" t="s">
        <v>369</v>
      </c>
      <c r="J53" s="2016"/>
      <c r="K53" s="2013"/>
      <c r="L53" s="2013"/>
      <c r="M53" s="2013"/>
      <c r="N53" s="2013"/>
      <c r="O53" s="2013"/>
      <c r="P53" s="2013"/>
      <c r="Q53" s="2013"/>
      <c r="R53" s="2013"/>
      <c r="S53" s="2013"/>
      <c r="T53" s="2013"/>
      <c r="U53" s="2013"/>
      <c r="V53" s="2013"/>
    </row>
    <row r="54" spans="1:22" ht="12.75">
      <c r="A54" s="256"/>
      <c r="B54" s="338" t="s">
        <v>370</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371</v>
      </c>
      <c r="J56" s="2016"/>
      <c r="K56" s="2013"/>
      <c r="L56" s="2013"/>
      <c r="M56" s="2013"/>
      <c r="N56" s="2013"/>
      <c r="O56" s="2013"/>
      <c r="P56" s="2013"/>
      <c r="Q56" s="2013"/>
      <c r="R56" s="2013"/>
      <c r="S56" s="2013"/>
      <c r="T56" s="2013"/>
      <c r="U56" s="2013"/>
      <c r="V56" s="2013"/>
    </row>
    <row r="57" spans="1:22" ht="12.75">
      <c r="A57" s="256"/>
      <c r="B57" s="338" t="s">
        <v>372</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371</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6"/>
      <c r="E61" s="216"/>
      <c r="F61" s="252"/>
      <c r="G61" s="256"/>
      <c r="H61" s="256"/>
      <c r="I61" s="256"/>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8" t="s">
        <v>374</v>
      </c>
      <c r="B63" s="3349"/>
      <c r="C63" s="3350"/>
      <c r="D63" s="340">
        <f ca="1">ROUND(C42*F63,0)</f>
        <v>3346</v>
      </c>
      <c r="E63" s="301" t="s">
        <v>375</v>
      </c>
      <c r="F63" s="341">
        <v>0.6</v>
      </c>
      <c r="G63" s="342" t="s">
        <v>376</v>
      </c>
      <c r="H63" s="310"/>
      <c r="I63" s="310"/>
      <c r="J63" s="2013"/>
      <c r="K63" s="2013"/>
      <c r="L63" s="2013"/>
      <c r="M63" s="2013"/>
      <c r="N63" s="2013"/>
      <c r="O63" s="2013"/>
      <c r="P63" s="310"/>
      <c r="Q63" s="2013"/>
      <c r="R63" s="2013"/>
      <c r="S63" s="2013"/>
      <c r="T63" s="2013"/>
      <c r="U63" s="2013"/>
      <c r="V63" s="2013"/>
    </row>
    <row r="64" spans="1:22" ht="14.25" customHeight="1">
      <c r="A64" s="3305" t="s">
        <v>378</v>
      </c>
      <c r="B64" s="3306"/>
      <c r="C64" s="3306"/>
      <c r="D64" s="3306"/>
      <c r="E64" s="3306"/>
      <c r="F64" s="3306"/>
      <c r="G64" s="3307"/>
      <c r="H64" s="1283"/>
      <c r="I64" s="947"/>
      <c r="J64" s="1975"/>
      <c r="K64" s="1547" t="s">
        <v>377</v>
      </c>
      <c r="L64" s="11"/>
      <c r="M64" s="11"/>
      <c r="N64" s="11"/>
      <c r="O64" s="11"/>
      <c r="P64" s="310"/>
      <c r="Q64" s="2013"/>
      <c r="R64" s="2013"/>
      <c r="S64" s="2013"/>
      <c r="T64" s="2013"/>
      <c r="U64" s="2013"/>
      <c r="V64" s="2013"/>
    </row>
    <row r="65" spans="1:22" ht="12" customHeight="1">
      <c r="A65" s="343" t="s">
        <v>380</v>
      </c>
      <c r="B65" s="344"/>
      <c r="C65" s="345"/>
      <c r="D65" s="346" t="s">
        <v>381</v>
      </c>
      <c r="E65" s="53" t="s">
        <v>382</v>
      </c>
      <c r="F65" s="347" t="s">
        <v>383</v>
      </c>
      <c r="G65" s="348" t="s">
        <v>384</v>
      </c>
      <c r="H65" s="1283"/>
      <c r="I65" s="947"/>
      <c r="J65" s="1975"/>
      <c r="K65" s="1284"/>
      <c r="L65" s="1285"/>
      <c r="M65" s="1285"/>
      <c r="N65" s="1317" t="s">
        <v>379</v>
      </c>
      <c r="O65" s="1318"/>
      <c r="P65" s="1319"/>
      <c r="Q65" s="2013"/>
      <c r="R65" s="2013"/>
      <c r="S65" s="2013"/>
      <c r="T65" s="2013"/>
      <c r="U65" s="2013"/>
      <c r="V65" s="2013"/>
    </row>
    <row r="66" spans="1:22" ht="25.5">
      <c r="A66" s="3301" t="s">
        <v>386</v>
      </c>
      <c r="B66" s="3302"/>
      <c r="C66" s="3302"/>
      <c r="D66" s="260">
        <f ca="1">IF(H66="情况1",0,IF(H66="情况2",D70,IF(H66="情况3",D71,IF(H66="情况4",D72))))</f>
        <v>175</v>
      </c>
      <c r="E66" s="992" t="str">
        <f>IF(H66="情况4","(销售额-原购置价)×税（费）率","销售额×税（费）率")</f>
        <v>销售额×税（费）率</v>
      </c>
      <c r="F66" s="349">
        <f>IF(H66="情况1","免征",'数据-取费表'!B41)</f>
        <v>5.5000000000000007E-2</v>
      </c>
      <c r="G66" s="350" t="s">
        <v>387</v>
      </c>
      <c r="H66" s="191" t="s">
        <v>388</v>
      </c>
      <c r="I66" s="1283"/>
      <c r="J66" s="2019"/>
      <c r="K66" s="1286">
        <v>1</v>
      </c>
      <c r="L66" s="3363" t="s">
        <v>385</v>
      </c>
      <c r="M66" s="3364"/>
      <c r="N66" s="2422"/>
      <c r="O66" s="2423"/>
      <c r="P66" s="2424"/>
      <c r="Q66" s="2013"/>
      <c r="R66" s="2013"/>
      <c r="S66" s="2013"/>
      <c r="T66" s="2013"/>
      <c r="U66" s="2013"/>
      <c r="V66" s="2013"/>
    </row>
    <row r="67" spans="1:22" ht="25.5" customHeight="1">
      <c r="A67" s="351" t="s">
        <v>390</v>
      </c>
      <c r="B67" s="3292" t="s">
        <v>391</v>
      </c>
      <c r="C67" s="3292"/>
      <c r="D67" s="352">
        <v>0</v>
      </c>
      <c r="E67" s="41" t="s">
        <v>392</v>
      </c>
      <c r="F67" s="62" t="s">
        <v>21</v>
      </c>
      <c r="G67" s="3351"/>
      <c r="H67" s="310"/>
      <c r="I67" s="1287"/>
      <c r="J67" s="2020"/>
      <c r="K67" s="1961">
        <v>2</v>
      </c>
      <c r="L67" s="3362" t="s">
        <v>389</v>
      </c>
      <c r="M67" s="3362"/>
      <c r="N67" s="1320">
        <f>'数据-取费表'!B2</f>
        <v>43734</v>
      </c>
      <c r="O67" s="1320"/>
      <c r="P67" s="1320"/>
      <c r="Q67" s="2013"/>
      <c r="R67" s="2013"/>
      <c r="S67" s="2013"/>
      <c r="T67" s="2013"/>
      <c r="U67" s="2013"/>
      <c r="V67" s="2013"/>
    </row>
    <row r="68" spans="1:22" ht="25.5" customHeight="1">
      <c r="A68" s="353"/>
      <c r="B68" s="3292" t="s">
        <v>394</v>
      </c>
      <c r="C68" s="3292"/>
      <c r="D68" s="354"/>
      <c r="E68" s="77"/>
      <c r="F68" s="355"/>
      <c r="G68" s="3352"/>
      <c r="H68" s="310"/>
      <c r="I68" s="1287"/>
      <c r="J68" s="2020"/>
      <c r="K68" s="1961">
        <v>3</v>
      </c>
      <c r="L68" s="3362" t="s">
        <v>393</v>
      </c>
      <c r="M68" s="3362"/>
      <c r="N68" s="1288">
        <f ca="1">C42</f>
        <v>5576</v>
      </c>
      <c r="O68" s="1288"/>
      <c r="P68" s="1288"/>
      <c r="Q68" s="2013"/>
      <c r="R68" s="2013"/>
      <c r="S68" s="2013"/>
      <c r="T68" s="2013"/>
      <c r="U68" s="2013"/>
      <c r="V68" s="2013"/>
    </row>
    <row r="69" spans="1:22" ht="12" customHeight="1">
      <c r="A69" s="356"/>
      <c r="B69" s="3292" t="s">
        <v>395</v>
      </c>
      <c r="C69" s="3292"/>
      <c r="D69" s="357"/>
      <c r="E69" s="73"/>
      <c r="F69" s="355"/>
      <c r="G69" s="3353"/>
      <c r="H69" s="310"/>
      <c r="I69" s="1287"/>
      <c r="J69" s="2020"/>
      <c r="K69" s="1289">
        <v>4</v>
      </c>
      <c r="L69" s="3367" t="s">
        <v>2882</v>
      </c>
      <c r="M69" s="3368"/>
      <c r="N69" s="1290">
        <f ca="1">C44</f>
        <v>5576</v>
      </c>
      <c r="O69" s="1290"/>
      <c r="P69" s="1290"/>
      <c r="Q69" s="2013"/>
      <c r="R69" s="2013"/>
      <c r="S69" s="2013"/>
      <c r="T69" s="2013"/>
      <c r="U69" s="2013"/>
      <c r="V69" s="2013"/>
    </row>
    <row r="70" spans="1:22" ht="24" customHeight="1">
      <c r="A70" s="358" t="s">
        <v>396</v>
      </c>
      <c r="B70" s="3292" t="s">
        <v>397</v>
      </c>
      <c r="C70" s="3292"/>
      <c r="D70" s="357">
        <f ca="1">ROUND(D63*'数据-取费表'!B41/(1+'数据-取费表'!C42),0)</f>
        <v>175</v>
      </c>
      <c r="E70" s="17" t="s">
        <v>398</v>
      </c>
      <c r="F70" s="359">
        <f>'数据-取费表'!B41</f>
        <v>5.5000000000000007E-2</v>
      </c>
      <c r="G70" s="360"/>
      <c r="H70" s="310"/>
      <c r="I70" s="1287"/>
      <c r="J70" s="2020"/>
      <c r="K70" s="3013"/>
      <c r="L70" s="3014"/>
      <c r="M70" s="3014"/>
      <c r="N70" s="3015" t="s">
        <v>2887</v>
      </c>
      <c r="O70" s="3014"/>
      <c r="P70" s="3016"/>
      <c r="Q70" s="2013"/>
      <c r="R70" s="2013"/>
      <c r="S70" s="2013"/>
      <c r="T70" s="2013"/>
      <c r="U70" s="2013"/>
      <c r="V70" s="2013"/>
    </row>
    <row r="71" spans="1:22" ht="12" customHeight="1">
      <c r="A71" s="358" t="s">
        <v>404</v>
      </c>
      <c r="B71" s="3293" t="s">
        <v>405</v>
      </c>
      <c r="C71" s="3294"/>
      <c r="D71" s="357">
        <f ca="1">ROUND(D63*'数据-取费表'!B41/(1+'数据-取费表'!C42),0)</f>
        <v>175</v>
      </c>
      <c r="E71" s="17" t="s">
        <v>398</v>
      </c>
      <c r="F71" s="359">
        <f>'数据-取费表'!B41</f>
        <v>5.5000000000000007E-2</v>
      </c>
      <c r="G71" s="360"/>
      <c r="H71" s="310"/>
      <c r="I71" s="1287"/>
      <c r="J71" s="2020"/>
      <c r="K71" s="3012" t="s">
        <v>399</v>
      </c>
      <c r="L71" s="3369" t="s">
        <v>400</v>
      </c>
      <c r="M71" s="3369"/>
      <c r="N71" s="3012" t="s">
        <v>401</v>
      </c>
      <c r="O71" s="3012" t="s">
        <v>402</v>
      </c>
      <c r="P71" s="3012" t="s">
        <v>403</v>
      </c>
      <c r="Q71" s="2013"/>
      <c r="R71" s="2013"/>
      <c r="S71" s="2013"/>
      <c r="T71" s="2013"/>
      <c r="U71" s="2013"/>
      <c r="V71" s="2013"/>
    </row>
    <row r="72" spans="1:22" ht="12" customHeight="1">
      <c r="A72" s="358" t="s">
        <v>407</v>
      </c>
      <c r="B72" s="3293" t="s">
        <v>408</v>
      </c>
      <c r="C72" s="3294"/>
      <c r="D72" s="357">
        <f ca="1">C86</f>
        <v>65</v>
      </c>
      <c r="E72" s="73" t="s">
        <v>409</v>
      </c>
      <c r="F72" s="359">
        <f>'数据-取费表'!B41</f>
        <v>5.5000000000000007E-2</v>
      </c>
      <c r="G72" s="360"/>
      <c r="H72" s="1293"/>
      <c r="I72" s="1287"/>
      <c r="J72" s="2020"/>
      <c r="K72" s="1961">
        <v>1</v>
      </c>
      <c r="L72" s="3344" t="s">
        <v>406</v>
      </c>
      <c r="M72" s="3344"/>
      <c r="N72" s="1291">
        <f ca="1">D66</f>
        <v>175</v>
      </c>
      <c r="O72" s="1844" t="str">
        <f>E66</f>
        <v>销售额×税（费）率</v>
      </c>
      <c r="P72" s="1292">
        <f>F66</f>
        <v>5.5000000000000007E-2</v>
      </c>
      <c r="Q72" s="2013"/>
      <c r="R72" s="2013"/>
      <c r="S72" s="2013"/>
      <c r="T72" s="2013"/>
      <c r="U72" s="2013"/>
      <c r="V72" s="2013"/>
    </row>
    <row r="73" spans="1:22" ht="24" customHeight="1">
      <c r="A73" s="3338" t="s">
        <v>411</v>
      </c>
      <c r="B73" s="3302"/>
      <c r="C73" s="3302"/>
      <c r="D73" s="361">
        <f>IF(H73="个人住宅",0,ROUND(D63*I73,0))</f>
        <v>0</v>
      </c>
      <c r="E73" s="17" t="s">
        <v>412</v>
      </c>
      <c r="F73" s="359" t="str">
        <f>IF(H73="正常",I73,"免征")</f>
        <v>免征</v>
      </c>
      <c r="G73" s="360"/>
      <c r="H73" s="191" t="s">
        <v>2454</v>
      </c>
      <c r="I73" s="359">
        <f>'数据-取费表'!B49</f>
        <v>5.0000000000000001E-4</v>
      </c>
      <c r="J73" s="2020"/>
      <c r="K73" s="1961">
        <v>2</v>
      </c>
      <c r="L73" s="3344" t="s">
        <v>410</v>
      </c>
      <c r="M73" s="3344"/>
      <c r="N73" s="1291">
        <f t="shared" ref="N73:P74" si="1">D73</f>
        <v>0</v>
      </c>
      <c r="O73" s="1844" t="str">
        <f t="shared" si="1"/>
        <v>销售额×税（费）率</v>
      </c>
      <c r="P73" s="1292" t="str">
        <f t="shared" si="1"/>
        <v>免征</v>
      </c>
      <c r="Q73" s="2013"/>
      <c r="R73" s="2013"/>
      <c r="S73" s="2013"/>
      <c r="T73" s="2013"/>
      <c r="U73" s="2013"/>
      <c r="V73" s="2013"/>
    </row>
    <row r="74" spans="1:22" ht="24.75">
      <c r="A74" s="3338" t="s">
        <v>415</v>
      </c>
      <c r="B74" s="3302"/>
      <c r="C74" s="3302"/>
      <c r="D74" s="361">
        <f ca="1">IF(H74="个人住宅",D75,D76)</f>
        <v>1242</v>
      </c>
      <c r="E74" s="17" t="s">
        <v>416</v>
      </c>
      <c r="F74" s="359" t="str">
        <f>IF(H74="正常",F76,"免征")</f>
        <v>——</v>
      </c>
      <c r="G74" s="982" t="s">
        <v>417</v>
      </c>
      <c r="H74" s="362" t="s">
        <v>413</v>
      </c>
      <c r="I74" s="42"/>
      <c r="J74" s="2020"/>
      <c r="K74" s="1961">
        <v>3</v>
      </c>
      <c r="L74" s="3344" t="s">
        <v>414</v>
      </c>
      <c r="M74" s="3344"/>
      <c r="N74" s="1291">
        <f t="shared" ca="1" si="1"/>
        <v>1242</v>
      </c>
      <c r="O74" s="1844" t="str">
        <f t="shared" si="1"/>
        <v>增值额×税（费）率</v>
      </c>
      <c r="P74" s="1294" t="str">
        <f t="shared" si="1"/>
        <v>——</v>
      </c>
      <c r="Q74" s="2013"/>
      <c r="R74" s="2013"/>
      <c r="S74" s="2013"/>
      <c r="T74" s="2013"/>
      <c r="U74" s="2013"/>
      <c r="V74" s="2013"/>
    </row>
    <row r="75" spans="1:22" ht="24">
      <c r="A75" s="358" t="s">
        <v>418</v>
      </c>
      <c r="B75" s="3290" t="s">
        <v>419</v>
      </c>
      <c r="C75" s="3324"/>
      <c r="D75" s="363">
        <v>0</v>
      </c>
      <c r="E75" s="41" t="s">
        <v>420</v>
      </c>
      <c r="F75" s="364"/>
      <c r="G75" s="360"/>
      <c r="H75" s="42"/>
      <c r="I75" s="42"/>
      <c r="J75" s="2020"/>
      <c r="K75" s="3005">
        <f>IF(H77="非个人房产","",4)</f>
        <v>4</v>
      </c>
      <c r="L75" s="3344" t="str">
        <f>IF(H77="非个人房产","——","个人所得税")</f>
        <v>个人所得税</v>
      </c>
      <c r="M75" s="3344"/>
      <c r="N75" s="1295">
        <f ca="1">D77</f>
        <v>33</v>
      </c>
      <c r="O75" s="1857" t="str">
        <f>E77</f>
        <v>销售额×税（费）率</v>
      </c>
      <c r="P75" s="1296">
        <f>F77</f>
        <v>0.01</v>
      </c>
      <c r="Q75" s="2013"/>
      <c r="R75" s="2013"/>
      <c r="S75" s="2013"/>
      <c r="T75" s="2013"/>
      <c r="U75" s="2013"/>
      <c r="V75" s="2013"/>
    </row>
    <row r="76" spans="1:22" ht="24.75">
      <c r="A76" s="358" t="s">
        <v>396</v>
      </c>
      <c r="B76" s="3290" t="s">
        <v>422</v>
      </c>
      <c r="C76" s="3291"/>
      <c r="D76" s="361">
        <f ca="1">IF(H76="转让取得",C99,C115)</f>
        <v>1242</v>
      </c>
      <c r="E76" s="17" t="s">
        <v>423</v>
      </c>
      <c r="F76" s="53" t="s">
        <v>21</v>
      </c>
      <c r="G76" s="360"/>
      <c r="H76" s="362" t="s">
        <v>424</v>
      </c>
      <c r="I76" s="42"/>
      <c r="J76" s="2020"/>
      <c r="K76" s="3005" t="str">
        <f>IF(项目基本情况!K6="上海银行",IF(K75="",4,K75+1),"")</f>
        <v/>
      </c>
      <c r="L76" s="3355" t="str">
        <f>IF(项目基本情况!K6="上海银行","其他处置费用","")</f>
        <v/>
      </c>
      <c r="M76" s="3356"/>
      <c r="N76" s="1291" t="str">
        <f>IF(项目基本情况!K6="上海银行",N89,"")</f>
        <v/>
      </c>
      <c r="O76" s="3357" t="str">
        <f>IF(项目基本情况!K6="上海银行","包含处置中涉及的律师、诉讼、拍卖、评估等费用","")</f>
        <v/>
      </c>
      <c r="P76" s="3358"/>
      <c r="Q76" s="2013"/>
      <c r="R76" s="2013"/>
      <c r="S76" s="2013"/>
      <c r="T76" s="2013"/>
      <c r="U76" s="2013"/>
      <c r="V76" s="2013"/>
    </row>
    <row r="77" spans="1:22" ht="26.25" thickBot="1">
      <c r="A77" s="3346" t="s">
        <v>426</v>
      </c>
      <c r="B77" s="3347"/>
      <c r="C77" s="3347"/>
      <c r="D77" s="365">
        <f ca="1">IF(H77="非个人房产","——",IF(H77="个人住宅",0,ROUND(D63*I77,0)))</f>
        <v>33</v>
      </c>
      <c r="E77" s="366" t="str">
        <f>IF(H77="非个人房产","——","销售额×税（费）率")</f>
        <v>销售额×税（费）率</v>
      </c>
      <c r="F77" s="367">
        <f>IF(H77="非个人房产","——",IF(H77="个人住宅","免征",I77))</f>
        <v>0.01</v>
      </c>
      <c r="G77" s="983" t="s">
        <v>417</v>
      </c>
      <c r="H77" s="362" t="s">
        <v>2883</v>
      </c>
      <c r="I77" s="368">
        <v>0.01</v>
      </c>
      <c r="J77" s="2020"/>
      <c r="K77" s="3345">
        <f>IF(AND(K75="",K76=""),4,IF(项目基本情况!K6="上海银行",K76+1,K75+1))</f>
        <v>5</v>
      </c>
      <c r="L77" s="3344" t="s">
        <v>2884</v>
      </c>
      <c r="M77" s="3011" t="s">
        <v>421</v>
      </c>
      <c r="N77" s="1297"/>
      <c r="O77" s="1298">
        <f ca="1">SUMIF(N72:N76,"&lt;9e307")</f>
        <v>1450</v>
      </c>
      <c r="P77" s="1299"/>
      <c r="Q77" s="3009">
        <f ca="1">O77/N69</f>
        <v>0.26004304160688668</v>
      </c>
      <c r="R77" s="2013"/>
      <c r="S77" s="2013"/>
      <c r="T77" s="2013"/>
      <c r="U77" s="2013"/>
      <c r="V77" s="2013"/>
    </row>
    <row r="78" spans="1:22" ht="12" customHeight="1">
      <c r="A78" s="1300"/>
      <c r="B78" s="310"/>
      <c r="C78" s="310"/>
      <c r="D78" s="310"/>
      <c r="E78" s="42"/>
      <c r="F78" s="42"/>
      <c r="G78" s="42"/>
      <c r="H78" s="1002"/>
      <c r="I78" s="310"/>
      <c r="J78" s="2020"/>
      <c r="K78" s="3345"/>
      <c r="L78" s="3344"/>
      <c r="M78" s="3011" t="s">
        <v>425</v>
      </c>
      <c r="N78" s="1297"/>
      <c r="O78" s="1298" t="str">
        <f ca="1">NUMBERSTRING(INT(O77*10000),2)&amp;"元整"</f>
        <v>壹仟肆佰伍拾万元整</v>
      </c>
      <c r="P78" s="1299"/>
      <c r="Q78" s="2013"/>
      <c r="R78" s="2013"/>
      <c r="S78" s="2013"/>
      <c r="T78" s="2013"/>
      <c r="U78" s="2013"/>
      <c r="V78" s="2013"/>
    </row>
    <row r="79" spans="1:22" ht="13.5" thickBot="1">
      <c r="A79" s="3339" t="s">
        <v>427</v>
      </c>
      <c r="B79" s="3339"/>
      <c r="C79" s="3339"/>
      <c r="D79" s="3339"/>
      <c r="E79" s="3339"/>
      <c r="F79" s="42"/>
      <c r="G79" s="42"/>
      <c r="H79" s="1002"/>
      <c r="I79" s="310"/>
      <c r="J79" s="2020"/>
      <c r="K79" s="3365">
        <f>K77+1</f>
        <v>6</v>
      </c>
      <c r="L79" s="3344" t="s">
        <v>2885</v>
      </c>
      <c r="M79" s="3011" t="s">
        <v>421</v>
      </c>
      <c r="N79" s="1297"/>
      <c r="O79" s="1298">
        <f ca="1">N69-O77</f>
        <v>4126</v>
      </c>
      <c r="P79" s="1299"/>
      <c r="Q79" s="2013"/>
      <c r="R79" s="2013"/>
      <c r="S79" s="2013"/>
      <c r="T79" s="2013"/>
      <c r="U79" s="2013"/>
      <c r="V79" s="2013"/>
    </row>
    <row r="80" spans="1:22" ht="25.5">
      <c r="A80" s="3334" t="s">
        <v>428</v>
      </c>
      <c r="B80" s="3335"/>
      <c r="C80" s="993"/>
      <c r="D80" s="993" t="s">
        <v>429</v>
      </c>
      <c r="E80" s="369" t="s">
        <v>430</v>
      </c>
      <c r="F80" s="42"/>
      <c r="G80" s="42"/>
      <c r="H80" s="1002"/>
      <c r="I80" s="310"/>
      <c r="J80" s="2013"/>
      <c r="K80" s="3366"/>
      <c r="L80" s="3344"/>
      <c r="M80" s="3011" t="s">
        <v>425</v>
      </c>
      <c r="N80" s="1297"/>
      <c r="O80" s="1298" t="str">
        <f ca="1">NUMBERSTRING(INT(O79*10000),2)&amp;"元整"</f>
        <v>肆仟壹佰贰拾陆万元整</v>
      </c>
      <c r="P80" s="1299"/>
      <c r="Q80" s="2013"/>
      <c r="R80" s="2013"/>
      <c r="S80" s="2013"/>
      <c r="T80" s="2013"/>
      <c r="U80" s="2013"/>
      <c r="V80" s="2013"/>
    </row>
    <row r="81" spans="1:26" ht="13.5" thickBot="1">
      <c r="A81" s="380" t="s">
        <v>1822</v>
      </c>
      <c r="B81" s="370" t="s">
        <v>431</v>
      </c>
      <c r="C81" s="371">
        <f ca="1">ROUND((C82+C83)/(1+'数据-取费表'!C42),0)</f>
        <v>3187</v>
      </c>
      <c r="D81" s="372"/>
      <c r="E81" s="373"/>
      <c r="F81" s="42"/>
      <c r="G81" s="42"/>
      <c r="H81" s="1002"/>
      <c r="I81" s="310"/>
      <c r="J81" s="2013"/>
      <c r="K81" s="3005">
        <f>K79+1</f>
        <v>7</v>
      </c>
      <c r="L81" s="3342" t="s">
        <v>2886</v>
      </c>
      <c r="M81" s="3343"/>
      <c r="N81" s="1301"/>
      <c r="O81" s="1302">
        <f ca="1">ROUND(O79*10000/'数据-汇总表'!E3,0)</f>
        <v>445</v>
      </c>
      <c r="P81" s="1303"/>
      <c r="Q81" s="2013"/>
      <c r="R81" s="2013"/>
      <c r="S81" s="2013"/>
      <c r="T81" s="2013"/>
      <c r="U81" s="2013"/>
      <c r="V81" s="2013"/>
    </row>
    <row r="82" spans="1:26" ht="13.5" thickTop="1">
      <c r="A82" s="374" t="s">
        <v>1823</v>
      </c>
      <c r="B82" s="375" t="s">
        <v>432</v>
      </c>
      <c r="C82" s="376">
        <f ca="1">D63</f>
        <v>3346</v>
      </c>
      <c r="D82" s="377" t="s">
        <v>19</v>
      </c>
      <c r="E82" s="378"/>
      <c r="F82" s="42"/>
      <c r="G82" s="42"/>
      <c r="H82" s="1002"/>
      <c r="I82" s="310"/>
      <c r="J82" s="2013"/>
      <c r="K82" s="2013"/>
      <c r="L82" s="2013"/>
      <c r="M82" s="2013"/>
      <c r="N82" s="2013"/>
      <c r="O82" s="2013"/>
      <c r="P82" s="2013"/>
      <c r="Q82" s="2013"/>
      <c r="R82" s="2013"/>
      <c r="S82" s="2013"/>
      <c r="T82" s="2013"/>
      <c r="U82" s="2013"/>
      <c r="V82" s="2013"/>
    </row>
    <row r="83" spans="1:26" ht="12.75">
      <c r="A83" s="374" t="s">
        <v>1824</v>
      </c>
      <c r="B83" s="375" t="s">
        <v>433</v>
      </c>
      <c r="C83" s="379">
        <v>0</v>
      </c>
      <c r="D83" s="377"/>
      <c r="E83" s="378"/>
      <c r="F83" s="42"/>
      <c r="G83" s="42"/>
      <c r="H83" s="1002"/>
      <c r="I83" s="310"/>
      <c r="J83" s="2013"/>
      <c r="K83" s="3354" t="s">
        <v>2873</v>
      </c>
      <c r="L83" s="3017" t="s">
        <v>2874</v>
      </c>
      <c r="M83" s="3007">
        <f ca="1">IF(N69&gt;10000,N69*0.5%,IF(AND(N69&gt;1000,N69&lt;=10000),N69*1%,IF(AND(N69&gt;100,N69&lt;=1000),N69*3%,IF(AND(N69&gt;10,N69&lt;=100),N69*5%,N69*8%))))</f>
        <v>55.76</v>
      </c>
      <c r="N83" s="53">
        <f ca="1">ROUND(M83,1)</f>
        <v>55.8</v>
      </c>
      <c r="O83" s="3010"/>
      <c r="P83" s="2013"/>
      <c r="Q83" s="2013"/>
      <c r="R83" s="2013"/>
      <c r="S83" s="2013"/>
      <c r="T83" s="2013"/>
      <c r="U83" s="2013"/>
      <c r="V83" s="2013"/>
    </row>
    <row r="84" spans="1:26" ht="12.75">
      <c r="A84" s="380" t="s">
        <v>1825</v>
      </c>
      <c r="B84" s="381" t="s">
        <v>434</v>
      </c>
      <c r="C84" s="382">
        <v>2000</v>
      </c>
      <c r="D84" s="383" t="s">
        <v>19</v>
      </c>
      <c r="E84" s="3052" t="s">
        <v>2941</v>
      </c>
      <c r="F84" s="42"/>
      <c r="G84" s="42"/>
      <c r="H84" s="1002"/>
      <c r="I84" s="310"/>
      <c r="J84" s="2013"/>
      <c r="K84" s="3354"/>
      <c r="L84" s="3017" t="s">
        <v>2875</v>
      </c>
      <c r="M84" s="3007">
        <f ca="1">IF(N69&gt;2000,N69*0.5%,IF(AND(N69&gt;1000,N69&lt;=2000),N69*0.6%,IF(AND(N69&gt;500,N69&lt;=1000),N69*0.7%,IF(AND(N69&gt;200,N69&lt;=500),N69*0.8%,IF(AND(N69&gt;100,N69&lt;=200),N69*0.9%,IF(AND(N69&gt;50,N69&lt;=100),N69*1%,IF(AND(N69&gt;20,N69&lt;=50),N69*1.5%,IF(AND(N69&gt;10,N69&lt;=20),N69*2%,IF(AND(N69&gt;1,N69&lt;=10),N69*2.5%)))))))))</f>
        <v>27.88</v>
      </c>
      <c r="N84" s="53">
        <f t="shared" ref="N84:N85" ca="1" si="2">ROUND(M84,1)</f>
        <v>27.9</v>
      </c>
      <c r="O84" s="2013" t="s">
        <v>2876</v>
      </c>
      <c r="P84" s="2013"/>
      <c r="Q84" s="2013"/>
      <c r="R84" s="2013"/>
      <c r="S84" s="2013"/>
      <c r="T84" s="2013"/>
      <c r="U84" s="2013"/>
      <c r="V84" s="2013"/>
    </row>
    <row r="85" spans="1:26" ht="12.75">
      <c r="A85" s="380" t="s">
        <v>1826</v>
      </c>
      <c r="B85" s="381" t="s">
        <v>435</v>
      </c>
      <c r="C85" s="384">
        <f ca="1">C81-C84</f>
        <v>1187</v>
      </c>
      <c r="D85" s="377" t="s">
        <v>19</v>
      </c>
      <c r="E85" s="378"/>
      <c r="F85" s="42"/>
      <c r="G85" s="42"/>
      <c r="H85" s="1002"/>
      <c r="I85" s="310"/>
      <c r="J85" s="2013"/>
      <c r="K85" s="3354"/>
      <c r="L85" s="3017" t="s">
        <v>2877</v>
      </c>
      <c r="M85" s="3007">
        <f ca="1">IF(N69&gt;1000,N69*0.1%,IF(AND(N69&gt;500,N69&lt;=1000),N69*0.5%,IF(AND(N69&gt;50,N69&lt;=500),N69*1%,IF(AND(N69&gt;1,N69&lt;=50),N69*1.5%))))</f>
        <v>5.5760000000000005</v>
      </c>
      <c r="N85" s="53">
        <f t="shared" ca="1" si="2"/>
        <v>5.6</v>
      </c>
      <c r="O85" s="2013" t="s">
        <v>2876</v>
      </c>
      <c r="P85" s="2013"/>
      <c r="Q85" s="2013"/>
      <c r="R85" s="2013"/>
      <c r="S85" s="2013"/>
      <c r="T85" s="2013"/>
      <c r="U85" s="2013"/>
      <c r="V85" s="2013"/>
    </row>
    <row r="86" spans="1:26" ht="13.5" thickBot="1">
      <c r="A86" s="385" t="s">
        <v>1827</v>
      </c>
      <c r="B86" s="386" t="s">
        <v>436</v>
      </c>
      <c r="C86" s="387">
        <f ca="1">IF(C85&lt;=0,0,ROUND(C85*D86,0))</f>
        <v>65</v>
      </c>
      <c r="D86" s="388">
        <f>'数据-取费表'!B41</f>
        <v>5.5000000000000007E-2</v>
      </c>
      <c r="E86" s="389"/>
      <c r="F86" s="42"/>
      <c r="G86" s="42"/>
      <c r="H86" s="1002"/>
      <c r="I86" s="310"/>
      <c r="J86" s="2013"/>
      <c r="K86" s="3354"/>
      <c r="L86" s="3017" t="s">
        <v>2878</v>
      </c>
      <c r="M86" s="3007">
        <f ca="1">N69*0.5%</f>
        <v>27.88</v>
      </c>
      <c r="N86" s="53">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2"/>
      <c r="G87" s="42"/>
      <c r="H87" s="1002"/>
      <c r="I87" s="310"/>
      <c r="J87" s="2013"/>
      <c r="K87" s="3354"/>
      <c r="L87" s="3017" t="s">
        <v>2880</v>
      </c>
      <c r="M87" s="3007">
        <f ca="1">IF(N69&gt;=10000,(8.25+(N69-10000)*0.01%),IF(AND(N69&gt;=8000,N69&lt;10000),(7.85+(N69-8000)*0.02%),IF(AND(N69&gt;=5000,N69&lt;8000),(6.65+(N69-5000)*0.04%),IF(AND(N69&gt;=2000,N69&lt;5000),(4.25+(PN69-2000)*0.08%),IF(AND(N69&gt;=1000,N69&lt;2000),(2.75+(N69-1000)*0.15%),IF(AND(N69&gt;=100,N69&lt;1000),(0.5+(N69-100)*0.25%),IF(AND(N69&gt;0,N69&lt;100),N69*0.5%)))))))</f>
        <v>6.8804000000000007</v>
      </c>
      <c r="N87" s="53">
        <f ca="1">ROUND(M87*0.9,1)</f>
        <v>6.2</v>
      </c>
      <c r="O87" s="3010"/>
      <c r="P87" s="310"/>
      <c r="Q87" s="2013"/>
      <c r="R87" s="2013"/>
      <c r="S87" s="2013"/>
      <c r="T87" s="2013"/>
      <c r="U87" s="2013"/>
      <c r="V87" s="2013"/>
      <c r="W87" s="291"/>
      <c r="X87" s="291"/>
      <c r="Y87" s="291"/>
      <c r="Z87" s="291"/>
    </row>
    <row r="88" spans="1:26" s="1309" customFormat="1" ht="15" thickBot="1">
      <c r="A88" s="3336" t="s">
        <v>437</v>
      </c>
      <c r="B88" s="3337"/>
      <c r="C88" s="3337"/>
      <c r="D88" s="3337"/>
      <c r="E88" s="3337"/>
      <c r="F88" s="3337"/>
      <c r="G88" s="3337"/>
      <c r="H88" s="3337"/>
      <c r="I88" s="1310"/>
      <c r="J88" s="2021"/>
      <c r="K88" s="3354"/>
      <c r="L88" s="3017" t="s">
        <v>2881</v>
      </c>
      <c r="M88" s="3007">
        <f ca="1">IF(N69&gt;10000,N69*0.5%,IF(AND(N69&gt;5000,N69&lt;=10000),N69*1%,IF(AND(N69&gt;1000,N69&lt;=5000),N69*2%,IF(AND(N69&gt;200,N69&lt;=1000),N69*3%,N69*5%))))</f>
        <v>55.76</v>
      </c>
      <c r="N88" s="53">
        <f ca="1">ROUND(M88,1)</f>
        <v>55.8</v>
      </c>
      <c r="O88" s="3010"/>
      <c r="P88" s="11"/>
      <c r="Q88" s="2018"/>
      <c r="R88" s="2018"/>
      <c r="S88" s="2018"/>
      <c r="T88" s="2018"/>
      <c r="U88" s="2018"/>
      <c r="V88" s="2018"/>
      <c r="W88" s="2022"/>
      <c r="X88" s="2022"/>
      <c r="Y88" s="2022"/>
      <c r="Z88" s="2022"/>
    </row>
    <row r="89" spans="1:26" s="1309" customFormat="1" ht="14.25">
      <c r="A89" s="3334" t="s">
        <v>428</v>
      </c>
      <c r="B89" s="3335"/>
      <c r="C89" s="993"/>
      <c r="D89" s="993" t="s">
        <v>429</v>
      </c>
      <c r="E89" s="390" t="s">
        <v>438</v>
      </c>
      <c r="F89" s="391"/>
      <c r="G89" s="391"/>
      <c r="H89" s="392"/>
      <c r="I89" s="1311"/>
      <c r="J89" s="2023"/>
      <c r="K89" s="3354"/>
      <c r="L89" s="3017" t="s">
        <v>27</v>
      </c>
      <c r="M89" s="3008"/>
      <c r="N89" s="53">
        <f ca="1">ROUND(SUM(N83:N88),0)</f>
        <v>152</v>
      </c>
      <c r="O89" s="3018">
        <f ca="1">N89/N69</f>
        <v>2.7259684361549498E-2</v>
      </c>
      <c r="P89" s="2018"/>
      <c r="Q89" s="2018"/>
      <c r="R89" s="2018"/>
      <c r="S89" s="2018"/>
      <c r="T89" s="2018"/>
      <c r="U89" s="2018"/>
      <c r="V89" s="2018"/>
      <c r="W89" s="2022"/>
      <c r="X89" s="2022"/>
      <c r="Y89" s="2022"/>
      <c r="Z89" s="2022"/>
    </row>
    <row r="90" spans="1:26" s="1309" customFormat="1" ht="14.25">
      <c r="A90" s="380" t="s">
        <v>1822</v>
      </c>
      <c r="B90" s="381" t="s">
        <v>439</v>
      </c>
      <c r="C90" s="384">
        <f ca="1">ROUND(D63/(1+'数据-取费表'!C42),0)</f>
        <v>3187</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1828</v>
      </c>
      <c r="B91" s="347" t="s">
        <v>440</v>
      </c>
      <c r="C91" s="384">
        <f ca="1">C92+C96</f>
        <v>2577</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1829</v>
      </c>
      <c r="B92" s="375" t="s">
        <v>441</v>
      </c>
      <c r="C92" s="377">
        <f>ROUND(IF(G95="2016年5月1日后购买",C93/(1+'数据-取费表'!C30)+C94+C95,C93+C94+C95),0)</f>
        <v>2561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1830</v>
      </c>
      <c r="B93" s="375" t="s">
        <v>442</v>
      </c>
      <c r="C93" s="395">
        <v>2000</v>
      </c>
      <c r="D93" s="377" t="s">
        <v>19</v>
      </c>
      <c r="E93" s="396" t="s">
        <v>443</v>
      </c>
      <c r="F93" s="397" t="s">
        <v>444</v>
      </c>
      <c r="G93" s="396" t="s">
        <v>445</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1831</v>
      </c>
      <c r="B94" s="399" t="s">
        <v>446</v>
      </c>
      <c r="C94" s="377">
        <f>IF(F93="购房发票",ROUND(C93*H93*5%,0),0)</f>
        <v>500</v>
      </c>
      <c r="D94" s="400">
        <v>0.05</v>
      </c>
      <c r="E94" s="3293" t="s">
        <v>447</v>
      </c>
      <c r="F94" s="3292"/>
      <c r="G94" s="3292"/>
      <c r="H94" s="3333"/>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1833</v>
      </c>
      <c r="B96" s="375" t="s">
        <v>450</v>
      </c>
      <c r="C96" s="404">
        <f ca="1">ROUND(D63*D96/(1+'数据-取费表'!C42),0)</f>
        <v>16</v>
      </c>
      <c r="D96" s="405">
        <f>'数据-取费表'!B43</f>
        <v>5.000000000000001E-3</v>
      </c>
      <c r="E96" s="3325" t="s">
        <v>2427</v>
      </c>
      <c r="F96" s="3326"/>
      <c r="G96" s="3326"/>
      <c r="H96" s="3327"/>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1834</v>
      </c>
      <c r="B97" s="381" t="s">
        <v>451</v>
      </c>
      <c r="C97" s="384">
        <f ca="1">C90-C91</f>
        <v>610</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1" t="s">
        <v>452</v>
      </c>
      <c r="C98" s="406">
        <f ca="1">IF(C97&lt;=0,0,C97/C91)</f>
        <v>0.23670935195964299</v>
      </c>
      <c r="D98" s="377"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1836</v>
      </c>
      <c r="B99" s="386" t="s">
        <v>453</v>
      </c>
      <c r="C99" s="407">
        <f ca="1">ROUND(IF(C97&lt;=0,0,IF(C98&gt;=200%,C97*60%-C91*35%,IF(C98&gt;=100%,C97*50%-C91*15%,IF(C98&gt;=50%,C97*40%-C91*5%,IF(C98&lt;50%,C97*30%,0))))),0)</f>
        <v>183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36" t="s">
        <v>454</v>
      </c>
      <c r="B101" s="3337"/>
      <c r="C101" s="3337"/>
      <c r="D101" s="3337"/>
      <c r="E101" s="3337"/>
      <c r="F101" s="3337"/>
      <c r="G101" s="3337"/>
      <c r="H101" s="3337"/>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34" t="s">
        <v>428</v>
      </c>
      <c r="B102" s="3335"/>
      <c r="C102" s="993"/>
      <c r="D102" s="993" t="s">
        <v>429</v>
      </c>
      <c r="E102" s="390" t="s">
        <v>438</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1822</v>
      </c>
      <c r="B103" s="381" t="s">
        <v>439</v>
      </c>
      <c r="C103" s="384">
        <f ca="1">ROUND(D63/(1+'数据-取费表'!C42),0)</f>
        <v>3187</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1828</v>
      </c>
      <c r="B104" s="347" t="s">
        <v>440</v>
      </c>
      <c r="C104" s="384">
        <f ca="1">IF(H106="仅含出让金",C105+C108+C109+C110+C111+C112,C105+C109+C110+C111+C112)</f>
        <v>706</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1829</v>
      </c>
      <c r="B105" s="375" t="s">
        <v>455</v>
      </c>
      <c r="C105" s="404">
        <f>C106+C107</f>
        <v>572</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1830</v>
      </c>
      <c r="B106" s="375" t="s">
        <v>456</v>
      </c>
      <c r="C106" s="415">
        <v>555</v>
      </c>
      <c r="D106" s="405"/>
      <c r="E106" s="416" t="s">
        <v>457</v>
      </c>
      <c r="F106" s="985"/>
      <c r="G106" s="417" t="s">
        <v>458</v>
      </c>
      <c r="H106" s="418"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1831</v>
      </c>
      <c r="B107" s="375" t="s">
        <v>448</v>
      </c>
      <c r="C107" s="404">
        <f>ROUND(C106*D107,0)</f>
        <v>17</v>
      </c>
      <c r="D107" s="405">
        <f>'数据-取费表'!B48+'数据-取费表'!B49</f>
        <v>3.0499999999999999E-2</v>
      </c>
      <c r="E107" s="416"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1833</v>
      </c>
      <c r="B108" s="375" t="s">
        <v>460</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5" t="s">
        <v>461</v>
      </c>
      <c r="C109" s="404">
        <f>IF(H109="——",IF(F1="现房",'剩余法-现房'!C18,'剩余法-待开发'!C18),I109)</f>
        <v>55</v>
      </c>
      <c r="D109" s="405"/>
      <c r="E109" s="3328" t="s">
        <v>462</v>
      </c>
      <c r="F109" s="3326"/>
      <c r="G109" s="3326"/>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5" t="s">
        <v>463</v>
      </c>
      <c r="C110" s="404">
        <f>ROUND((C105+C108+C109)*D110,0)</f>
        <v>63</v>
      </c>
      <c r="D110" s="405">
        <v>0.1</v>
      </c>
      <c r="E110" s="3328" t="s">
        <v>464</v>
      </c>
      <c r="F110" s="3326"/>
      <c r="G110" s="3326"/>
      <c r="H110" s="3327"/>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5" t="s">
        <v>450</v>
      </c>
      <c r="C111" s="404">
        <f ca="1">ROUND(D63*D111/(1+'数据-取费表'!C42),0)</f>
        <v>16</v>
      </c>
      <c r="D111" s="405">
        <f>'数据-取费表'!B43</f>
        <v>5.000000000000001E-3</v>
      </c>
      <c r="E111" s="3325" t="s">
        <v>2427</v>
      </c>
      <c r="F111" s="3326"/>
      <c r="G111" s="3326"/>
      <c r="H111" s="3327"/>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5" t="s">
        <v>465</v>
      </c>
      <c r="C112" s="404">
        <f>ROUND(C108*D112,0)</f>
        <v>0</v>
      </c>
      <c r="D112" s="405">
        <v>0.2</v>
      </c>
      <c r="E112" s="3328" t="s">
        <v>2452</v>
      </c>
      <c r="F112" s="3326"/>
      <c r="G112" s="3326"/>
      <c r="H112" s="3327"/>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1834</v>
      </c>
      <c r="B113" s="381" t="s">
        <v>451</v>
      </c>
      <c r="C113" s="384">
        <f ca="1">ROUND(C103-C104,0)</f>
        <v>2481</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1" t="s">
        <v>452</v>
      </c>
      <c r="C114" s="406">
        <f ca="1">IF(C113&lt;=0,0,C113/C104)</f>
        <v>3.5141643059490084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1836</v>
      </c>
      <c r="B115" s="386" t="s">
        <v>453</v>
      </c>
      <c r="C115" s="407">
        <f ca="1">ROUND(IF(C113&lt;=0,0,IF(C114&gt;=200%,C113*60%-C104*35%,IF(C114&gt;=100%,C113*50%-C104*15%,IF(C114&gt;=50%,C113*40%-C104*5%,IF(C114&lt;50%,C113*30%,0))))),0)</f>
        <v>1242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M29" sqref="M2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5573</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09">
        <f>ROUND(B2*10000/'数据-汇总表'!E3,0)</f>
        <v>601</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902</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60</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521</v>
      </c>
      <c r="B6" s="512"/>
      <c r="C6" s="3379" t="s">
        <v>522</v>
      </c>
      <c r="D6" s="3380"/>
      <c r="E6" s="3379" t="s">
        <v>523</v>
      </c>
      <c r="F6" s="3380"/>
      <c r="G6" s="3379" t="s">
        <v>524</v>
      </c>
      <c r="H6" s="3380"/>
      <c r="I6" s="3379" t="s">
        <v>525</v>
      </c>
      <c r="J6" s="3380"/>
      <c r="K6" s="513" t="s">
        <v>526</v>
      </c>
      <c r="L6" s="2118"/>
      <c r="M6" s="2117"/>
      <c r="N6" s="2117"/>
      <c r="O6" s="2119"/>
      <c r="P6" s="3381" t="s">
        <v>527</v>
      </c>
      <c r="Q6" s="3382"/>
      <c r="R6" s="3387" t="s">
        <v>523</v>
      </c>
      <c r="S6" s="3388"/>
      <c r="T6" s="3387" t="s">
        <v>524</v>
      </c>
      <c r="U6" s="3388"/>
      <c r="V6" s="3374" t="s">
        <v>525</v>
      </c>
      <c r="W6" s="3374"/>
      <c r="X6" s="1553"/>
      <c r="Y6" s="3387" t="s">
        <v>527</v>
      </c>
      <c r="Z6" s="3388"/>
      <c r="AA6" s="3376" t="s">
        <v>523</v>
      </c>
      <c r="AB6" s="3377" t="s">
        <v>524</v>
      </c>
      <c r="AC6" s="3376" t="s">
        <v>525</v>
      </c>
    </row>
    <row r="7" spans="1:30" ht="20.25">
      <c r="A7" s="514"/>
      <c r="B7" s="515"/>
      <c r="C7" s="3395" t="s">
        <v>2930</v>
      </c>
      <c r="D7" s="3396"/>
      <c r="E7" s="3395" t="str">
        <f>土地案例!A3</f>
        <v>曹妃甸新城东海路以西,渤海大道以北</v>
      </c>
      <c r="F7" s="3396"/>
      <c r="G7" s="3395" t="str">
        <f>土地案例!A6</f>
        <v>曹妃甸新城东海路以西,科教大道以北</v>
      </c>
      <c r="H7" s="3396"/>
      <c r="I7" s="3395" t="str">
        <f>土地案例!A8</f>
        <v>曹妃甸新城东海路以西,科教北道以北</v>
      </c>
      <c r="J7" s="3396"/>
      <c r="K7" s="513"/>
      <c r="L7" s="2118"/>
      <c r="M7" s="2117"/>
      <c r="N7" s="2117"/>
      <c r="O7" s="2119"/>
      <c r="P7" s="3383"/>
      <c r="Q7" s="3384"/>
      <c r="R7" s="3389"/>
      <c r="S7" s="3390"/>
      <c r="T7" s="3389"/>
      <c r="U7" s="3390"/>
      <c r="V7" s="3374"/>
      <c r="W7" s="3374"/>
      <c r="X7" s="1553"/>
      <c r="Y7" s="3389"/>
      <c r="Z7" s="3390"/>
      <c r="AA7" s="3377"/>
      <c r="AB7" s="3377"/>
      <c r="AC7" s="3377"/>
    </row>
    <row r="8" spans="1:30" ht="21" thickBot="1">
      <c r="A8" s="514"/>
      <c r="B8" s="515"/>
      <c r="C8" s="3397" t="s">
        <v>2934</v>
      </c>
      <c r="D8" s="3398"/>
      <c r="E8" s="3397" t="s">
        <v>2934</v>
      </c>
      <c r="F8" s="3398"/>
      <c r="G8" s="3393" t="s">
        <v>2934</v>
      </c>
      <c r="H8" s="3394"/>
      <c r="I8" s="3393" t="s">
        <v>2934</v>
      </c>
      <c r="J8" s="3394"/>
      <c r="K8" s="513" t="s">
        <v>528</v>
      </c>
      <c r="L8" s="2118"/>
      <c r="M8" s="2117"/>
      <c r="N8" s="2117"/>
      <c r="O8" s="2119"/>
      <c r="P8" s="3385"/>
      <c r="Q8" s="3386"/>
      <c r="R8" s="3389"/>
      <c r="S8" s="3390"/>
      <c r="T8" s="3391"/>
      <c r="U8" s="3392"/>
      <c r="V8" s="3374"/>
      <c r="W8" s="3374"/>
      <c r="X8" s="1553"/>
      <c r="Y8" s="3391"/>
      <c r="Z8" s="3392"/>
      <c r="AA8" s="3378"/>
      <c r="AB8" s="3378"/>
      <c r="AC8" s="3378"/>
    </row>
    <row r="9" spans="1:30" s="1215" customFormat="1" ht="21" thickBot="1">
      <c r="A9" s="2867"/>
      <c r="B9" s="2874" t="s">
        <v>529</v>
      </c>
      <c r="C9" s="2866">
        <f>'数据-取费表'!B2</f>
        <v>43734</v>
      </c>
      <c r="D9" s="519">
        <v>100</v>
      </c>
      <c r="E9" s="520" t="str">
        <f>土地案例!H3</f>
        <v>2019-09-12</v>
      </c>
      <c r="F9" s="521">
        <f>SUMIF(72:72,YEAR(E9)&amp;"-"&amp;INT((MONTH(E9)+2)/3),73:73)</f>
        <v>100</v>
      </c>
      <c r="G9" s="522" t="str">
        <f>土地案例!H6</f>
        <v>2019-09-12</v>
      </c>
      <c r="H9" s="519">
        <f>SUMIF(72:72,YEAR(G9)&amp;"-"&amp;INT((MONTH(G9)+2)/3),73:73)</f>
        <v>100</v>
      </c>
      <c r="I9" s="520" t="str">
        <f>土地案例!H8</f>
        <v>2019-09-12</v>
      </c>
      <c r="J9" s="519">
        <f>SUMIF(72:72,YEAR(I9)&amp;"-"&amp;INT((MONTH(I9)+2)/3),73:73)</f>
        <v>100</v>
      </c>
      <c r="K9" s="523"/>
      <c r="L9" s="2120"/>
      <c r="M9" s="2117"/>
      <c r="N9" s="2117"/>
      <c r="O9" s="2121"/>
      <c r="P9" s="3404" t="s">
        <v>530</v>
      </c>
      <c r="Q9" s="3406"/>
      <c r="R9" s="1554" t="s">
        <v>8</v>
      </c>
      <c r="S9" s="1555">
        <f t="shared" ref="S9:S17" si="0">F9</f>
        <v>100</v>
      </c>
      <c r="T9" s="1554" t="s">
        <v>8</v>
      </c>
      <c r="U9" s="1555">
        <f t="shared" ref="U9:U17" si="1">H9</f>
        <v>100</v>
      </c>
      <c r="V9" s="1554" t="s">
        <v>8</v>
      </c>
      <c r="W9" s="1555">
        <f t="shared" ref="W9:W17" si="2">J9</f>
        <v>100</v>
      </c>
      <c r="X9" s="1556"/>
      <c r="Y9" s="3404" t="s">
        <v>530</v>
      </c>
      <c r="Z9" s="3405"/>
      <c r="AA9" s="1557">
        <f>D9/F9</f>
        <v>1</v>
      </c>
      <c r="AB9" s="1557">
        <f>D9/H9</f>
        <v>1</v>
      </c>
      <c r="AC9" s="1557">
        <f>D9/J9</f>
        <v>1</v>
      </c>
    </row>
    <row r="10" spans="1:30" s="1215" customFormat="1" ht="21" thickBot="1">
      <c r="A10" s="2868"/>
      <c r="B10" s="2875" t="s">
        <v>531</v>
      </c>
      <c r="C10" s="855" t="s">
        <v>532</v>
      </c>
      <c r="D10" s="519">
        <v>100</v>
      </c>
      <c r="E10" s="524" t="s">
        <v>3246</v>
      </c>
      <c r="F10" s="521">
        <f>SUMIF(75:75,E10,76:76)-SUMIF(75:75,C10,76:76)+100</f>
        <v>100</v>
      </c>
      <c r="G10" s="524" t="s">
        <v>3246</v>
      </c>
      <c r="H10" s="519">
        <f>SUMIF(75:75,G10,76:76)-SUMIF(75:75,C10,76:76)+100</f>
        <v>100</v>
      </c>
      <c r="I10" s="524" t="s">
        <v>3246</v>
      </c>
      <c r="J10" s="519">
        <f>SUMIF(75:75,I10,76:76)-SUMIF(75:75,C10,76:76)+100</f>
        <v>100</v>
      </c>
      <c r="K10" s="523"/>
      <c r="L10" s="2120"/>
      <c r="M10" s="2117"/>
      <c r="N10" s="2117"/>
      <c r="O10" s="2121"/>
      <c r="P10" s="3404" t="s">
        <v>533</v>
      </c>
      <c r="Q10" s="3405"/>
      <c r="R10" s="1554" t="s">
        <v>8</v>
      </c>
      <c r="S10" s="1555">
        <f t="shared" si="0"/>
        <v>100</v>
      </c>
      <c r="T10" s="1554" t="s">
        <v>8</v>
      </c>
      <c r="U10" s="1555">
        <f t="shared" si="1"/>
        <v>100</v>
      </c>
      <c r="V10" s="1554" t="s">
        <v>8</v>
      </c>
      <c r="W10" s="1555">
        <f t="shared" si="2"/>
        <v>100</v>
      </c>
      <c r="X10" s="1556"/>
      <c r="Y10" s="3404" t="s">
        <v>533</v>
      </c>
      <c r="Z10" s="3405"/>
      <c r="AA10" s="1557">
        <f t="shared" ref="AA10:AA47" si="3">D10/F10</f>
        <v>1</v>
      </c>
      <c r="AB10" s="1557">
        <f t="shared" ref="AB10:AB47" si="4">D10/H10</f>
        <v>1</v>
      </c>
      <c r="AC10" s="1557">
        <f t="shared" ref="AC10:AC47" si="5">D10/J10</f>
        <v>1</v>
      </c>
    </row>
    <row r="11" spans="1:30" s="1215" customFormat="1" ht="20.25">
      <c r="A11" s="2869"/>
      <c r="B11" s="2876" t="s">
        <v>2755</v>
      </c>
      <c r="C11" s="2863"/>
      <c r="D11" s="253">
        <v>100</v>
      </c>
      <c r="E11" s="525"/>
      <c r="F11" s="253">
        <f>SUMIF(77:77,E11,78:78)-SUMIF(77:77,C11,78:78)+100</f>
        <v>100</v>
      </c>
      <c r="G11" s="525"/>
      <c r="H11" s="253">
        <f>SUMIF(77:77,G11,78:78)-SUMIF(77:77,C11,78:78)+100</f>
        <v>100</v>
      </c>
      <c r="I11" s="525"/>
      <c r="J11" s="253">
        <f>SUMIF(77:77,I11,78:78)-SUMIF(77:77,C11,78:78)+100</f>
        <v>100</v>
      </c>
      <c r="K11" s="523"/>
      <c r="L11" s="2120"/>
      <c r="M11" s="2117"/>
      <c r="N11" s="2117"/>
      <c r="O11" s="2122"/>
      <c r="P11" s="3373" t="s">
        <v>535</v>
      </c>
      <c r="Q11" s="1146" t="str">
        <f t="shared" ref="Q11:Q17" si="6">B11</f>
        <v>用途</v>
      </c>
      <c r="R11" s="1554" t="s">
        <v>8</v>
      </c>
      <c r="S11" s="1555">
        <f t="shared" si="0"/>
        <v>100</v>
      </c>
      <c r="T11" s="1554" t="s">
        <v>8</v>
      </c>
      <c r="U11" s="1555">
        <f t="shared" si="1"/>
        <v>100</v>
      </c>
      <c r="V11" s="1554" t="s">
        <v>8</v>
      </c>
      <c r="W11" s="1555">
        <f t="shared" si="2"/>
        <v>100</v>
      </c>
      <c r="X11" s="1556"/>
      <c r="Y11" s="3315" t="s">
        <v>536</v>
      </c>
      <c r="Z11" s="1145" t="str">
        <f t="shared" ref="Z11:Z17" si="7">Q11</f>
        <v>用途</v>
      </c>
      <c r="AA11" s="1557">
        <f t="shared" si="3"/>
        <v>1</v>
      </c>
      <c r="AB11" s="1557">
        <f t="shared" si="4"/>
        <v>1</v>
      </c>
      <c r="AC11" s="1557">
        <f t="shared" si="5"/>
        <v>1</v>
      </c>
    </row>
    <row r="12" spans="1:30" s="1333" customFormat="1" ht="27">
      <c r="A12" s="2870"/>
      <c r="B12" s="2875" t="s">
        <v>2756</v>
      </c>
      <c r="C12" s="909"/>
      <c r="D12" s="254">
        <v>100</v>
      </c>
      <c r="E12" s="528"/>
      <c r="F12" s="254">
        <f>ROUND(100/'数据-取费表'!G16,0)</f>
        <v>102</v>
      </c>
      <c r="G12" s="529"/>
      <c r="H12" s="254">
        <f>ROUND(100/'数据-取费表'!G16,0)</f>
        <v>102</v>
      </c>
      <c r="I12" s="529"/>
      <c r="J12" s="254">
        <f>ROUND(100/'数据-取费表'!G16,0)</f>
        <v>102</v>
      </c>
      <c r="K12" s="530"/>
      <c r="L12" s="2123"/>
      <c r="M12" s="2117"/>
      <c r="N12" s="2117"/>
      <c r="O12" s="2124"/>
      <c r="P12" s="3373"/>
      <c r="Q12" s="1146" t="str">
        <f t="shared" si="6"/>
        <v>土地使用年限（年）</v>
      </c>
      <c r="R12" s="1554" t="s">
        <v>8</v>
      </c>
      <c r="S12" s="1555">
        <f t="shared" si="0"/>
        <v>102</v>
      </c>
      <c r="T12" s="1554" t="s">
        <v>8</v>
      </c>
      <c r="U12" s="1555">
        <f t="shared" si="1"/>
        <v>102</v>
      </c>
      <c r="V12" s="1554" t="s">
        <v>8</v>
      </c>
      <c r="W12" s="1555">
        <f t="shared" si="2"/>
        <v>102</v>
      </c>
      <c r="X12" s="1556"/>
      <c r="Y12" s="3315"/>
      <c r="Z12" s="1145" t="str">
        <f t="shared" si="7"/>
        <v>土地使用年限（年）</v>
      </c>
      <c r="AA12" s="1557">
        <f t="shared" si="3"/>
        <v>0.98039215686274506</v>
      </c>
      <c r="AB12" s="1557">
        <f t="shared" si="4"/>
        <v>0.98039215686274506</v>
      </c>
      <c r="AC12" s="1557">
        <f t="shared" si="5"/>
        <v>0.98039215686274506</v>
      </c>
    </row>
    <row r="13" spans="1:30" ht="20.25">
      <c r="A13" s="2871"/>
      <c r="B13" s="2875" t="s">
        <v>2757</v>
      </c>
      <c r="C13" s="533">
        <v>1.5</v>
      </c>
      <c r="D13" s="254">
        <v>100</v>
      </c>
      <c r="E13" s="532">
        <v>1.5</v>
      </c>
      <c r="F13" s="254">
        <f>LOOKUP(E13,82:82,83:83)-LOOKUP(C13,82:82,83:83)+100</f>
        <v>100</v>
      </c>
      <c r="G13" s="533">
        <v>1.5</v>
      </c>
      <c r="H13" s="254">
        <f>LOOKUP(G13,82:82,83:83)-LOOKUP(C13,82:82,83:83)+100</f>
        <v>100</v>
      </c>
      <c r="I13" s="532">
        <v>1.5</v>
      </c>
      <c r="J13" s="254">
        <f>LOOKUP(I13,82:82,83:83)-LOOKUP(C13,82:82,83:83)+100</f>
        <v>100</v>
      </c>
      <c r="K13" s="534">
        <v>1</v>
      </c>
      <c r="L13" s="2125"/>
      <c r="M13" s="2117"/>
      <c r="N13" s="2117"/>
      <c r="O13" s="2126"/>
      <c r="P13" s="3373"/>
      <c r="Q13" s="1146" t="str">
        <f t="shared" si="6"/>
        <v>容积率</v>
      </c>
      <c r="R13" s="1554" t="s">
        <v>8</v>
      </c>
      <c r="S13" s="1555">
        <f t="shared" si="0"/>
        <v>100</v>
      </c>
      <c r="T13" s="1554" t="s">
        <v>8</v>
      </c>
      <c r="U13" s="1555">
        <f t="shared" si="1"/>
        <v>100</v>
      </c>
      <c r="V13" s="1554" t="s">
        <v>8</v>
      </c>
      <c r="W13" s="1555">
        <f t="shared" si="2"/>
        <v>100</v>
      </c>
      <c r="X13" s="1556"/>
      <c r="Y13" s="3315"/>
      <c r="Z13" s="1145" t="str">
        <f t="shared" si="7"/>
        <v>容积率</v>
      </c>
      <c r="AA13" s="1557">
        <f t="shared" si="3"/>
        <v>1</v>
      </c>
      <c r="AB13" s="1557">
        <f t="shared" si="4"/>
        <v>1</v>
      </c>
      <c r="AC13" s="1557">
        <f t="shared" si="5"/>
        <v>1</v>
      </c>
    </row>
    <row r="14" spans="1:30" s="1215" customFormat="1" ht="20.25" hidden="1">
      <c r="A14" s="2868"/>
      <c r="B14" s="2877" t="s">
        <v>2758</v>
      </c>
      <c r="C14" s="2864"/>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73"/>
      <c r="Q14" s="1146" t="str">
        <f t="shared" si="6"/>
        <v>配建</v>
      </c>
      <c r="R14" s="1554" t="s">
        <v>8</v>
      </c>
      <c r="S14" s="1555">
        <f t="shared" si="0"/>
        <v>100</v>
      </c>
      <c r="T14" s="1554" t="s">
        <v>8</v>
      </c>
      <c r="U14" s="1555">
        <f t="shared" si="1"/>
        <v>100</v>
      </c>
      <c r="V14" s="1554" t="s">
        <v>8</v>
      </c>
      <c r="W14" s="1555">
        <f t="shared" si="2"/>
        <v>100</v>
      </c>
      <c r="X14" s="1556"/>
      <c r="Y14" s="3315"/>
      <c r="Z14" s="1145" t="str">
        <f t="shared" si="7"/>
        <v>配建</v>
      </c>
      <c r="AA14" s="1557">
        <f>D14/F14</f>
        <v>1</v>
      </c>
      <c r="AB14" s="1557">
        <f>D14/H14</f>
        <v>1</v>
      </c>
      <c r="AC14" s="1557">
        <f>D14/J14</f>
        <v>1</v>
      </c>
    </row>
    <row r="15" spans="1:30" ht="20.25" hidden="1">
      <c r="A15" s="2872"/>
      <c r="B15" s="2878">
        <v>111</v>
      </c>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73"/>
      <c r="Q15" s="1146">
        <f t="shared" si="6"/>
        <v>111</v>
      </c>
      <c r="R15" s="1554" t="s">
        <v>8</v>
      </c>
      <c r="S15" s="1555">
        <f t="shared" si="0"/>
        <v>100</v>
      </c>
      <c r="T15" s="1554" t="s">
        <v>8</v>
      </c>
      <c r="U15" s="1555">
        <f t="shared" si="1"/>
        <v>100</v>
      </c>
      <c r="V15" s="1554" t="s">
        <v>8</v>
      </c>
      <c r="W15" s="1555">
        <f t="shared" si="2"/>
        <v>100</v>
      </c>
      <c r="X15" s="1556"/>
      <c r="Y15" s="3315"/>
      <c r="Z15" s="1145">
        <f t="shared" si="7"/>
        <v>111</v>
      </c>
      <c r="AA15" s="1557">
        <f>D15/F15</f>
        <v>1</v>
      </c>
      <c r="AB15" s="1557">
        <f>D15/H15</f>
        <v>1</v>
      </c>
      <c r="AC15" s="1557">
        <f>D15/J15</f>
        <v>1</v>
      </c>
    </row>
    <row r="16" spans="1:30" ht="21" hidden="1" thickBot="1">
      <c r="A16" s="2873"/>
      <c r="B16" s="2879">
        <v>111</v>
      </c>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73"/>
      <c r="Q16" s="1146">
        <f t="shared" si="6"/>
        <v>111</v>
      </c>
      <c r="R16" s="1554" t="s">
        <v>8</v>
      </c>
      <c r="S16" s="1555">
        <f t="shared" si="0"/>
        <v>100</v>
      </c>
      <c r="T16" s="1554" t="s">
        <v>8</v>
      </c>
      <c r="U16" s="1555">
        <f t="shared" si="1"/>
        <v>100</v>
      </c>
      <c r="V16" s="1554" t="s">
        <v>8</v>
      </c>
      <c r="W16" s="1555">
        <f t="shared" si="2"/>
        <v>100</v>
      </c>
      <c r="X16" s="1556"/>
      <c r="Y16" s="3315"/>
      <c r="Z16" s="1145">
        <f t="shared" si="7"/>
        <v>111</v>
      </c>
      <c r="AA16" s="1557">
        <f>D16/F16</f>
        <v>1</v>
      </c>
      <c r="AB16" s="1557">
        <f>D16/H16</f>
        <v>1</v>
      </c>
      <c r="AC16" s="1557">
        <f>D16/J16</f>
        <v>1</v>
      </c>
    </row>
    <row r="17" spans="1:29" ht="99.75" hidden="1">
      <c r="A17" s="2865" t="s">
        <v>2753</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7"/>
      <c r="M17" s="2117"/>
      <c r="N17" s="2117"/>
      <c r="O17" s="2126"/>
      <c r="P17" s="3407" t="s">
        <v>540</v>
      </c>
      <c r="Q17" s="1558" t="str">
        <f t="shared" si="6"/>
        <v>居住社区成熟度</v>
      </c>
      <c r="R17" s="1559" t="s">
        <v>8</v>
      </c>
      <c r="S17" s="1560">
        <f t="shared" si="0"/>
        <v>100</v>
      </c>
      <c r="T17" s="1559" t="s">
        <v>8</v>
      </c>
      <c r="U17" s="1560">
        <f t="shared" si="1"/>
        <v>100</v>
      </c>
      <c r="V17" s="1559" t="s">
        <v>8</v>
      </c>
      <c r="W17" s="1560">
        <f t="shared" si="2"/>
        <v>100</v>
      </c>
      <c r="X17" s="1553"/>
      <c r="Y17" s="3407" t="s">
        <v>540</v>
      </c>
      <c r="Z17" s="1561" t="str">
        <f t="shared" si="7"/>
        <v>居住社区成熟度</v>
      </c>
      <c r="AA17" s="1562">
        <f t="shared" si="3"/>
        <v>1</v>
      </c>
      <c r="AB17" s="1562">
        <f t="shared" si="4"/>
        <v>1</v>
      </c>
      <c r="AC17" s="1562">
        <f t="shared" si="5"/>
        <v>1</v>
      </c>
    </row>
    <row r="18" spans="1:29" ht="20.25" hidden="1">
      <c r="A18" s="531"/>
      <c r="B18" s="552"/>
      <c r="C18" s="553"/>
      <c r="D18" s="556"/>
      <c r="E18" s="557"/>
      <c r="F18" s="554"/>
      <c r="G18" s="555"/>
      <c r="H18" s="558"/>
      <c r="I18" s="557"/>
      <c r="J18" s="554"/>
      <c r="K18" s="530"/>
      <c r="L18" s="2127"/>
      <c r="M18" s="2117"/>
      <c r="N18" s="2117"/>
      <c r="O18" s="2126"/>
      <c r="P18" s="3408"/>
      <c r="Q18" s="1558"/>
      <c r="R18" s="1559"/>
      <c r="S18" s="1560"/>
      <c r="T18" s="1559"/>
      <c r="U18" s="1560"/>
      <c r="V18" s="1559"/>
      <c r="W18" s="1560"/>
      <c r="X18" s="1553"/>
      <c r="Y18" s="3408"/>
      <c r="Z18" s="1561"/>
      <c r="AA18" s="1562">
        <v>1</v>
      </c>
      <c r="AB18" s="1562">
        <v>1</v>
      </c>
      <c r="AC18" s="1562">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105</v>
      </c>
      <c r="G19" s="561"/>
      <c r="H19" s="564">
        <f>SUMIF(92:92,G20,93:93)-SUMIF(92:92,C20,93:93)+100</f>
        <v>105</v>
      </c>
      <c r="I19" s="563"/>
      <c r="J19" s="564">
        <f>SUMIF(92:92,I20,93:93)-SUMIF(92:92,C20,93:93)+100</f>
        <v>105</v>
      </c>
      <c r="K19" s="534">
        <v>5</v>
      </c>
      <c r="L19" s="2127"/>
      <c r="M19" s="2117"/>
      <c r="N19" s="2117"/>
      <c r="O19" s="2126"/>
      <c r="P19" s="3408"/>
      <c r="Q19" s="1558" t="str">
        <f>B19</f>
        <v>商业繁华度</v>
      </c>
      <c r="R19" s="1559" t="s">
        <v>8</v>
      </c>
      <c r="S19" s="1560">
        <f>F19</f>
        <v>105</v>
      </c>
      <c r="T19" s="1559" t="s">
        <v>8</v>
      </c>
      <c r="U19" s="1560">
        <f>H19</f>
        <v>105</v>
      </c>
      <c r="V19" s="1559" t="s">
        <v>8</v>
      </c>
      <c r="W19" s="1560">
        <f>J19</f>
        <v>105</v>
      </c>
      <c r="X19" s="1553"/>
      <c r="Y19" s="3408"/>
      <c r="Z19" s="1561" t="str">
        <f>Q19</f>
        <v>商业繁华度</v>
      </c>
      <c r="AA19" s="1562">
        <f t="shared" si="3"/>
        <v>0.95238095238095233</v>
      </c>
      <c r="AB19" s="1562">
        <f t="shared" si="4"/>
        <v>0.95238095238095233</v>
      </c>
      <c r="AC19" s="1562">
        <f t="shared" si="5"/>
        <v>0.95238095238095233</v>
      </c>
    </row>
    <row r="20" spans="1:29" ht="20.25">
      <c r="A20" s="531"/>
      <c r="B20" s="565"/>
      <c r="C20" s="566" t="s">
        <v>3250</v>
      </c>
      <c r="D20" s="562"/>
      <c r="E20" s="568" t="s">
        <v>3247</v>
      </c>
      <c r="F20" s="558"/>
      <c r="G20" s="567" t="s">
        <v>3247</v>
      </c>
      <c r="H20" s="554"/>
      <c r="I20" s="568" t="s">
        <v>3247</v>
      </c>
      <c r="J20" s="554"/>
      <c r="K20" s="530"/>
      <c r="L20" s="2127"/>
      <c r="M20" s="2117"/>
      <c r="N20" s="2117"/>
      <c r="O20" s="2126"/>
      <c r="P20" s="3408"/>
      <c r="Q20" s="1558"/>
      <c r="R20" s="1559"/>
      <c r="S20" s="1560"/>
      <c r="T20" s="1559"/>
      <c r="U20" s="1560"/>
      <c r="V20" s="1559"/>
      <c r="W20" s="1560"/>
      <c r="X20" s="1553"/>
      <c r="Y20" s="3408"/>
      <c r="Z20" s="1561"/>
      <c r="AA20" s="1562">
        <v>1</v>
      </c>
      <c r="AB20" s="1562">
        <v>1</v>
      </c>
      <c r="AC20" s="1562">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3</v>
      </c>
      <c r="L21" s="2127"/>
      <c r="M21" s="2117"/>
      <c r="N21" s="2117"/>
      <c r="O21" s="2126"/>
      <c r="P21" s="3408"/>
      <c r="Q21" s="1558" t="str">
        <f>B21</f>
        <v>办公集聚程度</v>
      </c>
      <c r="R21" s="1559" t="s">
        <v>8</v>
      </c>
      <c r="S21" s="1560">
        <f>F21</f>
        <v>100</v>
      </c>
      <c r="T21" s="1559" t="s">
        <v>8</v>
      </c>
      <c r="U21" s="1560">
        <f>H21</f>
        <v>100</v>
      </c>
      <c r="V21" s="1559" t="s">
        <v>8</v>
      </c>
      <c r="W21" s="1560">
        <f>J21</f>
        <v>100</v>
      </c>
      <c r="X21" s="1553"/>
      <c r="Y21" s="3408"/>
      <c r="Z21" s="1561" t="str">
        <f>Q21</f>
        <v>办公集聚程度</v>
      </c>
      <c r="AA21" s="1562">
        <f t="shared" si="3"/>
        <v>1</v>
      </c>
      <c r="AB21" s="1562">
        <f t="shared" si="4"/>
        <v>1</v>
      </c>
      <c r="AC21" s="1562">
        <f t="shared" si="5"/>
        <v>1</v>
      </c>
    </row>
    <row r="22" spans="1:29" ht="20.25">
      <c r="A22" s="531"/>
      <c r="B22" s="565"/>
      <c r="C22" s="553" t="s">
        <v>3250</v>
      </c>
      <c r="D22" s="556"/>
      <c r="E22" s="557" t="s">
        <v>3250</v>
      </c>
      <c r="F22" s="554"/>
      <c r="G22" s="555" t="s">
        <v>3250</v>
      </c>
      <c r="H22" s="554"/>
      <c r="I22" s="557" t="s">
        <v>3250</v>
      </c>
      <c r="J22" s="554"/>
      <c r="K22" s="530"/>
      <c r="L22" s="2127"/>
      <c r="M22" s="2117"/>
      <c r="N22" s="2117"/>
      <c r="O22" s="2126"/>
      <c r="P22" s="3408"/>
      <c r="Q22" s="1558"/>
      <c r="R22" s="1559"/>
      <c r="S22" s="1560"/>
      <c r="T22" s="1559"/>
      <c r="U22" s="1560"/>
      <c r="V22" s="1559"/>
      <c r="W22" s="1560"/>
      <c r="X22" s="1553"/>
      <c r="Y22" s="3408"/>
      <c r="Z22" s="1561"/>
      <c r="AA22" s="1562">
        <v>1</v>
      </c>
      <c r="AB22" s="1562">
        <v>1</v>
      </c>
      <c r="AC22" s="1562">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105</v>
      </c>
      <c r="G23" s="561"/>
      <c r="H23" s="558">
        <f>SUMIF(96:96,G24,97:97)-SUMIF(96:96,C24,97:97)+100</f>
        <v>105</v>
      </c>
      <c r="I23" s="563"/>
      <c r="J23" s="558">
        <f>SUMIF(96:96,I24,97:97)-SUMIF(96:96,C24,97:97)+100</f>
        <v>105</v>
      </c>
      <c r="K23" s="534">
        <v>5</v>
      </c>
      <c r="L23" s="2127"/>
      <c r="M23" s="2117"/>
      <c r="N23" s="2117"/>
      <c r="O23" s="2126"/>
      <c r="P23" s="3408"/>
      <c r="Q23" s="1558" t="str">
        <f>B23</f>
        <v>交通便捷度</v>
      </c>
      <c r="R23" s="1559" t="s">
        <v>8</v>
      </c>
      <c r="S23" s="1560">
        <f>F23</f>
        <v>105</v>
      </c>
      <c r="T23" s="1559" t="s">
        <v>8</v>
      </c>
      <c r="U23" s="1560">
        <f>H23</f>
        <v>105</v>
      </c>
      <c r="V23" s="1559" t="s">
        <v>8</v>
      </c>
      <c r="W23" s="1560">
        <f>J23</f>
        <v>105</v>
      </c>
      <c r="X23" s="1553"/>
      <c r="Y23" s="3408"/>
      <c r="Z23" s="1561" t="str">
        <f>Q23</f>
        <v>交通便捷度</v>
      </c>
      <c r="AA23" s="1562">
        <f t="shared" si="3"/>
        <v>0.95238095238095233</v>
      </c>
      <c r="AB23" s="1562">
        <f t="shared" si="4"/>
        <v>0.95238095238095233</v>
      </c>
      <c r="AC23" s="1562">
        <f t="shared" si="5"/>
        <v>0.95238095238095233</v>
      </c>
    </row>
    <row r="24" spans="1:29" ht="20.25">
      <c r="A24" s="531"/>
      <c r="B24" s="577"/>
      <c r="C24" s="553" t="s">
        <v>3250</v>
      </c>
      <c r="D24" s="556"/>
      <c r="E24" s="557" t="s">
        <v>3247</v>
      </c>
      <c r="F24" s="554"/>
      <c r="G24" s="555" t="s">
        <v>3247</v>
      </c>
      <c r="H24" s="554"/>
      <c r="I24" s="557" t="s">
        <v>3247</v>
      </c>
      <c r="J24" s="554"/>
      <c r="K24" s="530"/>
      <c r="L24" s="2127"/>
      <c r="M24" s="2117"/>
      <c r="N24" s="2117"/>
      <c r="O24" s="2126"/>
      <c r="P24" s="3408"/>
      <c r="Q24" s="1558"/>
      <c r="R24" s="1559"/>
      <c r="S24" s="1560"/>
      <c r="T24" s="1559"/>
      <c r="U24" s="1560"/>
      <c r="V24" s="1559"/>
      <c r="W24" s="1560"/>
      <c r="X24" s="1553"/>
      <c r="Y24" s="3408"/>
      <c r="Z24" s="1561"/>
      <c r="AA24" s="1562">
        <v>1</v>
      </c>
      <c r="AB24" s="1562">
        <v>1</v>
      </c>
      <c r="AC24" s="1562">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7"/>
      <c r="M25" s="2117"/>
      <c r="N25" s="2117"/>
      <c r="O25" s="2126"/>
      <c r="P25" s="3408"/>
      <c r="Q25" s="1558" t="str">
        <f t="shared" ref="Q25:Q39" si="8">B25</f>
        <v>区域土地利用方向</v>
      </c>
      <c r="R25" s="1559" t="s">
        <v>8</v>
      </c>
      <c r="S25" s="1560">
        <f>F25</f>
        <v>100</v>
      </c>
      <c r="T25" s="1559" t="s">
        <v>8</v>
      </c>
      <c r="U25" s="1560">
        <f>H25</f>
        <v>100</v>
      </c>
      <c r="V25" s="1559" t="s">
        <v>8</v>
      </c>
      <c r="W25" s="1560">
        <f>J25</f>
        <v>100</v>
      </c>
      <c r="X25" s="1553"/>
      <c r="Y25" s="3408"/>
      <c r="Z25" s="1561" t="str">
        <f>Q25</f>
        <v>区域土地利用方向</v>
      </c>
      <c r="AA25" s="1562">
        <f t="shared" si="3"/>
        <v>1</v>
      </c>
      <c r="AB25" s="1562">
        <f t="shared" si="4"/>
        <v>1</v>
      </c>
      <c r="AC25" s="1562">
        <f t="shared" si="5"/>
        <v>1</v>
      </c>
    </row>
    <row r="26" spans="1:29" ht="20.25">
      <c r="A26" s="514"/>
      <c r="B26" s="1006"/>
      <c r="C26" s="553" t="s">
        <v>3248</v>
      </c>
      <c r="D26" s="556"/>
      <c r="E26" s="557" t="s">
        <v>3248</v>
      </c>
      <c r="F26" s="554"/>
      <c r="G26" s="555" t="s">
        <v>3248</v>
      </c>
      <c r="H26" s="554"/>
      <c r="I26" s="557" t="s">
        <v>3248</v>
      </c>
      <c r="J26" s="554"/>
      <c r="K26" s="530"/>
      <c r="L26" s="2127"/>
      <c r="M26" s="2117"/>
      <c r="N26" s="2117"/>
      <c r="O26" s="2126"/>
      <c r="P26" s="3408"/>
      <c r="Q26" s="1558"/>
      <c r="R26" s="1559"/>
      <c r="S26" s="1560"/>
      <c r="T26" s="1559"/>
      <c r="U26" s="1560"/>
      <c r="V26" s="1559"/>
      <c r="W26" s="1560"/>
      <c r="X26" s="1553"/>
      <c r="Y26" s="3408"/>
      <c r="Z26" s="1561"/>
      <c r="AA26" s="1562"/>
      <c r="AB26" s="1562"/>
      <c r="AC26" s="1562"/>
    </row>
    <row r="27" spans="1:29" ht="57">
      <c r="A27" s="514"/>
      <c r="B27" s="577" t="s">
        <v>545</v>
      </c>
      <c r="C27" s="560" t="str">
        <f>估价对象房地状况!C20</f>
        <v>区域自然环境：；人文环境；综合评价环境状况一般</v>
      </c>
      <c r="D27" s="562">
        <v>100</v>
      </c>
      <c r="E27" s="563"/>
      <c r="F27" s="558">
        <f>SUMIF(100:100,E28,101:101)-SUMIF(100:100,C28,101:101)+100</f>
        <v>110</v>
      </c>
      <c r="G27" s="561"/>
      <c r="H27" s="558">
        <f>SUMIF(100:100,G28,101:101)-SUMIF(100:100,C28,101:101)+100</f>
        <v>110</v>
      </c>
      <c r="I27" s="563"/>
      <c r="J27" s="558">
        <f>SUMIF(100:100,I28,101:101)-SUMIF(100:100,C28,101:101)+100</f>
        <v>110</v>
      </c>
      <c r="K27" s="534">
        <v>5</v>
      </c>
      <c r="L27" s="2127"/>
      <c r="M27" s="2117"/>
      <c r="N27" s="2117"/>
      <c r="O27" s="2126"/>
      <c r="P27" s="3408"/>
      <c r="Q27" s="1558" t="str">
        <f t="shared" si="8"/>
        <v>自然及人文环境状况</v>
      </c>
      <c r="R27" s="1559" t="s">
        <v>8</v>
      </c>
      <c r="S27" s="1560">
        <f>F27</f>
        <v>110</v>
      </c>
      <c r="T27" s="1559" t="s">
        <v>8</v>
      </c>
      <c r="U27" s="1560">
        <f>H27</f>
        <v>110</v>
      </c>
      <c r="V27" s="1559" t="s">
        <v>8</v>
      </c>
      <c r="W27" s="1560">
        <f>J27</f>
        <v>110</v>
      </c>
      <c r="X27" s="1553"/>
      <c r="Y27" s="3408"/>
      <c r="Z27" s="1561" t="str">
        <f>Q27</f>
        <v>自然及人文环境状况</v>
      </c>
      <c r="AA27" s="1562">
        <f t="shared" si="3"/>
        <v>0.90909090909090906</v>
      </c>
      <c r="AB27" s="1562">
        <f t="shared" si="4"/>
        <v>0.90909090909090906</v>
      </c>
      <c r="AC27" s="1562">
        <f t="shared" si="5"/>
        <v>0.90909090909090906</v>
      </c>
    </row>
    <row r="28" spans="1:29" ht="20.25">
      <c r="A28" s="514"/>
      <c r="B28" s="565"/>
      <c r="C28" s="553" t="s">
        <v>3247</v>
      </c>
      <c r="D28" s="556"/>
      <c r="E28" s="575" t="s">
        <v>3248</v>
      </c>
      <c r="F28" s="554"/>
      <c r="G28" s="553" t="s">
        <v>3248</v>
      </c>
      <c r="H28" s="554"/>
      <c r="I28" s="575" t="s">
        <v>3248</v>
      </c>
      <c r="J28" s="554"/>
      <c r="K28" s="530"/>
      <c r="L28" s="2127"/>
      <c r="M28" s="2117"/>
      <c r="N28" s="2117"/>
      <c r="O28" s="2126"/>
      <c r="P28" s="3408"/>
      <c r="Q28" s="1558"/>
      <c r="R28" s="1559"/>
      <c r="S28" s="1560"/>
      <c r="T28" s="1559"/>
      <c r="U28" s="1560"/>
      <c r="V28" s="1559"/>
      <c r="W28" s="1560"/>
      <c r="X28" s="1553"/>
      <c r="Y28" s="3408"/>
      <c r="Z28" s="1561"/>
      <c r="AA28" s="1562">
        <v>1</v>
      </c>
      <c r="AB28" s="1562">
        <v>1</v>
      </c>
      <c r="AC28" s="1562">
        <v>1</v>
      </c>
    </row>
    <row r="29" spans="1:29" s="1215" customFormat="1" ht="42.75">
      <c r="A29" s="576"/>
      <c r="B29" s="2555" t="s">
        <v>2547</v>
      </c>
      <c r="C29" s="572" t="str">
        <f>估价对象房地状况!C21</f>
        <v>估价对象所在区域公共配套设施齐备情况</v>
      </c>
      <c r="D29" s="562">
        <v>100</v>
      </c>
      <c r="E29" s="563"/>
      <c r="F29" s="558">
        <f>SUMIF(102:102,E30,103:103)-SUMIF(102:102,C30,103:103)+100</f>
        <v>105</v>
      </c>
      <c r="G29" s="561"/>
      <c r="H29" s="558">
        <f>SUMIF(102:102,G30,103:103)-SUMIF(102:102,C30,103:103)+100</f>
        <v>105</v>
      </c>
      <c r="I29" s="563"/>
      <c r="J29" s="558">
        <f>SUMIF(102:102,I30,103:103)-SUMIF(102:102,C30,103:103)+100</f>
        <v>105</v>
      </c>
      <c r="K29" s="534">
        <v>5</v>
      </c>
      <c r="L29" s="2120"/>
      <c r="M29" s="2117"/>
      <c r="N29" s="2117"/>
      <c r="O29" s="2122"/>
      <c r="P29" s="3408"/>
      <c r="Q29" s="1146" t="str">
        <f t="shared" si="8"/>
        <v>公共配套设施</v>
      </c>
      <c r="R29" s="1554" t="s">
        <v>8</v>
      </c>
      <c r="S29" s="1555">
        <f>F29</f>
        <v>105</v>
      </c>
      <c r="T29" s="1554" t="s">
        <v>8</v>
      </c>
      <c r="U29" s="1555">
        <f>H29</f>
        <v>105</v>
      </c>
      <c r="V29" s="1554" t="s">
        <v>8</v>
      </c>
      <c r="W29" s="1555">
        <f>J29</f>
        <v>105</v>
      </c>
      <c r="X29" s="1556"/>
      <c r="Y29" s="3408"/>
      <c r="Z29" s="1145" t="str">
        <f>Q29</f>
        <v>公共配套设施</v>
      </c>
      <c r="AA29" s="1562">
        <f>D29/F29</f>
        <v>0.95238095238095233</v>
      </c>
      <c r="AB29" s="1562">
        <f>D29/H29</f>
        <v>0.95238095238095233</v>
      </c>
      <c r="AC29" s="1562">
        <f>D29/J29</f>
        <v>0.95238095238095233</v>
      </c>
    </row>
    <row r="30" spans="1:29" s="1215" customFormat="1" ht="20.25">
      <c r="A30" s="576"/>
      <c r="B30" s="565"/>
      <c r="C30" s="578" t="s">
        <v>3250</v>
      </c>
      <c r="D30" s="556"/>
      <c r="E30" s="575" t="s">
        <v>3247</v>
      </c>
      <c r="F30" s="554"/>
      <c r="G30" s="553" t="s">
        <v>3247</v>
      </c>
      <c r="H30" s="554"/>
      <c r="I30" s="575" t="s">
        <v>3247</v>
      </c>
      <c r="J30" s="554"/>
      <c r="K30" s="530"/>
      <c r="L30" s="2120"/>
      <c r="M30" s="2117"/>
      <c r="N30" s="2117"/>
      <c r="O30" s="2122"/>
      <c r="P30" s="3408"/>
      <c r="Q30" s="1146"/>
      <c r="R30" s="1554"/>
      <c r="S30" s="1555"/>
      <c r="T30" s="1554"/>
      <c r="U30" s="1555"/>
      <c r="V30" s="1554"/>
      <c r="W30" s="1555"/>
      <c r="X30" s="1556"/>
      <c r="Y30" s="3408"/>
      <c r="Z30" s="1145"/>
      <c r="AA30" s="1562">
        <v>1</v>
      </c>
      <c r="AB30" s="1562">
        <v>1</v>
      </c>
      <c r="AC30" s="1562">
        <v>1</v>
      </c>
    </row>
    <row r="31" spans="1:29" s="1215" customFormat="1" ht="28.5">
      <c r="A31" s="576"/>
      <c r="B31" s="2555"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20"/>
      <c r="M31" s="2117"/>
      <c r="N31" s="2117"/>
      <c r="O31" s="2122"/>
      <c r="P31" s="3408"/>
      <c r="Q31" s="2542" t="str">
        <f t="shared" ref="Q31" si="9">B31</f>
        <v>基础设施水平</v>
      </c>
      <c r="R31" s="1554" t="s">
        <v>8</v>
      </c>
      <c r="S31" s="1555">
        <f>F31</f>
        <v>100</v>
      </c>
      <c r="T31" s="1554" t="s">
        <v>8</v>
      </c>
      <c r="U31" s="1555">
        <f>H31</f>
        <v>100</v>
      </c>
      <c r="V31" s="1554" t="s">
        <v>8</v>
      </c>
      <c r="W31" s="1555">
        <f>J31</f>
        <v>100</v>
      </c>
      <c r="X31" s="1556"/>
      <c r="Y31" s="3408"/>
      <c r="Z31" s="2539" t="str">
        <f>Q31</f>
        <v>基础设施水平</v>
      </c>
      <c r="AA31" s="1562">
        <f>D31/F31</f>
        <v>1</v>
      </c>
      <c r="AB31" s="1562">
        <f>D31/H31</f>
        <v>1</v>
      </c>
      <c r="AC31" s="1562">
        <f>D31/J31</f>
        <v>1</v>
      </c>
    </row>
    <row r="32" spans="1:29" s="1215" customFormat="1" ht="21" thickBot="1">
      <c r="A32" s="576"/>
      <c r="B32" s="565"/>
      <c r="C32" s="578" t="s">
        <v>3249</v>
      </c>
      <c r="D32" s="556"/>
      <c r="E32" s="2556" t="s">
        <v>3249</v>
      </c>
      <c r="F32" s="554"/>
      <c r="G32" s="578" t="s">
        <v>3249</v>
      </c>
      <c r="H32" s="554"/>
      <c r="I32" s="578" t="s">
        <v>3249</v>
      </c>
      <c r="J32" s="554"/>
      <c r="K32" s="530"/>
      <c r="L32" s="2120"/>
      <c r="M32" s="2117"/>
      <c r="N32" s="2117"/>
      <c r="O32" s="2122"/>
      <c r="P32" s="3408"/>
      <c r="Q32" s="2542"/>
      <c r="R32" s="1554"/>
      <c r="S32" s="1555"/>
      <c r="T32" s="1554"/>
      <c r="U32" s="1555"/>
      <c r="V32" s="1554"/>
      <c r="W32" s="1555"/>
      <c r="X32" s="1556"/>
      <c r="Y32" s="3408"/>
      <c r="Z32" s="2539"/>
      <c r="AA32" s="1562">
        <v>1</v>
      </c>
      <c r="AB32" s="1562">
        <v>1</v>
      </c>
      <c r="AC32" s="1562">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7"/>
      <c r="M33" s="2117"/>
      <c r="N33" s="2117"/>
      <c r="O33" s="2126"/>
      <c r="P33" s="340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8"/>
      <c r="Z33" s="1561" t="str">
        <f t="shared" ref="Z33:Z47" si="13">Q33</f>
        <v>临街状况</v>
      </c>
      <c r="AA33" s="1562">
        <f t="shared" si="3"/>
        <v>1</v>
      </c>
      <c r="AB33" s="1562">
        <f t="shared" si="4"/>
        <v>1</v>
      </c>
      <c r="AC33" s="1562">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7"/>
      <c r="M34" s="2117"/>
      <c r="N34" s="2117"/>
      <c r="O34" s="2126"/>
      <c r="P34" s="3408"/>
      <c r="Q34" s="1558" t="str">
        <f t="shared" si="8"/>
        <v>毗邻道路的类型与等级</v>
      </c>
      <c r="R34" s="1559" t="s">
        <v>8</v>
      </c>
      <c r="S34" s="1560">
        <f t="shared" si="10"/>
        <v>100</v>
      </c>
      <c r="T34" s="1559" t="s">
        <v>8</v>
      </c>
      <c r="U34" s="1560">
        <f t="shared" si="11"/>
        <v>100</v>
      </c>
      <c r="V34" s="1559" t="s">
        <v>8</v>
      </c>
      <c r="W34" s="1560">
        <f t="shared" si="12"/>
        <v>100</v>
      </c>
      <c r="X34" s="1553"/>
      <c r="Y34" s="3408"/>
      <c r="Z34" s="1561" t="str">
        <f t="shared" si="13"/>
        <v>毗邻道路的类型与等级</v>
      </c>
      <c r="AA34" s="1562">
        <f t="shared" si="3"/>
        <v>1</v>
      </c>
      <c r="AB34" s="1562">
        <f t="shared" si="4"/>
        <v>1</v>
      </c>
      <c r="AC34" s="1562">
        <f t="shared" si="5"/>
        <v>1</v>
      </c>
    </row>
    <row r="35" spans="1:29" ht="20.25" hidden="1">
      <c r="A35" s="531"/>
      <c r="B35" s="565"/>
      <c r="C35" s="553"/>
      <c r="D35" s="556"/>
      <c r="E35" s="575"/>
      <c r="F35" s="554"/>
      <c r="G35" s="553"/>
      <c r="H35" s="554"/>
      <c r="I35" s="575"/>
      <c r="J35" s="554"/>
      <c r="K35" s="580"/>
      <c r="L35" s="2127"/>
      <c r="M35" s="2117"/>
      <c r="N35" s="2117"/>
      <c r="O35" s="2126"/>
      <c r="P35" s="3408"/>
      <c r="Q35" s="1558"/>
      <c r="R35" s="1559"/>
      <c r="S35" s="1560"/>
      <c r="T35" s="1559"/>
      <c r="U35" s="1560"/>
      <c r="V35" s="1559"/>
      <c r="W35" s="1560"/>
      <c r="X35" s="1553"/>
      <c r="Y35" s="3408"/>
      <c r="Z35" s="1561"/>
      <c r="AA35" s="1562">
        <v>1</v>
      </c>
      <c r="AB35" s="1562">
        <v>1</v>
      </c>
      <c r="AC35" s="1562">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408"/>
      <c r="Q36" s="1558" t="str">
        <f t="shared" si="8"/>
        <v>土地级别</v>
      </c>
      <c r="R36" s="1559" t="s">
        <v>8</v>
      </c>
      <c r="S36" s="1560">
        <f t="shared" si="10"/>
        <v>100</v>
      </c>
      <c r="T36" s="1559" t="s">
        <v>8</v>
      </c>
      <c r="U36" s="1560">
        <f t="shared" si="11"/>
        <v>100</v>
      </c>
      <c r="V36" s="1559" t="s">
        <v>8</v>
      </c>
      <c r="W36" s="1560">
        <f t="shared" si="12"/>
        <v>100</v>
      </c>
      <c r="X36" s="1553"/>
      <c r="Y36" s="3408"/>
      <c r="Z36" s="1561" t="str">
        <f t="shared" si="13"/>
        <v>土地级别</v>
      </c>
      <c r="AA36" s="1562">
        <f t="shared" si="3"/>
        <v>1</v>
      </c>
      <c r="AB36" s="1562">
        <f t="shared" si="4"/>
        <v>1</v>
      </c>
      <c r="AC36" s="1562">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408"/>
      <c r="Q37" s="1558">
        <f t="shared" si="8"/>
        <v>111</v>
      </c>
      <c r="R37" s="1559" t="s">
        <v>8</v>
      </c>
      <c r="S37" s="1560">
        <f t="shared" si="10"/>
        <v>100</v>
      </c>
      <c r="T37" s="1559" t="s">
        <v>8</v>
      </c>
      <c r="U37" s="1560">
        <f t="shared" si="11"/>
        <v>100</v>
      </c>
      <c r="V37" s="1559" t="s">
        <v>8</v>
      </c>
      <c r="W37" s="1560">
        <f t="shared" si="12"/>
        <v>100</v>
      </c>
      <c r="X37" s="1553"/>
      <c r="Y37" s="3408"/>
      <c r="Z37" s="1561">
        <f t="shared" si="13"/>
        <v>111</v>
      </c>
      <c r="AA37" s="1562">
        <f t="shared" si="3"/>
        <v>1</v>
      </c>
      <c r="AB37" s="1562">
        <f t="shared" si="4"/>
        <v>1</v>
      </c>
      <c r="AC37" s="1562">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409" t="s">
        <v>550</v>
      </c>
      <c r="Q38" s="1558">
        <f t="shared" si="8"/>
        <v>111</v>
      </c>
      <c r="R38" s="1559" t="s">
        <v>8</v>
      </c>
      <c r="S38" s="1560">
        <f t="shared" si="10"/>
        <v>100</v>
      </c>
      <c r="T38" s="1559" t="s">
        <v>8</v>
      </c>
      <c r="U38" s="1560">
        <f t="shared" si="11"/>
        <v>100</v>
      </c>
      <c r="V38" s="1559" t="s">
        <v>8</v>
      </c>
      <c r="W38" s="1560">
        <f t="shared" si="12"/>
        <v>100</v>
      </c>
      <c r="X38" s="1553"/>
      <c r="Y38" s="3410" t="s">
        <v>550</v>
      </c>
      <c r="Z38" s="1561">
        <f t="shared" si="13"/>
        <v>111</v>
      </c>
      <c r="AA38" s="1562">
        <f t="shared" si="3"/>
        <v>1</v>
      </c>
      <c r="AB38" s="1562">
        <f t="shared" si="4"/>
        <v>1</v>
      </c>
      <c r="AC38" s="1562">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410"/>
      <c r="Q39" s="1558">
        <f t="shared" si="8"/>
        <v>111</v>
      </c>
      <c r="R39" s="1563" t="s">
        <v>8</v>
      </c>
      <c r="S39" s="1564">
        <f t="shared" si="10"/>
        <v>100</v>
      </c>
      <c r="T39" s="1563" t="s">
        <v>8</v>
      </c>
      <c r="U39" s="1564">
        <f t="shared" si="11"/>
        <v>100</v>
      </c>
      <c r="V39" s="1563" t="s">
        <v>8</v>
      </c>
      <c r="W39" s="1564">
        <f t="shared" si="12"/>
        <v>100</v>
      </c>
      <c r="X39" s="1565"/>
      <c r="Y39" s="3410"/>
      <c r="Z39" s="1566">
        <f t="shared" si="13"/>
        <v>111</v>
      </c>
      <c r="AA39" s="1562">
        <f t="shared" si="3"/>
        <v>1</v>
      </c>
      <c r="AB39" s="1562">
        <f t="shared" si="4"/>
        <v>1</v>
      </c>
      <c r="AC39" s="1562">
        <f t="shared" si="5"/>
        <v>1</v>
      </c>
    </row>
    <row r="40" spans="1:29" ht="20.25">
      <c r="A40" s="2862" t="s">
        <v>2754</v>
      </c>
      <c r="B40" s="594" t="s">
        <v>552</v>
      </c>
      <c r="C40" s="595">
        <f>'数据-基础表'!A3</f>
        <v>61815.58</v>
      </c>
      <c r="D40" s="596">
        <v>100</v>
      </c>
      <c r="E40" s="595">
        <f>土地案例!D3</f>
        <v>48932.34</v>
      </c>
      <c r="F40" s="596">
        <f>LOOKUP(E40,119:119,120:120)-LOOKUP(C40,119:119,120:120)+100</f>
        <v>100</v>
      </c>
      <c r="G40" s="595">
        <f>土地案例!D6</f>
        <v>23862.66</v>
      </c>
      <c r="H40" s="596">
        <f>LOOKUP(G40,119:119,120:120)-LOOKUP(C40,119:119,120:120)+100</f>
        <v>100</v>
      </c>
      <c r="I40" s="597">
        <f>土地案例!D8</f>
        <v>35572.15</v>
      </c>
      <c r="J40" s="596">
        <f>LOOKUP(I40,119:119,120:120)-LOOKUP(C40,119:119,120:120)+100</f>
        <v>100</v>
      </c>
      <c r="K40" s="580"/>
      <c r="L40" s="2127"/>
      <c r="M40" s="2117"/>
      <c r="N40" s="2117"/>
      <c r="O40" s="2126"/>
      <c r="P40" s="3410"/>
      <c r="Q40" s="1558" t="str">
        <f>B40</f>
        <v>宗地面积</v>
      </c>
      <c r="R40" s="1559" t="s">
        <v>8</v>
      </c>
      <c r="S40" s="1560">
        <f t="shared" si="10"/>
        <v>100</v>
      </c>
      <c r="T40" s="1559" t="s">
        <v>8</v>
      </c>
      <c r="U40" s="1560">
        <f t="shared" si="11"/>
        <v>100</v>
      </c>
      <c r="V40" s="1559" t="s">
        <v>8</v>
      </c>
      <c r="W40" s="1560">
        <f t="shared" si="12"/>
        <v>100</v>
      </c>
      <c r="X40" s="1553"/>
      <c r="Y40" s="3410"/>
      <c r="Z40" s="1561" t="str">
        <f t="shared" si="13"/>
        <v>宗地面积</v>
      </c>
      <c r="AA40" s="1562">
        <f t="shared" si="3"/>
        <v>1</v>
      </c>
      <c r="AB40" s="1562">
        <f t="shared" si="4"/>
        <v>1</v>
      </c>
      <c r="AC40" s="1562">
        <f t="shared" si="5"/>
        <v>1</v>
      </c>
    </row>
    <row r="41" spans="1:29" ht="20.25">
      <c r="A41" s="593"/>
      <c r="B41" s="526" t="s">
        <v>553</v>
      </c>
      <c r="C41" s="598" t="s">
        <v>3251</v>
      </c>
      <c r="D41" s="539">
        <v>100</v>
      </c>
      <c r="E41" s="598" t="s">
        <v>3251</v>
      </c>
      <c r="F41" s="539">
        <f>SUMIF(121:121,E41,122:122)-SUMIF(121:121,C41,122:122)+100</f>
        <v>100</v>
      </c>
      <c r="G41" s="598" t="s">
        <v>3251</v>
      </c>
      <c r="H41" s="539">
        <f>SUMIF(121:121,G41,122:122)-SUMIF(121:121,C41,122:122)+100</f>
        <v>100</v>
      </c>
      <c r="I41" s="598" t="s">
        <v>3251</v>
      </c>
      <c r="J41" s="539">
        <f>SUMIF(121:121,I41,122:122)-SUMIF(121:121,C41,122:122)+100</f>
        <v>100</v>
      </c>
      <c r="K41" s="583"/>
      <c r="L41" s="2127"/>
      <c r="M41" s="2117"/>
      <c r="N41" s="2117"/>
      <c r="O41" s="2126"/>
      <c r="P41" s="3410"/>
      <c r="Q41" s="1558" t="str">
        <f t="shared" ref="Q41:Q47" si="14">B41</f>
        <v>宗地形状</v>
      </c>
      <c r="R41" s="1559" t="s">
        <v>8</v>
      </c>
      <c r="S41" s="1560">
        <f t="shared" si="10"/>
        <v>100</v>
      </c>
      <c r="T41" s="1559" t="s">
        <v>8</v>
      </c>
      <c r="U41" s="1560">
        <f t="shared" si="11"/>
        <v>100</v>
      </c>
      <c r="V41" s="1559" t="s">
        <v>8</v>
      </c>
      <c r="W41" s="1560">
        <f t="shared" si="12"/>
        <v>100</v>
      </c>
      <c r="X41" s="1553"/>
      <c r="Y41" s="3410"/>
      <c r="Z41" s="1561" t="str">
        <f t="shared" si="13"/>
        <v>宗地形状</v>
      </c>
      <c r="AA41" s="1562">
        <f t="shared" si="3"/>
        <v>1</v>
      </c>
      <c r="AB41" s="1562">
        <f t="shared" si="4"/>
        <v>1</v>
      </c>
      <c r="AC41" s="1562">
        <f t="shared" si="5"/>
        <v>1</v>
      </c>
    </row>
    <row r="42" spans="1:29" ht="20.25">
      <c r="A42" s="593"/>
      <c r="B42" s="526" t="s">
        <v>554</v>
      </c>
      <c r="C42" s="598" t="s">
        <v>3253</v>
      </c>
      <c r="D42" s="539">
        <v>100</v>
      </c>
      <c r="E42" s="598" t="s">
        <v>3253</v>
      </c>
      <c r="F42" s="539">
        <f>SUMIF(123:123,E42,124:124)-SUMIF(123:123,C42,124:124)+100</f>
        <v>100</v>
      </c>
      <c r="G42" s="598" t="s">
        <v>3253</v>
      </c>
      <c r="H42" s="539">
        <f>SUMIF(123:123,G42,124:124)-SUMIF(123:123,C42,124:124)+100</f>
        <v>100</v>
      </c>
      <c r="I42" s="598" t="s">
        <v>3253</v>
      </c>
      <c r="J42" s="539">
        <f>SUMIF(123:123,I42,124:124)-SUMIF(123:123,C42,124:124)+100</f>
        <v>100</v>
      </c>
      <c r="K42" s="583"/>
      <c r="L42" s="2127"/>
      <c r="M42" s="2117"/>
      <c r="N42" s="2117"/>
      <c r="O42" s="2126"/>
      <c r="P42" s="3410"/>
      <c r="Q42" s="1558" t="str">
        <f t="shared" si="14"/>
        <v>临街宽度及深度</v>
      </c>
      <c r="R42" s="1559" t="s">
        <v>8</v>
      </c>
      <c r="S42" s="1560">
        <f t="shared" si="10"/>
        <v>100</v>
      </c>
      <c r="T42" s="1559" t="s">
        <v>8</v>
      </c>
      <c r="U42" s="1560">
        <f t="shared" si="11"/>
        <v>100</v>
      </c>
      <c r="V42" s="1559" t="s">
        <v>8</v>
      </c>
      <c r="W42" s="1560">
        <f t="shared" si="12"/>
        <v>100</v>
      </c>
      <c r="X42" s="1553"/>
      <c r="Y42" s="3410"/>
      <c r="Z42" s="1561" t="str">
        <f t="shared" si="13"/>
        <v>临街宽度及深度</v>
      </c>
      <c r="AA42" s="1562">
        <f t="shared" si="3"/>
        <v>1</v>
      </c>
      <c r="AB42" s="1562">
        <f t="shared" si="4"/>
        <v>1</v>
      </c>
      <c r="AC42" s="1562">
        <f t="shared" si="5"/>
        <v>1</v>
      </c>
    </row>
    <row r="43" spans="1:29" s="1215" customFormat="1" ht="21" thickBot="1">
      <c r="A43" s="599"/>
      <c r="B43" s="1880" t="s">
        <v>2423</v>
      </c>
      <c r="C43" s="600" t="s">
        <v>3255</v>
      </c>
      <c r="D43" s="254">
        <v>100</v>
      </c>
      <c r="E43" s="600" t="s">
        <v>3255</v>
      </c>
      <c r="F43" s="539">
        <f>SUMIF(125:125,E43,126:126)-SUMIF(125:125,C43,126:126)+100</f>
        <v>100</v>
      </c>
      <c r="G43" s="600" t="s">
        <v>3255</v>
      </c>
      <c r="H43" s="539">
        <f>SUMIF(125:125,G43,126:126)-SUMIF(125:125,C43,126:126)+100</f>
        <v>100</v>
      </c>
      <c r="I43" s="600" t="s">
        <v>3255</v>
      </c>
      <c r="J43" s="539">
        <f>SUMIF(125:125,I43,126:126)-SUMIF(125:125,C43,126:126)+100</f>
        <v>100</v>
      </c>
      <c r="K43" s="583"/>
      <c r="L43" s="2120"/>
      <c r="M43" s="2117"/>
      <c r="N43" s="2117"/>
      <c r="O43" s="2122"/>
      <c r="P43" s="3410"/>
      <c r="Q43" s="1558" t="str">
        <f t="shared" si="14"/>
        <v>宗地开发程度</v>
      </c>
      <c r="R43" s="1554" t="s">
        <v>8</v>
      </c>
      <c r="S43" s="1555">
        <f t="shared" si="10"/>
        <v>100</v>
      </c>
      <c r="T43" s="1554" t="s">
        <v>8</v>
      </c>
      <c r="U43" s="1555">
        <f t="shared" si="11"/>
        <v>100</v>
      </c>
      <c r="V43" s="1554" t="s">
        <v>8</v>
      </c>
      <c r="W43" s="1555">
        <f t="shared" si="12"/>
        <v>100</v>
      </c>
      <c r="X43" s="1556"/>
      <c r="Y43" s="3410"/>
      <c r="Z43" s="1145" t="str">
        <f t="shared" si="13"/>
        <v>宗地开发程度</v>
      </c>
      <c r="AA43" s="1557">
        <f t="shared" si="3"/>
        <v>1</v>
      </c>
      <c r="AB43" s="1557">
        <f t="shared" si="4"/>
        <v>1</v>
      </c>
      <c r="AC43" s="1557">
        <f t="shared" si="5"/>
        <v>1</v>
      </c>
    </row>
    <row r="44" spans="1:29" ht="21" hidden="1" thickBot="1">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7"/>
      <c r="M44" s="2117"/>
      <c r="N44" s="2117"/>
      <c r="O44" s="2126"/>
      <c r="P44" s="3410" t="s">
        <v>550</v>
      </c>
      <c r="Q44" s="1558" t="str">
        <f t="shared" si="14"/>
        <v>工程地质条件</v>
      </c>
      <c r="R44" s="1559" t="s">
        <v>8</v>
      </c>
      <c r="S44" s="1560">
        <f t="shared" si="10"/>
        <v>100</v>
      </c>
      <c r="T44" s="1559" t="s">
        <v>8</v>
      </c>
      <c r="U44" s="1560">
        <f t="shared" si="11"/>
        <v>100</v>
      </c>
      <c r="V44" s="1559" t="s">
        <v>8</v>
      </c>
      <c r="W44" s="1560">
        <f t="shared" si="12"/>
        <v>100</v>
      </c>
      <c r="X44" s="1553"/>
      <c r="Y44" s="3410" t="s">
        <v>550</v>
      </c>
      <c r="Z44" s="1561" t="str">
        <f t="shared" si="13"/>
        <v>工程地质条件</v>
      </c>
      <c r="AA44" s="1562">
        <f t="shared" si="3"/>
        <v>1</v>
      </c>
      <c r="AB44" s="1562">
        <f t="shared" si="4"/>
        <v>1</v>
      </c>
      <c r="AC44" s="1562">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10"/>
      <c r="Q45" s="1558">
        <f t="shared" si="14"/>
        <v>111</v>
      </c>
      <c r="R45" s="1559" t="s">
        <v>8</v>
      </c>
      <c r="S45" s="1560">
        <f t="shared" si="10"/>
        <v>100</v>
      </c>
      <c r="T45" s="1559" t="s">
        <v>8</v>
      </c>
      <c r="U45" s="1560">
        <f t="shared" si="11"/>
        <v>100</v>
      </c>
      <c r="V45" s="1559" t="s">
        <v>8</v>
      </c>
      <c r="W45" s="1560">
        <f t="shared" si="12"/>
        <v>100</v>
      </c>
      <c r="X45" s="1553"/>
      <c r="Y45" s="3410"/>
      <c r="Z45" s="1561">
        <f t="shared" si="13"/>
        <v>111</v>
      </c>
      <c r="AA45" s="1562">
        <f t="shared" si="3"/>
        <v>1</v>
      </c>
      <c r="AB45" s="1562">
        <f t="shared" si="4"/>
        <v>1</v>
      </c>
      <c r="AC45" s="1562">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10"/>
      <c r="Q46" s="1558">
        <f t="shared" si="14"/>
        <v>111</v>
      </c>
      <c r="R46" s="1559" t="s">
        <v>8</v>
      </c>
      <c r="S46" s="1560">
        <f t="shared" si="10"/>
        <v>100</v>
      </c>
      <c r="T46" s="1559" t="s">
        <v>8</v>
      </c>
      <c r="U46" s="1560">
        <f t="shared" si="11"/>
        <v>100</v>
      </c>
      <c r="V46" s="1559" t="s">
        <v>8</v>
      </c>
      <c r="W46" s="1560">
        <f t="shared" si="12"/>
        <v>100</v>
      </c>
      <c r="X46" s="1553"/>
      <c r="Y46" s="3410"/>
      <c r="Z46" s="1561">
        <f t="shared" si="13"/>
        <v>111</v>
      </c>
      <c r="AA46" s="1562">
        <f t="shared" si="3"/>
        <v>1</v>
      </c>
      <c r="AB46" s="1562">
        <f t="shared" si="4"/>
        <v>1</v>
      </c>
      <c r="AC46" s="1562">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10"/>
      <c r="Q47" s="1558">
        <f t="shared" si="14"/>
        <v>111</v>
      </c>
      <c r="R47" s="1563" t="s">
        <v>8</v>
      </c>
      <c r="S47" s="1564">
        <f t="shared" si="10"/>
        <v>100</v>
      </c>
      <c r="T47" s="1563" t="s">
        <v>8</v>
      </c>
      <c r="U47" s="1564">
        <f t="shared" si="11"/>
        <v>100</v>
      </c>
      <c r="V47" s="1563" t="s">
        <v>8</v>
      </c>
      <c r="W47" s="1564">
        <f t="shared" si="12"/>
        <v>100</v>
      </c>
      <c r="X47" s="1565"/>
      <c r="Y47" s="3410"/>
      <c r="Z47" s="1566">
        <f t="shared" si="13"/>
        <v>111</v>
      </c>
      <c r="AA47" s="1562">
        <f t="shared" si="3"/>
        <v>1</v>
      </c>
      <c r="AB47" s="1562">
        <f t="shared" si="4"/>
        <v>1</v>
      </c>
      <c r="AC47" s="1562">
        <f t="shared" si="5"/>
        <v>1</v>
      </c>
    </row>
    <row r="48" spans="1:29" ht="20.25">
      <c r="A48" s="606" t="s">
        <v>556</v>
      </c>
      <c r="B48" s="3193" t="s">
        <v>3262</v>
      </c>
      <c r="C48" s="608" t="s">
        <v>1</v>
      </c>
      <c r="D48" s="609"/>
      <c r="E48" s="610">
        <v>780</v>
      </c>
      <c r="F48" s="611"/>
      <c r="G48" s="612">
        <v>780</v>
      </c>
      <c r="H48" s="613"/>
      <c r="I48" s="610">
        <v>780</v>
      </c>
      <c r="J48" s="613"/>
      <c r="K48" s="1335"/>
      <c r="L48" s="2129"/>
      <c r="M48" s="2117"/>
      <c r="N48" s="2117"/>
      <c r="O48" s="2130"/>
      <c r="P48" s="3373" t="str">
        <f>A48</f>
        <v>成交单价</v>
      </c>
      <c r="Q48" s="3373"/>
      <c r="R48" s="3374">
        <f>E48</f>
        <v>780</v>
      </c>
      <c r="S48" s="3374"/>
      <c r="T48" s="3374">
        <f>G48</f>
        <v>780</v>
      </c>
      <c r="U48" s="3374"/>
      <c r="V48" s="3374">
        <f>I48</f>
        <v>780</v>
      </c>
      <c r="W48" s="3374"/>
      <c r="X48" s="1545"/>
      <c r="Y48" s="1567"/>
      <c r="Z48" s="1545"/>
      <c r="AA48" s="1545"/>
      <c r="AB48" s="1545"/>
      <c r="AC48" s="1545"/>
    </row>
    <row r="49" spans="1:29" ht="21" thickBot="1">
      <c r="A49" s="614" t="s">
        <v>2692</v>
      </c>
      <c r="B49" s="615"/>
      <c r="C49" s="616">
        <f>R50</f>
        <v>601</v>
      </c>
      <c r="D49" s="617"/>
      <c r="E49" s="616">
        <f>R49</f>
        <v>601</v>
      </c>
      <c r="F49" s="618"/>
      <c r="G49" s="619">
        <f>T49</f>
        <v>601</v>
      </c>
      <c r="H49" s="617"/>
      <c r="I49" s="616">
        <f>V49</f>
        <v>601</v>
      </c>
      <c r="J49" s="617"/>
      <c r="K49" s="1336"/>
      <c r="L49" s="2129"/>
      <c r="M49" s="2117"/>
      <c r="N49" s="2117"/>
      <c r="O49" s="2130"/>
      <c r="P49" s="3373" t="str">
        <f>A49</f>
        <v>比较价格（元/平方米）</v>
      </c>
      <c r="Q49" s="3373"/>
      <c r="R49" s="3375">
        <f>ROUND(PRODUCT(R48,AA9:AA47),0)</f>
        <v>601</v>
      </c>
      <c r="S49" s="3375"/>
      <c r="T49" s="3375">
        <f>ROUND(PRODUCT(T48,AB9:AB47),0)</f>
        <v>601</v>
      </c>
      <c r="U49" s="3375"/>
      <c r="V49" s="3375">
        <f>ROUND(PRODUCT(V48,AC9:AC47),0)</f>
        <v>601</v>
      </c>
      <c r="W49" s="3375"/>
      <c r="X49" s="1545"/>
      <c r="Y49" s="1545"/>
      <c r="Z49" s="1545"/>
      <c r="AA49" s="1545"/>
      <c r="AB49" s="1545"/>
      <c r="AC49" s="1545"/>
    </row>
    <row r="50" spans="1:29" ht="21" thickBot="1">
      <c r="A50" s="620" t="s">
        <v>2936</v>
      </c>
      <c r="B50" s="621"/>
      <c r="C50" s="622">
        <f>R50</f>
        <v>601</v>
      </c>
      <c r="D50" s="622"/>
      <c r="E50" s="622"/>
      <c r="F50" s="622"/>
      <c r="G50" s="622"/>
      <c r="H50" s="622"/>
      <c r="I50" s="622"/>
      <c r="J50" s="622"/>
      <c r="K50" s="1337"/>
      <c r="L50" s="2129"/>
      <c r="M50" s="2117"/>
      <c r="N50" s="2117"/>
      <c r="O50" s="2130"/>
      <c r="P50" s="3370" t="str">
        <f>A50</f>
        <v>估价对象XX用房的比较价格（楼面单价，元/平方米）</v>
      </c>
      <c r="Q50" s="3371"/>
      <c r="R50" s="3372">
        <f>ROUND(AVERAGE(R49:V49),0)</f>
        <v>601</v>
      </c>
      <c r="S50" s="3372"/>
      <c r="T50" s="3372"/>
      <c r="U50" s="3372"/>
      <c r="V50" s="3372"/>
      <c r="W50" s="3372"/>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f>IF(E48&lt;E49,E49/E48-1,E48/E49-1)</f>
        <v>0.29783693843594006</v>
      </c>
      <c r="F53" s="626" t="str">
        <f>IF(OR(E53&gt;=0.3,E53&lt;=-0.3),"超过30%","")</f>
        <v/>
      </c>
      <c r="G53" s="625">
        <f>IF(G48&lt;G49,G49/G48-1,G48/G49-1)</f>
        <v>0.29783693843594006</v>
      </c>
      <c r="H53" s="626" t="str">
        <f>IF(OR(G53&gt;=0.3,G53&lt;=-0.3),"超过30%","")</f>
        <v/>
      </c>
      <c r="I53" s="625">
        <f>IF(I48&lt;I49,I49/I48-1,I48/I49-1)</f>
        <v>0.29783693843594006</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f>IF(E49&lt;G49,G49/E49-1,E49/G49-1)</f>
        <v>0</v>
      </c>
      <c r="F54" s="626" t="str">
        <f>IF(OR(E54&gt;=0.2,E54&lt;=-0.2),"超过20%","")</f>
        <v/>
      </c>
      <c r="G54" s="625">
        <f>IF(G49&lt;I49,I49/G49-1,G49/I49-1)</f>
        <v>0</v>
      </c>
      <c r="H54" s="626" t="str">
        <f>IF(OR(G54&gt;=0.2,G54&lt;=-0.2),"超过20%","")</f>
        <v/>
      </c>
      <c r="I54" s="625">
        <f>IF(I49&lt;E49,E49/I49-1,I49/E49-1)</f>
        <v>0</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f>IF(E48&lt;G48,G48/E48-1,E48/G48-1)</f>
        <v>0</v>
      </c>
      <c r="F55" s="626" t="str">
        <f>IF(OR(E55&gt;=0.3,E55&lt;=-0.3),"超过30%","")</f>
        <v/>
      </c>
      <c r="G55" s="625">
        <f>IF(G48&lt;I48,I48/G48-1,G48/I48-1)</f>
        <v>0</v>
      </c>
      <c r="H55" s="626" t="str">
        <f>IF(OR(G55&gt;=0.3,G55&lt;=-0.3),"超过30%","")</f>
        <v/>
      </c>
      <c r="I55" s="625">
        <f>IF(I48&lt;E48,E48/I48-1,I48/E48-1)</f>
        <v>0</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560</v>
      </c>
      <c r="B57" s="629" t="s">
        <v>561</v>
      </c>
      <c r="C57" s="1546" t="s">
        <v>1723</v>
      </c>
      <c r="D57" s="2212" t="s">
        <v>2292</v>
      </c>
      <c r="E57" s="630" t="s">
        <v>562</v>
      </c>
      <c r="F57" s="631" t="s">
        <v>563</v>
      </c>
      <c r="G57" s="3399" t="s">
        <v>2280</v>
      </c>
      <c r="H57" s="3400"/>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564</v>
      </c>
      <c r="B58" s="633">
        <f>C50</f>
        <v>601</v>
      </c>
      <c r="C58" s="634">
        <v>1</v>
      </c>
      <c r="D58" s="2213">
        <v>1</v>
      </c>
      <c r="E58" s="634">
        <f>'数据-汇总表'!E8+'数据-汇总表'!E9</f>
        <v>92723.37</v>
      </c>
      <c r="F58" s="635">
        <f t="shared" ref="F58:F67" si="15">ROUND(B58*E58/10000,0)</f>
        <v>5573</v>
      </c>
      <c r="G58" s="3401"/>
      <c r="H58" s="3402"/>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565</v>
      </c>
      <c r="B59" s="637">
        <f>ROUND($C$50*C59*D59,0)</f>
        <v>0</v>
      </c>
      <c r="C59" s="377">
        <f t="shared" ref="C59:C67" si="16">IF($C$57="北京市系数",I59,J59)</f>
        <v>0</v>
      </c>
      <c r="D59" s="2214">
        <v>0.25</v>
      </c>
      <c r="E59" s="638">
        <v>0</v>
      </c>
      <c r="F59" s="635">
        <f t="shared" si="15"/>
        <v>0</v>
      </c>
      <c r="G59" s="3403"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566</v>
      </c>
      <c r="B60" s="637">
        <f t="shared" ref="B60:B67" si="17">ROUND($C$50*C60*D60,0)</f>
        <v>0</v>
      </c>
      <c r="C60" s="377">
        <f t="shared" si="16"/>
        <v>0</v>
      </c>
      <c r="D60" s="2214">
        <v>0.25</v>
      </c>
      <c r="E60" s="638">
        <v>0</v>
      </c>
      <c r="F60" s="635">
        <f t="shared" si="15"/>
        <v>0</v>
      </c>
      <c r="G60" s="3403"/>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567</v>
      </c>
      <c r="B61" s="637">
        <f t="shared" si="17"/>
        <v>0</v>
      </c>
      <c r="C61" s="377">
        <f t="shared" si="16"/>
        <v>0</v>
      </c>
      <c r="D61" s="2214">
        <v>0.25</v>
      </c>
      <c r="E61" s="638">
        <v>0</v>
      </c>
      <c r="F61" s="635">
        <f t="shared" si="15"/>
        <v>0</v>
      </c>
      <c r="G61" s="3403"/>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568</v>
      </c>
      <c r="B62" s="637">
        <f t="shared" si="17"/>
        <v>0</v>
      </c>
      <c r="C62" s="377">
        <f t="shared" si="16"/>
        <v>0</v>
      </c>
      <c r="D62" s="2214">
        <v>0.25</v>
      </c>
      <c r="E62" s="638">
        <v>0</v>
      </c>
      <c r="F62" s="635">
        <f t="shared" si="15"/>
        <v>0</v>
      </c>
      <c r="G62" s="3403"/>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2327</v>
      </c>
      <c r="B63" s="637">
        <f t="shared" si="17"/>
        <v>0</v>
      </c>
      <c r="C63" s="377">
        <f t="shared" si="16"/>
        <v>0</v>
      </c>
      <c r="D63" s="2214">
        <v>0.25</v>
      </c>
      <c r="E63" s="640">
        <f>'数据-汇总表'!E11</f>
        <v>0</v>
      </c>
      <c r="F63" s="635">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569</v>
      </c>
      <c r="B64" s="637">
        <f t="shared" si="17"/>
        <v>0</v>
      </c>
      <c r="C64" s="377">
        <f t="shared" si="16"/>
        <v>0</v>
      </c>
      <c r="D64" s="2214">
        <v>0.25</v>
      </c>
      <c r="E64" s="640">
        <f>'数据-汇总表'!E12</f>
        <v>0</v>
      </c>
      <c r="F64" s="635">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570</v>
      </c>
      <c r="B65" s="637">
        <f t="shared" si="17"/>
        <v>0</v>
      </c>
      <c r="C65" s="377">
        <f t="shared" si="16"/>
        <v>0</v>
      </c>
      <c r="D65" s="2214">
        <v>0.25</v>
      </c>
      <c r="E65" s="640">
        <f>'数据-汇总表'!E13</f>
        <v>0</v>
      </c>
      <c r="F65" s="635">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571</v>
      </c>
      <c r="B66" s="637">
        <f t="shared" si="17"/>
        <v>0</v>
      </c>
      <c r="C66" s="377">
        <f t="shared" si="16"/>
        <v>0</v>
      </c>
      <c r="D66" s="2214">
        <v>0.25</v>
      </c>
      <c r="E66" s="640">
        <f>'数据-汇总表'!E14</f>
        <v>0</v>
      </c>
      <c r="F66" s="635">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572</v>
      </c>
      <c r="B67" s="637">
        <f t="shared" si="17"/>
        <v>0</v>
      </c>
      <c r="C67" s="377">
        <f t="shared" si="16"/>
        <v>0</v>
      </c>
      <c r="D67" s="2214">
        <v>0.25</v>
      </c>
      <c r="E67" s="640">
        <f>'数据-汇总表'!E15</f>
        <v>0</v>
      </c>
      <c r="F67" s="635">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573</v>
      </c>
      <c r="B68" s="642" t="s">
        <v>17</v>
      </c>
      <c r="C68" s="642" t="s">
        <v>18</v>
      </c>
      <c r="D68" s="642" t="s">
        <v>2293</v>
      </c>
      <c r="E68" s="642">
        <f>IF(B48="楼面地价",SUM(E58:E67),'数据-汇总表'!D3)</f>
        <v>92723.37</v>
      </c>
      <c r="F68" s="643">
        <f>IF(B48="楼面地价",SUM(F58:F67),ROUND(C50*E68/10000,0))</f>
        <v>5573</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2019-9-1</v>
      </c>
      <c r="D70" s="2754">
        <f>EDATE(C70,-3)</f>
        <v>43617</v>
      </c>
      <c r="E70" s="2754">
        <f t="shared" ref="E70:N70" si="18">EDATE(D70,-3)</f>
        <v>43525</v>
      </c>
      <c r="F70" s="2754">
        <f t="shared" si="18"/>
        <v>43435</v>
      </c>
      <c r="G70" s="2754">
        <f t="shared" si="18"/>
        <v>43344</v>
      </c>
      <c r="H70" s="2754">
        <f t="shared" si="18"/>
        <v>43252</v>
      </c>
      <c r="I70" s="2754">
        <f t="shared" si="18"/>
        <v>43160</v>
      </c>
      <c r="J70" s="2754">
        <f t="shared" si="18"/>
        <v>43070</v>
      </c>
      <c r="K70" s="2754">
        <f t="shared" si="18"/>
        <v>42979</v>
      </c>
      <c r="L70" s="2754">
        <f t="shared" si="18"/>
        <v>42887</v>
      </c>
      <c r="M70" s="2754">
        <f t="shared" si="18"/>
        <v>42795</v>
      </c>
      <c r="N70" s="2754">
        <f t="shared" si="18"/>
        <v>42705</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2531</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2646</v>
      </c>
      <c r="B73" s="478" t="str">
        <f>"北京市平均增长率"&amp;TEXT(SUMIF(基准地价!N21:N25,A73,基准地价!P21:P25),"0.00%")</f>
        <v>北京市平均增长率2.04%</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531</v>
      </c>
      <c r="B75" s="647"/>
      <c r="C75" s="659" t="s">
        <v>576</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577</v>
      </c>
      <c r="B77" s="664" t="s">
        <v>534</v>
      </c>
      <c r="C77" s="597"/>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537</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538</v>
      </c>
      <c r="C81" s="681" t="str">
        <f>C82&amp;"（含）"&amp;"-"&amp;D82</f>
        <v>1（含）-2</v>
      </c>
      <c r="D81" s="681" t="str">
        <f t="shared" ref="D81:L81" si="21">D82&amp;"（含）"&amp;"-"&amp;E82</f>
        <v>2（含）-3</v>
      </c>
      <c r="E81" s="681" t="str">
        <f t="shared" si="21"/>
        <v>3（含）-4</v>
      </c>
      <c r="F81" s="681" t="str">
        <f t="shared" si="21"/>
        <v>4（含）-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1</v>
      </c>
      <c r="D82" s="540">
        <v>2</v>
      </c>
      <c r="E82" s="540">
        <v>3</v>
      </c>
      <c r="F82" s="540">
        <v>4</v>
      </c>
      <c r="G82" s="540"/>
      <c r="H82" s="540"/>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111</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111</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539</v>
      </c>
      <c r="B90" s="664" t="s">
        <v>578</v>
      </c>
      <c r="C90" s="702" t="s">
        <v>579</v>
      </c>
      <c r="D90" s="702" t="s">
        <v>580</v>
      </c>
      <c r="E90" s="702" t="s">
        <v>581</v>
      </c>
      <c r="F90" s="702" t="s">
        <v>582</v>
      </c>
      <c r="G90" s="702" t="s">
        <v>583</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584</v>
      </c>
      <c r="C92" s="707" t="s">
        <v>579</v>
      </c>
      <c r="D92" s="707" t="s">
        <v>580</v>
      </c>
      <c r="E92" s="707" t="s">
        <v>581</v>
      </c>
      <c r="F92" s="707" t="s">
        <v>582</v>
      </c>
      <c r="G92" s="707" t="s">
        <v>583</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95</v>
      </c>
      <c r="E93" s="678">
        <f>D93-$K19</f>
        <v>90</v>
      </c>
      <c r="F93" s="678">
        <f>E93-$K19</f>
        <v>85</v>
      </c>
      <c r="G93" s="678">
        <f>F93-$K19</f>
        <v>80</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585</v>
      </c>
      <c r="C94" s="707" t="s">
        <v>579</v>
      </c>
      <c r="D94" s="707" t="s">
        <v>580</v>
      </c>
      <c r="E94" s="707" t="s">
        <v>581</v>
      </c>
      <c r="F94" s="707" t="s">
        <v>582</v>
      </c>
      <c r="G94" s="707" t="s">
        <v>583</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97</v>
      </c>
      <c r="E95" s="678">
        <f>D95-$K21</f>
        <v>94</v>
      </c>
      <c r="F95" s="678">
        <f>E95-$K21</f>
        <v>91</v>
      </c>
      <c r="G95" s="678">
        <f>F95-$K21</f>
        <v>88</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586</v>
      </c>
      <c r="C96" s="707" t="s">
        <v>579</v>
      </c>
      <c r="D96" s="707" t="s">
        <v>580</v>
      </c>
      <c r="E96" s="707" t="s">
        <v>581</v>
      </c>
      <c r="F96" s="707" t="s">
        <v>582</v>
      </c>
      <c r="G96" s="707" t="s">
        <v>583</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95</v>
      </c>
      <c r="E97" s="678">
        <f>D97-$K23</f>
        <v>90</v>
      </c>
      <c r="F97" s="678">
        <f>E97-$K23</f>
        <v>85</v>
      </c>
      <c r="G97" s="678">
        <f>F97-$K23</f>
        <v>80</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2547</v>
      </c>
      <c r="C102" s="702" t="s">
        <v>579</v>
      </c>
      <c r="D102" s="702" t="s">
        <v>580</v>
      </c>
      <c r="E102" s="702" t="s">
        <v>581</v>
      </c>
      <c r="F102" s="702" t="s">
        <v>582</v>
      </c>
      <c r="G102" s="702" t="s">
        <v>583</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2549</v>
      </c>
      <c r="C104" s="2562" t="s">
        <v>2550</v>
      </c>
      <c r="D104" s="2562" t="s">
        <v>2551</v>
      </c>
      <c r="E104" s="2562" t="s">
        <v>2552</v>
      </c>
      <c r="F104" s="2562" t="s">
        <v>2553</v>
      </c>
      <c r="G104" s="2562" t="s">
        <v>2554</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548</v>
      </c>
      <c r="C108" s="687"/>
      <c r="D108" s="687"/>
      <c r="E108" s="687"/>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549</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111</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111</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111</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551</v>
      </c>
      <c r="B118" s="664" t="s">
        <v>593</v>
      </c>
      <c r="C118" s="703" t="str">
        <f t="shared" ref="C118:L118" si="26">C119&amp;"(含)"&amp;"-"&amp;D119</f>
        <v>0(含)-100000</v>
      </c>
      <c r="D118" s="703" t="str">
        <f t="shared" si="26"/>
        <v>100000(含)-500000</v>
      </c>
      <c r="E118" s="703" t="str">
        <f t="shared" si="26"/>
        <v>500000(含)-</v>
      </c>
      <c r="F118" s="703" t="str">
        <f t="shared" si="26"/>
        <v>(含)-</v>
      </c>
      <c r="G118" s="703" t="str">
        <f t="shared" si="26"/>
        <v>(含)-</v>
      </c>
      <c r="H118" s="703" t="str">
        <f t="shared" si="26"/>
        <v>(含)-</v>
      </c>
      <c r="I118" s="703"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100000</v>
      </c>
      <c r="E119" s="729">
        <v>500000</v>
      </c>
      <c r="F119" s="729"/>
      <c r="G119" s="729"/>
      <c r="H119" s="729"/>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102</v>
      </c>
      <c r="E120" s="725">
        <v>104</v>
      </c>
      <c r="F120" s="725"/>
      <c r="G120" s="725"/>
      <c r="H120" s="725"/>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594</v>
      </c>
      <c r="C121" s="3185" t="s">
        <v>3252</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595</v>
      </c>
      <c r="C123" s="3184" t="s">
        <v>3254</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2424</v>
      </c>
      <c r="C125" s="1371" t="s">
        <v>3256</v>
      </c>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100</v>
      </c>
      <c r="E126" s="678">
        <f t="shared" ref="E126:M126" si="29">D126-$K43</f>
        <v>100</v>
      </c>
      <c r="F126" s="678">
        <f t="shared" si="29"/>
        <v>100</v>
      </c>
      <c r="G126" s="678">
        <f t="shared" si="29"/>
        <v>100</v>
      </c>
      <c r="H126" s="678">
        <f t="shared" si="29"/>
        <v>100</v>
      </c>
      <c r="I126" s="678">
        <f t="shared" si="29"/>
        <v>100</v>
      </c>
      <c r="J126" s="678">
        <f t="shared" si="29"/>
        <v>100</v>
      </c>
      <c r="K126" s="678">
        <f t="shared" si="29"/>
        <v>100</v>
      </c>
      <c r="L126" s="678">
        <f t="shared" si="29"/>
        <v>100</v>
      </c>
      <c r="M126" s="679">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596</v>
      </c>
      <c r="C127" s="687"/>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111</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111</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111</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activeCell="E42" sqref="E42"/>
    </sheetView>
  </sheetViews>
  <sheetFormatPr defaultRowHeight="13.5"/>
  <cols>
    <col min="1" max="1" width="45.875" style="2894" customWidth="1"/>
    <col min="2" max="2" width="6.25" style="2894" customWidth="1"/>
    <col min="3" max="3" width="11.75" style="2894" customWidth="1"/>
    <col min="4" max="5" width="13.875" style="2894" customWidth="1"/>
    <col min="6" max="6" width="17.875" style="2894" customWidth="1"/>
    <col min="7" max="7" width="7.875" style="2894" customWidth="1"/>
    <col min="8" max="8" width="18.75" style="2894" customWidth="1"/>
    <col min="9" max="10" width="10.625" style="2894" customWidth="1"/>
    <col min="11" max="11" width="14.375" style="2894" customWidth="1"/>
    <col min="12" max="12" width="6.25" style="2894" customWidth="1"/>
    <col min="13" max="13" width="39.25" style="2894" customWidth="1"/>
    <col min="14" max="14" width="7.875" style="2894" customWidth="1"/>
    <col min="15" max="256" width="9" style="2894"/>
    <col min="257" max="257" width="45.875" style="2894" customWidth="1"/>
    <col min="258" max="258" width="6.25" style="2894" customWidth="1"/>
    <col min="259" max="259" width="11.75" style="2894" customWidth="1"/>
    <col min="260" max="261" width="13.875" style="2894" customWidth="1"/>
    <col min="262" max="262" width="17.875" style="2894" customWidth="1"/>
    <col min="263" max="263" width="7.875" style="2894" customWidth="1"/>
    <col min="264" max="264" width="9" style="2894" customWidth="1"/>
    <col min="265" max="266" width="10.625" style="2894" customWidth="1"/>
    <col min="267" max="267" width="14.375" style="2894" customWidth="1"/>
    <col min="268" max="268" width="6.25" style="2894" customWidth="1"/>
    <col min="269" max="269" width="39.25" style="2894" customWidth="1"/>
    <col min="270" max="270" width="7.875" style="2894" customWidth="1"/>
    <col min="271" max="512" width="9" style="2894"/>
    <col min="513" max="513" width="45.875" style="2894" customWidth="1"/>
    <col min="514" max="514" width="6.25" style="2894" customWidth="1"/>
    <col min="515" max="515" width="11.75" style="2894" customWidth="1"/>
    <col min="516" max="517" width="13.875" style="2894" customWidth="1"/>
    <col min="518" max="518" width="17.875" style="2894" customWidth="1"/>
    <col min="519" max="519" width="7.875" style="2894" customWidth="1"/>
    <col min="520" max="520" width="9" style="2894" customWidth="1"/>
    <col min="521" max="522" width="10.625" style="2894" customWidth="1"/>
    <col min="523" max="523" width="14.375" style="2894" customWidth="1"/>
    <col min="524" max="524" width="6.25" style="2894" customWidth="1"/>
    <col min="525" max="525" width="39.25" style="2894" customWidth="1"/>
    <col min="526" max="526" width="7.875" style="2894" customWidth="1"/>
    <col min="527" max="768" width="9" style="2894"/>
    <col min="769" max="769" width="45.875" style="2894" customWidth="1"/>
    <col min="770" max="770" width="6.25" style="2894" customWidth="1"/>
    <col min="771" max="771" width="11.75" style="2894" customWidth="1"/>
    <col min="772" max="773" width="13.875" style="2894" customWidth="1"/>
    <col min="774" max="774" width="17.875" style="2894" customWidth="1"/>
    <col min="775" max="775" width="7.875" style="2894" customWidth="1"/>
    <col min="776" max="776" width="9" style="2894" customWidth="1"/>
    <col min="777" max="778" width="10.625" style="2894" customWidth="1"/>
    <col min="779" max="779" width="14.375" style="2894" customWidth="1"/>
    <col min="780" max="780" width="6.25" style="2894" customWidth="1"/>
    <col min="781" max="781" width="39.25" style="2894" customWidth="1"/>
    <col min="782" max="782" width="7.875" style="2894" customWidth="1"/>
    <col min="783" max="1024" width="9" style="2894"/>
    <col min="1025" max="1025" width="45.875" style="2894" customWidth="1"/>
    <col min="1026" max="1026" width="6.25" style="2894" customWidth="1"/>
    <col min="1027" max="1027" width="11.75" style="2894" customWidth="1"/>
    <col min="1028" max="1029" width="13.875" style="2894" customWidth="1"/>
    <col min="1030" max="1030" width="17.875" style="2894" customWidth="1"/>
    <col min="1031" max="1031" width="7.875" style="2894" customWidth="1"/>
    <col min="1032" max="1032" width="9" style="2894" customWidth="1"/>
    <col min="1033" max="1034" width="10.625" style="2894" customWidth="1"/>
    <col min="1035" max="1035" width="14.375" style="2894" customWidth="1"/>
    <col min="1036" max="1036" width="6.25" style="2894" customWidth="1"/>
    <col min="1037" max="1037" width="39.25" style="2894" customWidth="1"/>
    <col min="1038" max="1038" width="7.875" style="2894" customWidth="1"/>
    <col min="1039" max="1280" width="9" style="2894"/>
    <col min="1281" max="1281" width="45.875" style="2894" customWidth="1"/>
    <col min="1282" max="1282" width="6.25" style="2894" customWidth="1"/>
    <col min="1283" max="1283" width="11.75" style="2894" customWidth="1"/>
    <col min="1284" max="1285" width="13.875" style="2894" customWidth="1"/>
    <col min="1286" max="1286" width="17.875" style="2894" customWidth="1"/>
    <col min="1287" max="1287" width="7.875" style="2894" customWidth="1"/>
    <col min="1288" max="1288" width="9" style="2894" customWidth="1"/>
    <col min="1289" max="1290" width="10.625" style="2894" customWidth="1"/>
    <col min="1291" max="1291" width="14.375" style="2894" customWidth="1"/>
    <col min="1292" max="1292" width="6.25" style="2894" customWidth="1"/>
    <col min="1293" max="1293" width="39.25" style="2894" customWidth="1"/>
    <col min="1294" max="1294" width="7.875" style="2894" customWidth="1"/>
    <col min="1295" max="1536" width="9" style="2894"/>
    <col min="1537" max="1537" width="45.875" style="2894" customWidth="1"/>
    <col min="1538" max="1538" width="6.25" style="2894" customWidth="1"/>
    <col min="1539" max="1539" width="11.75" style="2894" customWidth="1"/>
    <col min="1540" max="1541" width="13.875" style="2894" customWidth="1"/>
    <col min="1542" max="1542" width="17.875" style="2894" customWidth="1"/>
    <col min="1543" max="1543" width="7.875" style="2894" customWidth="1"/>
    <col min="1544" max="1544" width="9" style="2894" customWidth="1"/>
    <col min="1545" max="1546" width="10.625" style="2894" customWidth="1"/>
    <col min="1547" max="1547" width="14.375" style="2894" customWidth="1"/>
    <col min="1548" max="1548" width="6.25" style="2894" customWidth="1"/>
    <col min="1549" max="1549" width="39.25" style="2894" customWidth="1"/>
    <col min="1550" max="1550" width="7.875" style="2894" customWidth="1"/>
    <col min="1551" max="1792" width="9" style="2894"/>
    <col min="1793" max="1793" width="45.875" style="2894" customWidth="1"/>
    <col min="1794" max="1794" width="6.25" style="2894" customWidth="1"/>
    <col min="1795" max="1795" width="11.75" style="2894" customWidth="1"/>
    <col min="1796" max="1797" width="13.875" style="2894" customWidth="1"/>
    <col min="1798" max="1798" width="17.875" style="2894" customWidth="1"/>
    <col min="1799" max="1799" width="7.875" style="2894" customWidth="1"/>
    <col min="1800" max="1800" width="9" style="2894" customWidth="1"/>
    <col min="1801" max="1802" width="10.625" style="2894" customWidth="1"/>
    <col min="1803" max="1803" width="14.375" style="2894" customWidth="1"/>
    <col min="1804" max="1804" width="6.25" style="2894" customWidth="1"/>
    <col min="1805" max="1805" width="39.25" style="2894" customWidth="1"/>
    <col min="1806" max="1806" width="7.875" style="2894" customWidth="1"/>
    <col min="1807" max="2048" width="9" style="2894"/>
    <col min="2049" max="2049" width="45.875" style="2894" customWidth="1"/>
    <col min="2050" max="2050" width="6.25" style="2894" customWidth="1"/>
    <col min="2051" max="2051" width="11.75" style="2894" customWidth="1"/>
    <col min="2052" max="2053" width="13.875" style="2894" customWidth="1"/>
    <col min="2054" max="2054" width="17.875" style="2894" customWidth="1"/>
    <col min="2055" max="2055" width="7.875" style="2894" customWidth="1"/>
    <col min="2056" max="2056" width="9" style="2894" customWidth="1"/>
    <col min="2057" max="2058" width="10.625" style="2894" customWidth="1"/>
    <col min="2059" max="2059" width="14.375" style="2894" customWidth="1"/>
    <col min="2060" max="2060" width="6.25" style="2894" customWidth="1"/>
    <col min="2061" max="2061" width="39.25" style="2894" customWidth="1"/>
    <col min="2062" max="2062" width="7.875" style="2894" customWidth="1"/>
    <col min="2063" max="2304" width="9" style="2894"/>
    <col min="2305" max="2305" width="45.875" style="2894" customWidth="1"/>
    <col min="2306" max="2306" width="6.25" style="2894" customWidth="1"/>
    <col min="2307" max="2307" width="11.75" style="2894" customWidth="1"/>
    <col min="2308" max="2309" width="13.875" style="2894" customWidth="1"/>
    <col min="2310" max="2310" width="17.875" style="2894" customWidth="1"/>
    <col min="2311" max="2311" width="7.875" style="2894" customWidth="1"/>
    <col min="2312" max="2312" width="9" style="2894" customWidth="1"/>
    <col min="2313" max="2314" width="10.625" style="2894" customWidth="1"/>
    <col min="2315" max="2315" width="14.375" style="2894" customWidth="1"/>
    <col min="2316" max="2316" width="6.25" style="2894" customWidth="1"/>
    <col min="2317" max="2317" width="39.25" style="2894" customWidth="1"/>
    <col min="2318" max="2318" width="7.875" style="2894" customWidth="1"/>
    <col min="2319" max="2560" width="9" style="2894"/>
    <col min="2561" max="2561" width="45.875" style="2894" customWidth="1"/>
    <col min="2562" max="2562" width="6.25" style="2894" customWidth="1"/>
    <col min="2563" max="2563" width="11.75" style="2894" customWidth="1"/>
    <col min="2564" max="2565" width="13.875" style="2894" customWidth="1"/>
    <col min="2566" max="2566" width="17.875" style="2894" customWidth="1"/>
    <col min="2567" max="2567" width="7.875" style="2894" customWidth="1"/>
    <col min="2568" max="2568" width="9" style="2894" customWidth="1"/>
    <col min="2569" max="2570" width="10.625" style="2894" customWidth="1"/>
    <col min="2571" max="2571" width="14.375" style="2894" customWidth="1"/>
    <col min="2572" max="2572" width="6.25" style="2894" customWidth="1"/>
    <col min="2573" max="2573" width="39.25" style="2894" customWidth="1"/>
    <col min="2574" max="2574" width="7.875" style="2894" customWidth="1"/>
    <col min="2575" max="2816" width="9" style="2894"/>
    <col min="2817" max="2817" width="45.875" style="2894" customWidth="1"/>
    <col min="2818" max="2818" width="6.25" style="2894" customWidth="1"/>
    <col min="2819" max="2819" width="11.75" style="2894" customWidth="1"/>
    <col min="2820" max="2821" width="13.875" style="2894" customWidth="1"/>
    <col min="2822" max="2822" width="17.875" style="2894" customWidth="1"/>
    <col min="2823" max="2823" width="7.875" style="2894" customWidth="1"/>
    <col min="2824" max="2824" width="9" style="2894" customWidth="1"/>
    <col min="2825" max="2826" width="10.625" style="2894" customWidth="1"/>
    <col min="2827" max="2827" width="14.375" style="2894" customWidth="1"/>
    <col min="2828" max="2828" width="6.25" style="2894" customWidth="1"/>
    <col min="2829" max="2829" width="39.25" style="2894" customWidth="1"/>
    <col min="2830" max="2830" width="7.875" style="2894" customWidth="1"/>
    <col min="2831" max="3072" width="9" style="2894"/>
    <col min="3073" max="3073" width="45.875" style="2894" customWidth="1"/>
    <col min="3074" max="3074" width="6.25" style="2894" customWidth="1"/>
    <col min="3075" max="3075" width="11.75" style="2894" customWidth="1"/>
    <col min="3076" max="3077" width="13.875" style="2894" customWidth="1"/>
    <col min="3078" max="3078" width="17.875" style="2894" customWidth="1"/>
    <col min="3079" max="3079" width="7.875" style="2894" customWidth="1"/>
    <col min="3080" max="3080" width="9" style="2894" customWidth="1"/>
    <col min="3081" max="3082" width="10.625" style="2894" customWidth="1"/>
    <col min="3083" max="3083" width="14.375" style="2894" customWidth="1"/>
    <col min="3084" max="3084" width="6.25" style="2894" customWidth="1"/>
    <col min="3085" max="3085" width="39.25" style="2894" customWidth="1"/>
    <col min="3086" max="3086" width="7.875" style="2894" customWidth="1"/>
    <col min="3087" max="3328" width="9" style="2894"/>
    <col min="3329" max="3329" width="45.875" style="2894" customWidth="1"/>
    <col min="3330" max="3330" width="6.25" style="2894" customWidth="1"/>
    <col min="3331" max="3331" width="11.75" style="2894" customWidth="1"/>
    <col min="3332" max="3333" width="13.875" style="2894" customWidth="1"/>
    <col min="3334" max="3334" width="17.875" style="2894" customWidth="1"/>
    <col min="3335" max="3335" width="7.875" style="2894" customWidth="1"/>
    <col min="3336" max="3336" width="9" style="2894" customWidth="1"/>
    <col min="3337" max="3338" width="10.625" style="2894" customWidth="1"/>
    <col min="3339" max="3339" width="14.375" style="2894" customWidth="1"/>
    <col min="3340" max="3340" width="6.25" style="2894" customWidth="1"/>
    <col min="3341" max="3341" width="39.25" style="2894" customWidth="1"/>
    <col min="3342" max="3342" width="7.875" style="2894" customWidth="1"/>
    <col min="3343" max="3584" width="9" style="2894"/>
    <col min="3585" max="3585" width="45.875" style="2894" customWidth="1"/>
    <col min="3586" max="3586" width="6.25" style="2894" customWidth="1"/>
    <col min="3587" max="3587" width="11.75" style="2894" customWidth="1"/>
    <col min="3588" max="3589" width="13.875" style="2894" customWidth="1"/>
    <col min="3590" max="3590" width="17.875" style="2894" customWidth="1"/>
    <col min="3591" max="3591" width="7.875" style="2894" customWidth="1"/>
    <col min="3592" max="3592" width="9" style="2894" customWidth="1"/>
    <col min="3593" max="3594" width="10.625" style="2894" customWidth="1"/>
    <col min="3595" max="3595" width="14.375" style="2894" customWidth="1"/>
    <col min="3596" max="3596" width="6.25" style="2894" customWidth="1"/>
    <col min="3597" max="3597" width="39.25" style="2894" customWidth="1"/>
    <col min="3598" max="3598" width="7.875" style="2894" customWidth="1"/>
    <col min="3599" max="3840" width="9" style="2894"/>
    <col min="3841" max="3841" width="45.875" style="2894" customWidth="1"/>
    <col min="3842" max="3842" width="6.25" style="2894" customWidth="1"/>
    <col min="3843" max="3843" width="11.75" style="2894" customWidth="1"/>
    <col min="3844" max="3845" width="13.875" style="2894" customWidth="1"/>
    <col min="3846" max="3846" width="17.875" style="2894" customWidth="1"/>
    <col min="3847" max="3847" width="7.875" style="2894" customWidth="1"/>
    <col min="3848" max="3848" width="9" style="2894" customWidth="1"/>
    <col min="3849" max="3850" width="10.625" style="2894" customWidth="1"/>
    <col min="3851" max="3851" width="14.375" style="2894" customWidth="1"/>
    <col min="3852" max="3852" width="6.25" style="2894" customWidth="1"/>
    <col min="3853" max="3853" width="39.25" style="2894" customWidth="1"/>
    <col min="3854" max="3854" width="7.875" style="2894" customWidth="1"/>
    <col min="3855" max="4096" width="9" style="2894"/>
    <col min="4097" max="4097" width="45.875" style="2894" customWidth="1"/>
    <col min="4098" max="4098" width="6.25" style="2894" customWidth="1"/>
    <col min="4099" max="4099" width="11.75" style="2894" customWidth="1"/>
    <col min="4100" max="4101" width="13.875" style="2894" customWidth="1"/>
    <col min="4102" max="4102" width="17.875" style="2894" customWidth="1"/>
    <col min="4103" max="4103" width="7.875" style="2894" customWidth="1"/>
    <col min="4104" max="4104" width="9" style="2894" customWidth="1"/>
    <col min="4105" max="4106" width="10.625" style="2894" customWidth="1"/>
    <col min="4107" max="4107" width="14.375" style="2894" customWidth="1"/>
    <col min="4108" max="4108" width="6.25" style="2894" customWidth="1"/>
    <col min="4109" max="4109" width="39.25" style="2894" customWidth="1"/>
    <col min="4110" max="4110" width="7.875" style="2894" customWidth="1"/>
    <col min="4111" max="4352" width="9" style="2894"/>
    <col min="4353" max="4353" width="45.875" style="2894" customWidth="1"/>
    <col min="4354" max="4354" width="6.25" style="2894" customWidth="1"/>
    <col min="4355" max="4355" width="11.75" style="2894" customWidth="1"/>
    <col min="4356" max="4357" width="13.875" style="2894" customWidth="1"/>
    <col min="4358" max="4358" width="17.875" style="2894" customWidth="1"/>
    <col min="4359" max="4359" width="7.875" style="2894" customWidth="1"/>
    <col min="4360" max="4360" width="9" style="2894" customWidth="1"/>
    <col min="4361" max="4362" width="10.625" style="2894" customWidth="1"/>
    <col min="4363" max="4363" width="14.375" style="2894" customWidth="1"/>
    <col min="4364" max="4364" width="6.25" style="2894" customWidth="1"/>
    <col min="4365" max="4365" width="39.25" style="2894" customWidth="1"/>
    <col min="4366" max="4366" width="7.875" style="2894" customWidth="1"/>
    <col min="4367" max="4608" width="9" style="2894"/>
    <col min="4609" max="4609" width="45.875" style="2894" customWidth="1"/>
    <col min="4610" max="4610" width="6.25" style="2894" customWidth="1"/>
    <col min="4611" max="4611" width="11.75" style="2894" customWidth="1"/>
    <col min="4612" max="4613" width="13.875" style="2894" customWidth="1"/>
    <col min="4614" max="4614" width="17.875" style="2894" customWidth="1"/>
    <col min="4615" max="4615" width="7.875" style="2894" customWidth="1"/>
    <col min="4616" max="4616" width="9" style="2894" customWidth="1"/>
    <col min="4617" max="4618" width="10.625" style="2894" customWidth="1"/>
    <col min="4619" max="4619" width="14.375" style="2894" customWidth="1"/>
    <col min="4620" max="4620" width="6.25" style="2894" customWidth="1"/>
    <col min="4621" max="4621" width="39.25" style="2894" customWidth="1"/>
    <col min="4622" max="4622" width="7.875" style="2894" customWidth="1"/>
    <col min="4623" max="4864" width="9" style="2894"/>
    <col min="4865" max="4865" width="45.875" style="2894" customWidth="1"/>
    <col min="4866" max="4866" width="6.25" style="2894" customWidth="1"/>
    <col min="4867" max="4867" width="11.75" style="2894" customWidth="1"/>
    <col min="4868" max="4869" width="13.875" style="2894" customWidth="1"/>
    <col min="4870" max="4870" width="17.875" style="2894" customWidth="1"/>
    <col min="4871" max="4871" width="7.875" style="2894" customWidth="1"/>
    <col min="4872" max="4872" width="9" style="2894" customWidth="1"/>
    <col min="4873" max="4874" width="10.625" style="2894" customWidth="1"/>
    <col min="4875" max="4875" width="14.375" style="2894" customWidth="1"/>
    <col min="4876" max="4876" width="6.25" style="2894" customWidth="1"/>
    <col min="4877" max="4877" width="39.25" style="2894" customWidth="1"/>
    <col min="4878" max="4878" width="7.875" style="2894" customWidth="1"/>
    <col min="4879" max="5120" width="9" style="2894"/>
    <col min="5121" max="5121" width="45.875" style="2894" customWidth="1"/>
    <col min="5122" max="5122" width="6.25" style="2894" customWidth="1"/>
    <col min="5123" max="5123" width="11.75" style="2894" customWidth="1"/>
    <col min="5124" max="5125" width="13.875" style="2894" customWidth="1"/>
    <col min="5126" max="5126" width="17.875" style="2894" customWidth="1"/>
    <col min="5127" max="5127" width="7.875" style="2894" customWidth="1"/>
    <col min="5128" max="5128" width="9" style="2894" customWidth="1"/>
    <col min="5129" max="5130" width="10.625" style="2894" customWidth="1"/>
    <col min="5131" max="5131" width="14.375" style="2894" customWidth="1"/>
    <col min="5132" max="5132" width="6.25" style="2894" customWidth="1"/>
    <col min="5133" max="5133" width="39.25" style="2894" customWidth="1"/>
    <col min="5134" max="5134" width="7.875" style="2894" customWidth="1"/>
    <col min="5135" max="5376" width="9" style="2894"/>
    <col min="5377" max="5377" width="45.875" style="2894" customWidth="1"/>
    <col min="5378" max="5378" width="6.25" style="2894" customWidth="1"/>
    <col min="5379" max="5379" width="11.75" style="2894" customWidth="1"/>
    <col min="5380" max="5381" width="13.875" style="2894" customWidth="1"/>
    <col min="5382" max="5382" width="17.875" style="2894" customWidth="1"/>
    <col min="5383" max="5383" width="7.875" style="2894" customWidth="1"/>
    <col min="5384" max="5384" width="9" style="2894" customWidth="1"/>
    <col min="5385" max="5386" width="10.625" style="2894" customWidth="1"/>
    <col min="5387" max="5387" width="14.375" style="2894" customWidth="1"/>
    <col min="5388" max="5388" width="6.25" style="2894" customWidth="1"/>
    <col min="5389" max="5389" width="39.25" style="2894" customWidth="1"/>
    <col min="5390" max="5390" width="7.875" style="2894" customWidth="1"/>
    <col min="5391" max="5632" width="9" style="2894"/>
    <col min="5633" max="5633" width="45.875" style="2894" customWidth="1"/>
    <col min="5634" max="5634" width="6.25" style="2894" customWidth="1"/>
    <col min="5635" max="5635" width="11.75" style="2894" customWidth="1"/>
    <col min="5636" max="5637" width="13.875" style="2894" customWidth="1"/>
    <col min="5638" max="5638" width="17.875" style="2894" customWidth="1"/>
    <col min="5639" max="5639" width="7.875" style="2894" customWidth="1"/>
    <col min="5640" max="5640" width="9" style="2894" customWidth="1"/>
    <col min="5641" max="5642" width="10.625" style="2894" customWidth="1"/>
    <col min="5643" max="5643" width="14.375" style="2894" customWidth="1"/>
    <col min="5644" max="5644" width="6.25" style="2894" customWidth="1"/>
    <col min="5645" max="5645" width="39.25" style="2894" customWidth="1"/>
    <col min="5646" max="5646" width="7.875" style="2894" customWidth="1"/>
    <col min="5647" max="5888" width="9" style="2894"/>
    <col min="5889" max="5889" width="45.875" style="2894" customWidth="1"/>
    <col min="5890" max="5890" width="6.25" style="2894" customWidth="1"/>
    <col min="5891" max="5891" width="11.75" style="2894" customWidth="1"/>
    <col min="5892" max="5893" width="13.875" style="2894" customWidth="1"/>
    <col min="5894" max="5894" width="17.875" style="2894" customWidth="1"/>
    <col min="5895" max="5895" width="7.875" style="2894" customWidth="1"/>
    <col min="5896" max="5896" width="9" style="2894" customWidth="1"/>
    <col min="5897" max="5898" width="10.625" style="2894" customWidth="1"/>
    <col min="5899" max="5899" width="14.375" style="2894" customWidth="1"/>
    <col min="5900" max="5900" width="6.25" style="2894" customWidth="1"/>
    <col min="5901" max="5901" width="39.25" style="2894" customWidth="1"/>
    <col min="5902" max="5902" width="7.875" style="2894" customWidth="1"/>
    <col min="5903" max="6144" width="9" style="2894"/>
    <col min="6145" max="6145" width="45.875" style="2894" customWidth="1"/>
    <col min="6146" max="6146" width="6.25" style="2894" customWidth="1"/>
    <col min="6147" max="6147" width="11.75" style="2894" customWidth="1"/>
    <col min="6148" max="6149" width="13.875" style="2894" customWidth="1"/>
    <col min="6150" max="6150" width="17.875" style="2894" customWidth="1"/>
    <col min="6151" max="6151" width="7.875" style="2894" customWidth="1"/>
    <col min="6152" max="6152" width="9" style="2894" customWidth="1"/>
    <col min="6153" max="6154" width="10.625" style="2894" customWidth="1"/>
    <col min="6155" max="6155" width="14.375" style="2894" customWidth="1"/>
    <col min="6156" max="6156" width="6.25" style="2894" customWidth="1"/>
    <col min="6157" max="6157" width="39.25" style="2894" customWidth="1"/>
    <col min="6158" max="6158" width="7.875" style="2894" customWidth="1"/>
    <col min="6159" max="6400" width="9" style="2894"/>
    <col min="6401" max="6401" width="45.875" style="2894" customWidth="1"/>
    <col min="6402" max="6402" width="6.25" style="2894" customWidth="1"/>
    <col min="6403" max="6403" width="11.75" style="2894" customWidth="1"/>
    <col min="6404" max="6405" width="13.875" style="2894" customWidth="1"/>
    <col min="6406" max="6406" width="17.875" style="2894" customWidth="1"/>
    <col min="6407" max="6407" width="7.875" style="2894" customWidth="1"/>
    <col min="6408" max="6408" width="9" style="2894" customWidth="1"/>
    <col min="6409" max="6410" width="10.625" style="2894" customWidth="1"/>
    <col min="6411" max="6411" width="14.375" style="2894" customWidth="1"/>
    <col min="6412" max="6412" width="6.25" style="2894" customWidth="1"/>
    <col min="6413" max="6413" width="39.25" style="2894" customWidth="1"/>
    <col min="6414" max="6414" width="7.875" style="2894" customWidth="1"/>
    <col min="6415" max="6656" width="9" style="2894"/>
    <col min="6657" max="6657" width="45.875" style="2894" customWidth="1"/>
    <col min="6658" max="6658" width="6.25" style="2894" customWidth="1"/>
    <col min="6659" max="6659" width="11.75" style="2894" customWidth="1"/>
    <col min="6660" max="6661" width="13.875" style="2894" customWidth="1"/>
    <col min="6662" max="6662" width="17.875" style="2894" customWidth="1"/>
    <col min="6663" max="6663" width="7.875" style="2894" customWidth="1"/>
    <col min="6664" max="6664" width="9" style="2894" customWidth="1"/>
    <col min="6665" max="6666" width="10.625" style="2894" customWidth="1"/>
    <col min="6667" max="6667" width="14.375" style="2894" customWidth="1"/>
    <col min="6668" max="6668" width="6.25" style="2894" customWidth="1"/>
    <col min="6669" max="6669" width="39.25" style="2894" customWidth="1"/>
    <col min="6670" max="6670" width="7.875" style="2894" customWidth="1"/>
    <col min="6671" max="6912" width="9" style="2894"/>
    <col min="6913" max="6913" width="45.875" style="2894" customWidth="1"/>
    <col min="6914" max="6914" width="6.25" style="2894" customWidth="1"/>
    <col min="6915" max="6915" width="11.75" style="2894" customWidth="1"/>
    <col min="6916" max="6917" width="13.875" style="2894" customWidth="1"/>
    <col min="6918" max="6918" width="17.875" style="2894" customWidth="1"/>
    <col min="6919" max="6919" width="7.875" style="2894" customWidth="1"/>
    <col min="6920" max="6920" width="9" style="2894" customWidth="1"/>
    <col min="6921" max="6922" width="10.625" style="2894" customWidth="1"/>
    <col min="6923" max="6923" width="14.375" style="2894" customWidth="1"/>
    <col min="6924" max="6924" width="6.25" style="2894" customWidth="1"/>
    <col min="6925" max="6925" width="39.25" style="2894" customWidth="1"/>
    <col min="6926" max="6926" width="7.875" style="2894" customWidth="1"/>
    <col min="6927" max="7168" width="9" style="2894"/>
    <col min="7169" max="7169" width="45.875" style="2894" customWidth="1"/>
    <col min="7170" max="7170" width="6.25" style="2894" customWidth="1"/>
    <col min="7171" max="7171" width="11.75" style="2894" customWidth="1"/>
    <col min="7172" max="7173" width="13.875" style="2894" customWidth="1"/>
    <col min="7174" max="7174" width="17.875" style="2894" customWidth="1"/>
    <col min="7175" max="7175" width="7.875" style="2894" customWidth="1"/>
    <col min="7176" max="7176" width="9" style="2894" customWidth="1"/>
    <col min="7177" max="7178" width="10.625" style="2894" customWidth="1"/>
    <col min="7179" max="7179" width="14.375" style="2894" customWidth="1"/>
    <col min="7180" max="7180" width="6.25" style="2894" customWidth="1"/>
    <col min="7181" max="7181" width="39.25" style="2894" customWidth="1"/>
    <col min="7182" max="7182" width="7.875" style="2894" customWidth="1"/>
    <col min="7183" max="7424" width="9" style="2894"/>
    <col min="7425" max="7425" width="45.875" style="2894" customWidth="1"/>
    <col min="7426" max="7426" width="6.25" style="2894" customWidth="1"/>
    <col min="7427" max="7427" width="11.75" style="2894" customWidth="1"/>
    <col min="7428" max="7429" width="13.875" style="2894" customWidth="1"/>
    <col min="7430" max="7430" width="17.875" style="2894" customWidth="1"/>
    <col min="7431" max="7431" width="7.875" style="2894" customWidth="1"/>
    <col min="7432" max="7432" width="9" style="2894" customWidth="1"/>
    <col min="7433" max="7434" width="10.625" style="2894" customWidth="1"/>
    <col min="7435" max="7435" width="14.375" style="2894" customWidth="1"/>
    <col min="7436" max="7436" width="6.25" style="2894" customWidth="1"/>
    <col min="7437" max="7437" width="39.25" style="2894" customWidth="1"/>
    <col min="7438" max="7438" width="7.875" style="2894" customWidth="1"/>
    <col min="7439" max="7680" width="9" style="2894"/>
    <col min="7681" max="7681" width="45.875" style="2894" customWidth="1"/>
    <col min="7682" max="7682" width="6.25" style="2894" customWidth="1"/>
    <col min="7683" max="7683" width="11.75" style="2894" customWidth="1"/>
    <col min="7684" max="7685" width="13.875" style="2894" customWidth="1"/>
    <col min="7686" max="7686" width="17.875" style="2894" customWidth="1"/>
    <col min="7687" max="7687" width="7.875" style="2894" customWidth="1"/>
    <col min="7688" max="7688" width="9" style="2894" customWidth="1"/>
    <col min="7689" max="7690" width="10.625" style="2894" customWidth="1"/>
    <col min="7691" max="7691" width="14.375" style="2894" customWidth="1"/>
    <col min="7692" max="7692" width="6.25" style="2894" customWidth="1"/>
    <col min="7693" max="7693" width="39.25" style="2894" customWidth="1"/>
    <col min="7694" max="7694" width="7.875" style="2894" customWidth="1"/>
    <col min="7695" max="7936" width="9" style="2894"/>
    <col min="7937" max="7937" width="45.875" style="2894" customWidth="1"/>
    <col min="7938" max="7938" width="6.25" style="2894" customWidth="1"/>
    <col min="7939" max="7939" width="11.75" style="2894" customWidth="1"/>
    <col min="7940" max="7941" width="13.875" style="2894" customWidth="1"/>
    <col min="7942" max="7942" width="17.875" style="2894" customWidth="1"/>
    <col min="7943" max="7943" width="7.875" style="2894" customWidth="1"/>
    <col min="7944" max="7944" width="9" style="2894" customWidth="1"/>
    <col min="7945" max="7946" width="10.625" style="2894" customWidth="1"/>
    <col min="7947" max="7947" width="14.375" style="2894" customWidth="1"/>
    <col min="7948" max="7948" width="6.25" style="2894" customWidth="1"/>
    <col min="7949" max="7949" width="39.25" style="2894" customWidth="1"/>
    <col min="7950" max="7950" width="7.875" style="2894" customWidth="1"/>
    <col min="7951" max="8192" width="9" style="2894"/>
    <col min="8193" max="8193" width="45.875" style="2894" customWidth="1"/>
    <col min="8194" max="8194" width="6.25" style="2894" customWidth="1"/>
    <col min="8195" max="8195" width="11.75" style="2894" customWidth="1"/>
    <col min="8196" max="8197" width="13.875" style="2894" customWidth="1"/>
    <col min="8198" max="8198" width="17.875" style="2894" customWidth="1"/>
    <col min="8199" max="8199" width="7.875" style="2894" customWidth="1"/>
    <col min="8200" max="8200" width="9" style="2894" customWidth="1"/>
    <col min="8201" max="8202" width="10.625" style="2894" customWidth="1"/>
    <col min="8203" max="8203" width="14.375" style="2894" customWidth="1"/>
    <col min="8204" max="8204" width="6.25" style="2894" customWidth="1"/>
    <col min="8205" max="8205" width="39.25" style="2894" customWidth="1"/>
    <col min="8206" max="8206" width="7.875" style="2894" customWidth="1"/>
    <col min="8207" max="8448" width="9" style="2894"/>
    <col min="8449" max="8449" width="45.875" style="2894" customWidth="1"/>
    <col min="8450" max="8450" width="6.25" style="2894" customWidth="1"/>
    <col min="8451" max="8451" width="11.75" style="2894" customWidth="1"/>
    <col min="8452" max="8453" width="13.875" style="2894" customWidth="1"/>
    <col min="8454" max="8454" width="17.875" style="2894" customWidth="1"/>
    <col min="8455" max="8455" width="7.875" style="2894" customWidth="1"/>
    <col min="8456" max="8456" width="9" style="2894" customWidth="1"/>
    <col min="8457" max="8458" width="10.625" style="2894" customWidth="1"/>
    <col min="8459" max="8459" width="14.375" style="2894" customWidth="1"/>
    <col min="8460" max="8460" width="6.25" style="2894" customWidth="1"/>
    <col min="8461" max="8461" width="39.25" style="2894" customWidth="1"/>
    <col min="8462" max="8462" width="7.875" style="2894" customWidth="1"/>
    <col min="8463" max="8704" width="9" style="2894"/>
    <col min="8705" max="8705" width="45.875" style="2894" customWidth="1"/>
    <col min="8706" max="8706" width="6.25" style="2894" customWidth="1"/>
    <col min="8707" max="8707" width="11.75" style="2894" customWidth="1"/>
    <col min="8708" max="8709" width="13.875" style="2894" customWidth="1"/>
    <col min="8710" max="8710" width="17.875" style="2894" customWidth="1"/>
    <col min="8711" max="8711" width="7.875" style="2894" customWidth="1"/>
    <col min="8712" max="8712" width="9" style="2894" customWidth="1"/>
    <col min="8713" max="8714" width="10.625" style="2894" customWidth="1"/>
    <col min="8715" max="8715" width="14.375" style="2894" customWidth="1"/>
    <col min="8716" max="8716" width="6.25" style="2894" customWidth="1"/>
    <col min="8717" max="8717" width="39.25" style="2894" customWidth="1"/>
    <col min="8718" max="8718" width="7.875" style="2894" customWidth="1"/>
    <col min="8719" max="8960" width="9" style="2894"/>
    <col min="8961" max="8961" width="45.875" style="2894" customWidth="1"/>
    <col min="8962" max="8962" width="6.25" style="2894" customWidth="1"/>
    <col min="8963" max="8963" width="11.75" style="2894" customWidth="1"/>
    <col min="8964" max="8965" width="13.875" style="2894" customWidth="1"/>
    <col min="8966" max="8966" width="17.875" style="2894" customWidth="1"/>
    <col min="8967" max="8967" width="7.875" style="2894" customWidth="1"/>
    <col min="8968" max="8968" width="9" style="2894" customWidth="1"/>
    <col min="8969" max="8970" width="10.625" style="2894" customWidth="1"/>
    <col min="8971" max="8971" width="14.375" style="2894" customWidth="1"/>
    <col min="8972" max="8972" width="6.25" style="2894" customWidth="1"/>
    <col min="8973" max="8973" width="39.25" style="2894" customWidth="1"/>
    <col min="8974" max="8974" width="7.875" style="2894" customWidth="1"/>
    <col min="8975" max="9216" width="9" style="2894"/>
    <col min="9217" max="9217" width="45.875" style="2894" customWidth="1"/>
    <col min="9218" max="9218" width="6.25" style="2894" customWidth="1"/>
    <col min="9219" max="9219" width="11.75" style="2894" customWidth="1"/>
    <col min="9220" max="9221" width="13.875" style="2894" customWidth="1"/>
    <col min="9222" max="9222" width="17.875" style="2894" customWidth="1"/>
    <col min="9223" max="9223" width="7.875" style="2894" customWidth="1"/>
    <col min="9224" max="9224" width="9" style="2894" customWidth="1"/>
    <col min="9225" max="9226" width="10.625" style="2894" customWidth="1"/>
    <col min="9227" max="9227" width="14.375" style="2894" customWidth="1"/>
    <col min="9228" max="9228" width="6.25" style="2894" customWidth="1"/>
    <col min="9229" max="9229" width="39.25" style="2894" customWidth="1"/>
    <col min="9230" max="9230" width="7.875" style="2894" customWidth="1"/>
    <col min="9231" max="9472" width="9" style="2894"/>
    <col min="9473" max="9473" width="45.875" style="2894" customWidth="1"/>
    <col min="9474" max="9474" width="6.25" style="2894" customWidth="1"/>
    <col min="9475" max="9475" width="11.75" style="2894" customWidth="1"/>
    <col min="9476" max="9477" width="13.875" style="2894" customWidth="1"/>
    <col min="9478" max="9478" width="17.875" style="2894" customWidth="1"/>
    <col min="9479" max="9479" width="7.875" style="2894" customWidth="1"/>
    <col min="9480" max="9480" width="9" style="2894" customWidth="1"/>
    <col min="9481" max="9482" width="10.625" style="2894" customWidth="1"/>
    <col min="9483" max="9483" width="14.375" style="2894" customWidth="1"/>
    <col min="9484" max="9484" width="6.25" style="2894" customWidth="1"/>
    <col min="9485" max="9485" width="39.25" style="2894" customWidth="1"/>
    <col min="9486" max="9486" width="7.875" style="2894" customWidth="1"/>
    <col min="9487" max="9728" width="9" style="2894"/>
    <col min="9729" max="9729" width="45.875" style="2894" customWidth="1"/>
    <col min="9730" max="9730" width="6.25" style="2894" customWidth="1"/>
    <col min="9731" max="9731" width="11.75" style="2894" customWidth="1"/>
    <col min="9732" max="9733" width="13.875" style="2894" customWidth="1"/>
    <col min="9734" max="9734" width="17.875" style="2894" customWidth="1"/>
    <col min="9735" max="9735" width="7.875" style="2894" customWidth="1"/>
    <col min="9736" max="9736" width="9" style="2894" customWidth="1"/>
    <col min="9737" max="9738" width="10.625" style="2894" customWidth="1"/>
    <col min="9739" max="9739" width="14.375" style="2894" customWidth="1"/>
    <col min="9740" max="9740" width="6.25" style="2894" customWidth="1"/>
    <col min="9741" max="9741" width="39.25" style="2894" customWidth="1"/>
    <col min="9742" max="9742" width="7.875" style="2894" customWidth="1"/>
    <col min="9743" max="9984" width="9" style="2894"/>
    <col min="9985" max="9985" width="45.875" style="2894" customWidth="1"/>
    <col min="9986" max="9986" width="6.25" style="2894" customWidth="1"/>
    <col min="9987" max="9987" width="11.75" style="2894" customWidth="1"/>
    <col min="9988" max="9989" width="13.875" style="2894" customWidth="1"/>
    <col min="9990" max="9990" width="17.875" style="2894" customWidth="1"/>
    <col min="9991" max="9991" width="7.875" style="2894" customWidth="1"/>
    <col min="9992" max="9992" width="9" style="2894" customWidth="1"/>
    <col min="9993" max="9994" width="10.625" style="2894" customWidth="1"/>
    <col min="9995" max="9995" width="14.375" style="2894" customWidth="1"/>
    <col min="9996" max="9996" width="6.25" style="2894" customWidth="1"/>
    <col min="9997" max="9997" width="39.25" style="2894" customWidth="1"/>
    <col min="9998" max="9998" width="7.875" style="2894" customWidth="1"/>
    <col min="9999" max="10240" width="9" style="2894"/>
    <col min="10241" max="10241" width="45.875" style="2894" customWidth="1"/>
    <col min="10242" max="10242" width="6.25" style="2894" customWidth="1"/>
    <col min="10243" max="10243" width="11.75" style="2894" customWidth="1"/>
    <col min="10244" max="10245" width="13.875" style="2894" customWidth="1"/>
    <col min="10246" max="10246" width="17.875" style="2894" customWidth="1"/>
    <col min="10247" max="10247" width="7.875" style="2894" customWidth="1"/>
    <col min="10248" max="10248" width="9" style="2894" customWidth="1"/>
    <col min="10249" max="10250" width="10.625" style="2894" customWidth="1"/>
    <col min="10251" max="10251" width="14.375" style="2894" customWidth="1"/>
    <col min="10252" max="10252" width="6.25" style="2894" customWidth="1"/>
    <col min="10253" max="10253" width="39.25" style="2894" customWidth="1"/>
    <col min="10254" max="10254" width="7.875" style="2894" customWidth="1"/>
    <col min="10255" max="10496" width="9" style="2894"/>
    <col min="10497" max="10497" width="45.875" style="2894" customWidth="1"/>
    <col min="10498" max="10498" width="6.25" style="2894" customWidth="1"/>
    <col min="10499" max="10499" width="11.75" style="2894" customWidth="1"/>
    <col min="10500" max="10501" width="13.875" style="2894" customWidth="1"/>
    <col min="10502" max="10502" width="17.875" style="2894" customWidth="1"/>
    <col min="10503" max="10503" width="7.875" style="2894" customWidth="1"/>
    <col min="10504" max="10504" width="9" style="2894" customWidth="1"/>
    <col min="10505" max="10506" width="10.625" style="2894" customWidth="1"/>
    <col min="10507" max="10507" width="14.375" style="2894" customWidth="1"/>
    <col min="10508" max="10508" width="6.25" style="2894" customWidth="1"/>
    <col min="10509" max="10509" width="39.25" style="2894" customWidth="1"/>
    <col min="10510" max="10510" width="7.875" style="2894" customWidth="1"/>
    <col min="10511" max="10752" width="9" style="2894"/>
    <col min="10753" max="10753" width="45.875" style="2894" customWidth="1"/>
    <col min="10754" max="10754" width="6.25" style="2894" customWidth="1"/>
    <col min="10755" max="10755" width="11.75" style="2894" customWidth="1"/>
    <col min="10756" max="10757" width="13.875" style="2894" customWidth="1"/>
    <col min="10758" max="10758" width="17.875" style="2894" customWidth="1"/>
    <col min="10759" max="10759" width="7.875" style="2894" customWidth="1"/>
    <col min="10760" max="10760" width="9" style="2894" customWidth="1"/>
    <col min="10761" max="10762" width="10.625" style="2894" customWidth="1"/>
    <col min="10763" max="10763" width="14.375" style="2894" customWidth="1"/>
    <col min="10764" max="10764" width="6.25" style="2894" customWidth="1"/>
    <col min="10765" max="10765" width="39.25" style="2894" customWidth="1"/>
    <col min="10766" max="10766" width="7.875" style="2894" customWidth="1"/>
    <col min="10767" max="11008" width="9" style="2894"/>
    <col min="11009" max="11009" width="45.875" style="2894" customWidth="1"/>
    <col min="11010" max="11010" width="6.25" style="2894" customWidth="1"/>
    <col min="11011" max="11011" width="11.75" style="2894" customWidth="1"/>
    <col min="11012" max="11013" width="13.875" style="2894" customWidth="1"/>
    <col min="11014" max="11014" width="17.875" style="2894" customWidth="1"/>
    <col min="11015" max="11015" width="7.875" style="2894" customWidth="1"/>
    <col min="11016" max="11016" width="9" style="2894" customWidth="1"/>
    <col min="11017" max="11018" width="10.625" style="2894" customWidth="1"/>
    <col min="11019" max="11019" width="14.375" style="2894" customWidth="1"/>
    <col min="11020" max="11020" width="6.25" style="2894" customWidth="1"/>
    <col min="11021" max="11021" width="39.25" style="2894" customWidth="1"/>
    <col min="11022" max="11022" width="7.875" style="2894" customWidth="1"/>
    <col min="11023" max="11264" width="9" style="2894"/>
    <col min="11265" max="11265" width="45.875" style="2894" customWidth="1"/>
    <col min="11266" max="11266" width="6.25" style="2894" customWidth="1"/>
    <col min="11267" max="11267" width="11.75" style="2894" customWidth="1"/>
    <col min="11268" max="11269" width="13.875" style="2894" customWidth="1"/>
    <col min="11270" max="11270" width="17.875" style="2894" customWidth="1"/>
    <col min="11271" max="11271" width="7.875" style="2894" customWidth="1"/>
    <col min="11272" max="11272" width="9" style="2894" customWidth="1"/>
    <col min="11273" max="11274" width="10.625" style="2894" customWidth="1"/>
    <col min="11275" max="11275" width="14.375" style="2894" customWidth="1"/>
    <col min="11276" max="11276" width="6.25" style="2894" customWidth="1"/>
    <col min="11277" max="11277" width="39.25" style="2894" customWidth="1"/>
    <col min="11278" max="11278" width="7.875" style="2894" customWidth="1"/>
    <col min="11279" max="11520" width="9" style="2894"/>
    <col min="11521" max="11521" width="45.875" style="2894" customWidth="1"/>
    <col min="11522" max="11522" width="6.25" style="2894" customWidth="1"/>
    <col min="11523" max="11523" width="11.75" style="2894" customWidth="1"/>
    <col min="11524" max="11525" width="13.875" style="2894" customWidth="1"/>
    <col min="11526" max="11526" width="17.875" style="2894" customWidth="1"/>
    <col min="11527" max="11527" width="7.875" style="2894" customWidth="1"/>
    <col min="11528" max="11528" width="9" style="2894" customWidth="1"/>
    <col min="11529" max="11530" width="10.625" style="2894" customWidth="1"/>
    <col min="11531" max="11531" width="14.375" style="2894" customWidth="1"/>
    <col min="11532" max="11532" width="6.25" style="2894" customWidth="1"/>
    <col min="11533" max="11533" width="39.25" style="2894" customWidth="1"/>
    <col min="11534" max="11534" width="7.875" style="2894" customWidth="1"/>
    <col min="11535" max="11776" width="9" style="2894"/>
    <col min="11777" max="11777" width="45.875" style="2894" customWidth="1"/>
    <col min="11778" max="11778" width="6.25" style="2894" customWidth="1"/>
    <col min="11779" max="11779" width="11.75" style="2894" customWidth="1"/>
    <col min="11780" max="11781" width="13.875" style="2894" customWidth="1"/>
    <col min="11782" max="11782" width="17.875" style="2894" customWidth="1"/>
    <col min="11783" max="11783" width="7.875" style="2894" customWidth="1"/>
    <col min="11784" max="11784" width="9" style="2894" customWidth="1"/>
    <col min="11785" max="11786" width="10.625" style="2894" customWidth="1"/>
    <col min="11787" max="11787" width="14.375" style="2894" customWidth="1"/>
    <col min="11788" max="11788" width="6.25" style="2894" customWidth="1"/>
    <col min="11789" max="11789" width="39.25" style="2894" customWidth="1"/>
    <col min="11790" max="11790" width="7.875" style="2894" customWidth="1"/>
    <col min="11791" max="12032" width="9" style="2894"/>
    <col min="12033" max="12033" width="45.875" style="2894" customWidth="1"/>
    <col min="12034" max="12034" width="6.25" style="2894" customWidth="1"/>
    <col min="12035" max="12035" width="11.75" style="2894" customWidth="1"/>
    <col min="12036" max="12037" width="13.875" style="2894" customWidth="1"/>
    <col min="12038" max="12038" width="17.875" style="2894" customWidth="1"/>
    <col min="12039" max="12039" width="7.875" style="2894" customWidth="1"/>
    <col min="12040" max="12040" width="9" style="2894" customWidth="1"/>
    <col min="12041" max="12042" width="10.625" style="2894" customWidth="1"/>
    <col min="12043" max="12043" width="14.375" style="2894" customWidth="1"/>
    <col min="12044" max="12044" width="6.25" style="2894" customWidth="1"/>
    <col min="12045" max="12045" width="39.25" style="2894" customWidth="1"/>
    <col min="12046" max="12046" width="7.875" style="2894" customWidth="1"/>
    <col min="12047" max="12288" width="9" style="2894"/>
    <col min="12289" max="12289" width="45.875" style="2894" customWidth="1"/>
    <col min="12290" max="12290" width="6.25" style="2894" customWidth="1"/>
    <col min="12291" max="12291" width="11.75" style="2894" customWidth="1"/>
    <col min="12292" max="12293" width="13.875" style="2894" customWidth="1"/>
    <col min="12294" max="12294" width="17.875" style="2894" customWidth="1"/>
    <col min="12295" max="12295" width="7.875" style="2894" customWidth="1"/>
    <col min="12296" max="12296" width="9" style="2894" customWidth="1"/>
    <col min="12297" max="12298" width="10.625" style="2894" customWidth="1"/>
    <col min="12299" max="12299" width="14.375" style="2894" customWidth="1"/>
    <col min="12300" max="12300" width="6.25" style="2894" customWidth="1"/>
    <col min="12301" max="12301" width="39.25" style="2894" customWidth="1"/>
    <col min="12302" max="12302" width="7.875" style="2894" customWidth="1"/>
    <col min="12303" max="12544" width="9" style="2894"/>
    <col min="12545" max="12545" width="45.875" style="2894" customWidth="1"/>
    <col min="12546" max="12546" width="6.25" style="2894" customWidth="1"/>
    <col min="12547" max="12547" width="11.75" style="2894" customWidth="1"/>
    <col min="12548" max="12549" width="13.875" style="2894" customWidth="1"/>
    <col min="12550" max="12550" width="17.875" style="2894" customWidth="1"/>
    <col min="12551" max="12551" width="7.875" style="2894" customWidth="1"/>
    <col min="12552" max="12552" width="9" style="2894" customWidth="1"/>
    <col min="12553" max="12554" width="10.625" style="2894" customWidth="1"/>
    <col min="12555" max="12555" width="14.375" style="2894" customWidth="1"/>
    <col min="12556" max="12556" width="6.25" style="2894" customWidth="1"/>
    <col min="12557" max="12557" width="39.25" style="2894" customWidth="1"/>
    <col min="12558" max="12558" width="7.875" style="2894" customWidth="1"/>
    <col min="12559" max="12800" width="9" style="2894"/>
    <col min="12801" max="12801" width="45.875" style="2894" customWidth="1"/>
    <col min="12802" max="12802" width="6.25" style="2894" customWidth="1"/>
    <col min="12803" max="12803" width="11.75" style="2894" customWidth="1"/>
    <col min="12804" max="12805" width="13.875" style="2894" customWidth="1"/>
    <col min="12806" max="12806" width="17.875" style="2894" customWidth="1"/>
    <col min="12807" max="12807" width="7.875" style="2894" customWidth="1"/>
    <col min="12808" max="12808" width="9" style="2894" customWidth="1"/>
    <col min="12809" max="12810" width="10.625" style="2894" customWidth="1"/>
    <col min="12811" max="12811" width="14.375" style="2894" customWidth="1"/>
    <col min="12812" max="12812" width="6.25" style="2894" customWidth="1"/>
    <col min="12813" max="12813" width="39.25" style="2894" customWidth="1"/>
    <col min="12814" max="12814" width="7.875" style="2894" customWidth="1"/>
    <col min="12815" max="13056" width="9" style="2894"/>
    <col min="13057" max="13057" width="45.875" style="2894" customWidth="1"/>
    <col min="13058" max="13058" width="6.25" style="2894" customWidth="1"/>
    <col min="13059" max="13059" width="11.75" style="2894" customWidth="1"/>
    <col min="13060" max="13061" width="13.875" style="2894" customWidth="1"/>
    <col min="13062" max="13062" width="17.875" style="2894" customWidth="1"/>
    <col min="13063" max="13063" width="7.875" style="2894" customWidth="1"/>
    <col min="13064" max="13064" width="9" style="2894" customWidth="1"/>
    <col min="13065" max="13066" width="10.625" style="2894" customWidth="1"/>
    <col min="13067" max="13067" width="14.375" style="2894" customWidth="1"/>
    <col min="13068" max="13068" width="6.25" style="2894" customWidth="1"/>
    <col min="13069" max="13069" width="39.25" style="2894" customWidth="1"/>
    <col min="13070" max="13070" width="7.875" style="2894" customWidth="1"/>
    <col min="13071" max="13312" width="9" style="2894"/>
    <col min="13313" max="13313" width="45.875" style="2894" customWidth="1"/>
    <col min="13314" max="13314" width="6.25" style="2894" customWidth="1"/>
    <col min="13315" max="13315" width="11.75" style="2894" customWidth="1"/>
    <col min="13316" max="13317" width="13.875" style="2894" customWidth="1"/>
    <col min="13318" max="13318" width="17.875" style="2894" customWidth="1"/>
    <col min="13319" max="13319" width="7.875" style="2894" customWidth="1"/>
    <col min="13320" max="13320" width="9" style="2894" customWidth="1"/>
    <col min="13321" max="13322" width="10.625" style="2894" customWidth="1"/>
    <col min="13323" max="13323" width="14.375" style="2894" customWidth="1"/>
    <col min="13324" max="13324" width="6.25" style="2894" customWidth="1"/>
    <col min="13325" max="13325" width="39.25" style="2894" customWidth="1"/>
    <col min="13326" max="13326" width="7.875" style="2894" customWidth="1"/>
    <col min="13327" max="13568" width="9" style="2894"/>
    <col min="13569" max="13569" width="45.875" style="2894" customWidth="1"/>
    <col min="13570" max="13570" width="6.25" style="2894" customWidth="1"/>
    <col min="13571" max="13571" width="11.75" style="2894" customWidth="1"/>
    <col min="13572" max="13573" width="13.875" style="2894" customWidth="1"/>
    <col min="13574" max="13574" width="17.875" style="2894" customWidth="1"/>
    <col min="13575" max="13575" width="7.875" style="2894" customWidth="1"/>
    <col min="13576" max="13576" width="9" style="2894" customWidth="1"/>
    <col min="13577" max="13578" width="10.625" style="2894" customWidth="1"/>
    <col min="13579" max="13579" width="14.375" style="2894" customWidth="1"/>
    <col min="13580" max="13580" width="6.25" style="2894" customWidth="1"/>
    <col min="13581" max="13581" width="39.25" style="2894" customWidth="1"/>
    <col min="13582" max="13582" width="7.875" style="2894" customWidth="1"/>
    <col min="13583" max="13824" width="9" style="2894"/>
    <col min="13825" max="13825" width="45.875" style="2894" customWidth="1"/>
    <col min="13826" max="13826" width="6.25" style="2894" customWidth="1"/>
    <col min="13827" max="13827" width="11.75" style="2894" customWidth="1"/>
    <col min="13828" max="13829" width="13.875" style="2894" customWidth="1"/>
    <col min="13830" max="13830" width="17.875" style="2894" customWidth="1"/>
    <col min="13831" max="13831" width="7.875" style="2894" customWidth="1"/>
    <col min="13832" max="13832" width="9" style="2894" customWidth="1"/>
    <col min="13833" max="13834" width="10.625" style="2894" customWidth="1"/>
    <col min="13835" max="13835" width="14.375" style="2894" customWidth="1"/>
    <col min="13836" max="13836" width="6.25" style="2894" customWidth="1"/>
    <col min="13837" max="13837" width="39.25" style="2894" customWidth="1"/>
    <col min="13838" max="13838" width="7.875" style="2894" customWidth="1"/>
    <col min="13839" max="14080" width="9" style="2894"/>
    <col min="14081" max="14081" width="45.875" style="2894" customWidth="1"/>
    <col min="14082" max="14082" width="6.25" style="2894" customWidth="1"/>
    <col min="14083" max="14083" width="11.75" style="2894" customWidth="1"/>
    <col min="14084" max="14085" width="13.875" style="2894" customWidth="1"/>
    <col min="14086" max="14086" width="17.875" style="2894" customWidth="1"/>
    <col min="14087" max="14087" width="7.875" style="2894" customWidth="1"/>
    <col min="14088" max="14088" width="9" style="2894" customWidth="1"/>
    <col min="14089" max="14090" width="10.625" style="2894" customWidth="1"/>
    <col min="14091" max="14091" width="14.375" style="2894" customWidth="1"/>
    <col min="14092" max="14092" width="6.25" style="2894" customWidth="1"/>
    <col min="14093" max="14093" width="39.25" style="2894" customWidth="1"/>
    <col min="14094" max="14094" width="7.875" style="2894" customWidth="1"/>
    <col min="14095" max="14336" width="9" style="2894"/>
    <col min="14337" max="14337" width="45.875" style="2894" customWidth="1"/>
    <col min="14338" max="14338" width="6.25" style="2894" customWidth="1"/>
    <col min="14339" max="14339" width="11.75" style="2894" customWidth="1"/>
    <col min="14340" max="14341" width="13.875" style="2894" customWidth="1"/>
    <col min="14342" max="14342" width="17.875" style="2894" customWidth="1"/>
    <col min="14343" max="14343" width="7.875" style="2894" customWidth="1"/>
    <col min="14344" max="14344" width="9" style="2894" customWidth="1"/>
    <col min="14345" max="14346" width="10.625" style="2894" customWidth="1"/>
    <col min="14347" max="14347" width="14.375" style="2894" customWidth="1"/>
    <col min="14348" max="14348" width="6.25" style="2894" customWidth="1"/>
    <col min="14349" max="14349" width="39.25" style="2894" customWidth="1"/>
    <col min="14350" max="14350" width="7.875" style="2894" customWidth="1"/>
    <col min="14351" max="14592" width="9" style="2894"/>
    <col min="14593" max="14593" width="45.875" style="2894" customWidth="1"/>
    <col min="14594" max="14594" width="6.25" style="2894" customWidth="1"/>
    <col min="14595" max="14595" width="11.75" style="2894" customWidth="1"/>
    <col min="14596" max="14597" width="13.875" style="2894" customWidth="1"/>
    <col min="14598" max="14598" width="17.875" style="2894" customWidth="1"/>
    <col min="14599" max="14599" width="7.875" style="2894" customWidth="1"/>
    <col min="14600" max="14600" width="9" style="2894" customWidth="1"/>
    <col min="14601" max="14602" width="10.625" style="2894" customWidth="1"/>
    <col min="14603" max="14603" width="14.375" style="2894" customWidth="1"/>
    <col min="14604" max="14604" width="6.25" style="2894" customWidth="1"/>
    <col min="14605" max="14605" width="39.25" style="2894" customWidth="1"/>
    <col min="14606" max="14606" width="7.875" style="2894" customWidth="1"/>
    <col min="14607" max="14848" width="9" style="2894"/>
    <col min="14849" max="14849" width="45.875" style="2894" customWidth="1"/>
    <col min="14850" max="14850" width="6.25" style="2894" customWidth="1"/>
    <col min="14851" max="14851" width="11.75" style="2894" customWidth="1"/>
    <col min="14852" max="14853" width="13.875" style="2894" customWidth="1"/>
    <col min="14854" max="14854" width="17.875" style="2894" customWidth="1"/>
    <col min="14855" max="14855" width="7.875" style="2894" customWidth="1"/>
    <col min="14856" max="14856" width="9" style="2894" customWidth="1"/>
    <col min="14857" max="14858" width="10.625" style="2894" customWidth="1"/>
    <col min="14859" max="14859" width="14.375" style="2894" customWidth="1"/>
    <col min="14860" max="14860" width="6.25" style="2894" customWidth="1"/>
    <col min="14861" max="14861" width="39.25" style="2894" customWidth="1"/>
    <col min="14862" max="14862" width="7.875" style="2894" customWidth="1"/>
    <col min="14863" max="15104" width="9" style="2894"/>
    <col min="15105" max="15105" width="45.875" style="2894" customWidth="1"/>
    <col min="15106" max="15106" width="6.25" style="2894" customWidth="1"/>
    <col min="15107" max="15107" width="11.75" style="2894" customWidth="1"/>
    <col min="15108" max="15109" width="13.875" style="2894" customWidth="1"/>
    <col min="15110" max="15110" width="17.875" style="2894" customWidth="1"/>
    <col min="15111" max="15111" width="7.875" style="2894" customWidth="1"/>
    <col min="15112" max="15112" width="9" style="2894" customWidth="1"/>
    <col min="15113" max="15114" width="10.625" style="2894" customWidth="1"/>
    <col min="15115" max="15115" width="14.375" style="2894" customWidth="1"/>
    <col min="15116" max="15116" width="6.25" style="2894" customWidth="1"/>
    <col min="15117" max="15117" width="39.25" style="2894" customWidth="1"/>
    <col min="15118" max="15118" width="7.875" style="2894" customWidth="1"/>
    <col min="15119" max="15360" width="9" style="2894"/>
    <col min="15361" max="15361" width="45.875" style="2894" customWidth="1"/>
    <col min="15362" max="15362" width="6.25" style="2894" customWidth="1"/>
    <col min="15363" max="15363" width="11.75" style="2894" customWidth="1"/>
    <col min="15364" max="15365" width="13.875" style="2894" customWidth="1"/>
    <col min="15366" max="15366" width="17.875" style="2894" customWidth="1"/>
    <col min="15367" max="15367" width="7.875" style="2894" customWidth="1"/>
    <col min="15368" max="15368" width="9" style="2894" customWidth="1"/>
    <col min="15369" max="15370" width="10.625" style="2894" customWidth="1"/>
    <col min="15371" max="15371" width="14.375" style="2894" customWidth="1"/>
    <col min="15372" max="15372" width="6.25" style="2894" customWidth="1"/>
    <col min="15373" max="15373" width="39.25" style="2894" customWidth="1"/>
    <col min="15374" max="15374" width="7.875" style="2894" customWidth="1"/>
    <col min="15375" max="15616" width="9" style="2894"/>
    <col min="15617" max="15617" width="45.875" style="2894" customWidth="1"/>
    <col min="15618" max="15618" width="6.25" style="2894" customWidth="1"/>
    <col min="15619" max="15619" width="11.75" style="2894" customWidth="1"/>
    <col min="15620" max="15621" width="13.875" style="2894" customWidth="1"/>
    <col min="15622" max="15622" width="17.875" style="2894" customWidth="1"/>
    <col min="15623" max="15623" width="7.875" style="2894" customWidth="1"/>
    <col min="15624" max="15624" width="9" style="2894" customWidth="1"/>
    <col min="15625" max="15626" width="10.625" style="2894" customWidth="1"/>
    <col min="15627" max="15627" width="14.375" style="2894" customWidth="1"/>
    <col min="15628" max="15628" width="6.25" style="2894" customWidth="1"/>
    <col min="15629" max="15629" width="39.25" style="2894" customWidth="1"/>
    <col min="15630" max="15630" width="7.875" style="2894" customWidth="1"/>
    <col min="15631" max="15872" width="9" style="2894"/>
    <col min="15873" max="15873" width="45.875" style="2894" customWidth="1"/>
    <col min="15874" max="15874" width="6.25" style="2894" customWidth="1"/>
    <col min="15875" max="15875" width="11.75" style="2894" customWidth="1"/>
    <col min="15876" max="15877" width="13.875" style="2894" customWidth="1"/>
    <col min="15878" max="15878" width="17.875" style="2894" customWidth="1"/>
    <col min="15879" max="15879" width="7.875" style="2894" customWidth="1"/>
    <col min="15880" max="15880" width="9" style="2894" customWidth="1"/>
    <col min="15881" max="15882" width="10.625" style="2894" customWidth="1"/>
    <col min="15883" max="15883" width="14.375" style="2894" customWidth="1"/>
    <col min="15884" max="15884" width="6.25" style="2894" customWidth="1"/>
    <col min="15885" max="15885" width="39.25" style="2894" customWidth="1"/>
    <col min="15886" max="15886" width="7.875" style="2894" customWidth="1"/>
    <col min="15887" max="16128" width="9" style="2894"/>
    <col min="16129" max="16129" width="45.875" style="2894" customWidth="1"/>
    <col min="16130" max="16130" width="6.25" style="2894" customWidth="1"/>
    <col min="16131" max="16131" width="11.75" style="2894" customWidth="1"/>
    <col min="16132" max="16133" width="13.875" style="2894" customWidth="1"/>
    <col min="16134" max="16134" width="17.875" style="2894" customWidth="1"/>
    <col min="16135" max="16135" width="7.875" style="2894" customWidth="1"/>
    <col min="16136" max="16136" width="9" style="2894" customWidth="1"/>
    <col min="16137" max="16138" width="10.625" style="2894" customWidth="1"/>
    <col min="16139" max="16139" width="14.375" style="2894" customWidth="1"/>
    <col min="16140" max="16140" width="6.25" style="2894" customWidth="1"/>
    <col min="16141" max="16141" width="39.25" style="2894" customWidth="1"/>
    <col min="16142" max="16142" width="7.875" style="2894" customWidth="1"/>
    <col min="16143" max="16384" width="9" style="2894"/>
  </cols>
  <sheetData>
    <row r="1" spans="1:16">
      <c r="A1" s="2894" t="s">
        <v>3009</v>
      </c>
      <c r="B1" s="2894" t="s">
        <v>3010</v>
      </c>
      <c r="C1" s="2894" t="s">
        <v>3011</v>
      </c>
      <c r="D1" s="2894" t="s">
        <v>3012</v>
      </c>
      <c r="E1" s="2894" t="s">
        <v>3013</v>
      </c>
      <c r="F1" s="2894" t="s">
        <v>2031</v>
      </c>
      <c r="G1" s="2894" t="s">
        <v>3014</v>
      </c>
      <c r="H1" s="2894" t="s">
        <v>3015</v>
      </c>
      <c r="I1" s="2894" t="s">
        <v>3016</v>
      </c>
      <c r="J1" s="2894" t="s">
        <v>3017</v>
      </c>
      <c r="K1" s="2894" t="s">
        <v>3018</v>
      </c>
      <c r="L1" s="2894" t="s">
        <v>3019</v>
      </c>
      <c r="M1" s="2894" t="s">
        <v>3020</v>
      </c>
      <c r="N1" s="2894" t="s">
        <v>3021</v>
      </c>
    </row>
    <row r="2" spans="1:16">
      <c r="A2" s="2894" t="s">
        <v>3022</v>
      </c>
      <c r="B2" s="2894" t="s">
        <v>3023</v>
      </c>
      <c r="C2" s="2894" t="s">
        <v>3024</v>
      </c>
      <c r="D2" s="2894">
        <v>41109.82</v>
      </c>
      <c r="E2" s="2894">
        <v>123329.46</v>
      </c>
      <c r="F2" s="2894" t="s">
        <v>3025</v>
      </c>
      <c r="G2" s="2894" t="s">
        <v>3026</v>
      </c>
      <c r="H2" s="2894" t="s">
        <v>3027</v>
      </c>
      <c r="I2" s="2894" t="s">
        <v>2817</v>
      </c>
      <c r="J2" s="2894">
        <v>3946.53</v>
      </c>
      <c r="K2" s="2894">
        <v>320</v>
      </c>
      <c r="L2" s="2894" t="s">
        <v>2817</v>
      </c>
      <c r="M2" s="2894" t="s">
        <v>3028</v>
      </c>
      <c r="N2" s="2894" t="s">
        <v>3029</v>
      </c>
      <c r="O2" s="2894">
        <f>J2/D2*10000</f>
        <v>959.99690584877294</v>
      </c>
      <c r="P2" s="2894">
        <f>J2/(D2/666.67)</f>
        <v>64.000113722220135</v>
      </c>
    </row>
    <row r="3" spans="1:16" s="3186" customFormat="1">
      <c r="A3" s="3186" t="s">
        <v>3030</v>
      </c>
      <c r="B3" s="3186" t="s">
        <v>3023</v>
      </c>
      <c r="C3" s="3186" t="s">
        <v>3024</v>
      </c>
      <c r="D3" s="3186">
        <v>48932.34</v>
      </c>
      <c r="E3" s="3186">
        <v>73398.509999999995</v>
      </c>
      <c r="F3" s="3186" t="s">
        <v>3031</v>
      </c>
      <c r="G3" s="3186" t="s">
        <v>3026</v>
      </c>
      <c r="H3" s="3186" t="s">
        <v>3027</v>
      </c>
      <c r="I3" s="3186" t="s">
        <v>2817</v>
      </c>
      <c r="J3" s="3186">
        <v>5725.07</v>
      </c>
      <c r="K3" s="3186">
        <v>780</v>
      </c>
      <c r="L3" s="3186" t="s">
        <v>2817</v>
      </c>
      <c r="M3" s="3186" t="s">
        <v>3032</v>
      </c>
      <c r="N3" s="3186" t="s">
        <v>3033</v>
      </c>
      <c r="O3" s="3186">
        <f t="shared" ref="O3:O66" si="0">J3/D3*10000</f>
        <v>1169.997183866539</v>
      </c>
      <c r="P3" s="3186">
        <f t="shared" ref="P3:P66" si="1">J3/(D3/666.67)</f>
        <v>78.000202256830548</v>
      </c>
    </row>
    <row r="4" spans="1:16">
      <c r="A4" s="2894" t="s">
        <v>3034</v>
      </c>
      <c r="B4" s="2894" t="s">
        <v>3023</v>
      </c>
      <c r="C4" s="2894" t="s">
        <v>3024</v>
      </c>
      <c r="D4" s="2894">
        <v>50982.18</v>
      </c>
      <c r="E4" s="2894">
        <v>50982.18</v>
      </c>
      <c r="F4" s="2894" t="s">
        <v>3035</v>
      </c>
      <c r="G4" s="2894" t="s">
        <v>3026</v>
      </c>
      <c r="H4" s="2894" t="s">
        <v>3027</v>
      </c>
      <c r="I4" s="2894" t="s">
        <v>2817</v>
      </c>
      <c r="J4" s="2894">
        <v>5659.02</v>
      </c>
      <c r="K4" s="2894">
        <v>1110</v>
      </c>
      <c r="L4" s="2894" t="s">
        <v>2817</v>
      </c>
      <c r="M4" s="2894" t="s">
        <v>3036</v>
      </c>
      <c r="N4" s="2894" t="s">
        <v>3037</v>
      </c>
      <c r="O4" s="2894">
        <f t="shared" si="0"/>
        <v>1109.9996116290044</v>
      </c>
      <c r="P4" s="2894">
        <f t="shared" si="1"/>
        <v>74.000344108470841</v>
      </c>
    </row>
    <row r="5" spans="1:16" s="3191" customFormat="1">
      <c r="A5" s="3191" t="s">
        <v>3038</v>
      </c>
      <c r="B5" s="3191" t="s">
        <v>3023</v>
      </c>
      <c r="C5" s="3191" t="s">
        <v>3024</v>
      </c>
      <c r="D5" s="3191">
        <v>27247.72</v>
      </c>
      <c r="E5" s="3191">
        <v>49045.9</v>
      </c>
      <c r="F5" s="3191" t="s">
        <v>3039</v>
      </c>
      <c r="G5" s="3191" t="s">
        <v>3026</v>
      </c>
      <c r="H5" s="3191" t="s">
        <v>3027</v>
      </c>
      <c r="I5" s="3191" t="s">
        <v>2817</v>
      </c>
      <c r="J5" s="3191">
        <v>2550.38</v>
      </c>
      <c r="K5" s="3191">
        <v>520</v>
      </c>
      <c r="L5" s="3191" t="s">
        <v>2817</v>
      </c>
      <c r="M5" s="3191" t="s">
        <v>3040</v>
      </c>
      <c r="N5" s="3191" t="s">
        <v>3033</v>
      </c>
      <c r="O5" s="3191">
        <f t="shared" si="0"/>
        <v>935.99758071501037</v>
      </c>
      <c r="P5" s="3191">
        <f t="shared" si="1"/>
        <v>62.400150713527587</v>
      </c>
    </row>
    <row r="6" spans="1:16" s="3186" customFormat="1">
      <c r="A6" s="3186" t="s">
        <v>3041</v>
      </c>
      <c r="B6" s="3186" t="s">
        <v>3023</v>
      </c>
      <c r="C6" s="3186" t="s">
        <v>3024</v>
      </c>
      <c r="D6" s="3186">
        <v>23862.66</v>
      </c>
      <c r="E6" s="3186">
        <v>35793.99</v>
      </c>
      <c r="F6" s="3186" t="s">
        <v>3031</v>
      </c>
      <c r="G6" s="3186" t="s">
        <v>3026</v>
      </c>
      <c r="H6" s="3186" t="s">
        <v>3027</v>
      </c>
      <c r="I6" s="3186" t="s">
        <v>2817</v>
      </c>
      <c r="J6" s="3186">
        <v>2791.92</v>
      </c>
      <c r="K6" s="3186">
        <v>780</v>
      </c>
      <c r="L6" s="3186" t="s">
        <v>2817</v>
      </c>
      <c r="M6" s="3186" t="s">
        <v>3032</v>
      </c>
      <c r="N6" s="3186" t="s">
        <v>3037</v>
      </c>
      <c r="O6" s="3186">
        <f t="shared" si="0"/>
        <v>1169.9952980933392</v>
      </c>
      <c r="P6" s="3186">
        <f t="shared" si="1"/>
        <v>78.000076537988647</v>
      </c>
    </row>
    <row r="7" spans="1:16" s="3191" customFormat="1">
      <c r="A7" s="3191" t="s">
        <v>3042</v>
      </c>
      <c r="B7" s="3191" t="s">
        <v>3023</v>
      </c>
      <c r="C7" s="3191" t="s">
        <v>3024</v>
      </c>
      <c r="D7" s="3191">
        <v>50340</v>
      </c>
      <c r="E7" s="3191">
        <v>50340</v>
      </c>
      <c r="F7" s="3191" t="s">
        <v>3035</v>
      </c>
      <c r="G7" s="3191" t="s">
        <v>3026</v>
      </c>
      <c r="H7" s="3191" t="s">
        <v>3027</v>
      </c>
      <c r="I7" s="3191" t="s">
        <v>2817</v>
      </c>
      <c r="J7" s="3191">
        <v>5587.73</v>
      </c>
      <c r="K7" s="3191">
        <v>1110</v>
      </c>
      <c r="L7" s="3191" t="s">
        <v>2817</v>
      </c>
      <c r="M7" s="3191" t="s">
        <v>3036</v>
      </c>
      <c r="N7" s="3191" t="s">
        <v>3037</v>
      </c>
      <c r="O7" s="3191">
        <f t="shared" si="0"/>
        <v>1109.9980135081446</v>
      </c>
      <c r="P7" s="3191">
        <f t="shared" si="1"/>
        <v>74.000237566547455</v>
      </c>
    </row>
    <row r="8" spans="1:16" s="3186" customFormat="1">
      <c r="A8" s="3186" t="s">
        <v>3043</v>
      </c>
      <c r="B8" s="3186" t="s">
        <v>3023</v>
      </c>
      <c r="C8" s="3186" t="s">
        <v>3024</v>
      </c>
      <c r="D8" s="3186">
        <v>35572.15</v>
      </c>
      <c r="E8" s="3186">
        <v>53358.23</v>
      </c>
      <c r="F8" s="3186" t="s">
        <v>3031</v>
      </c>
      <c r="G8" s="3186" t="s">
        <v>3026</v>
      </c>
      <c r="H8" s="3186" t="s">
        <v>3027</v>
      </c>
      <c r="I8" s="3186" t="s">
        <v>2817</v>
      </c>
      <c r="J8" s="3186">
        <v>4161.93</v>
      </c>
      <c r="K8" s="3186">
        <v>780</v>
      </c>
      <c r="L8" s="3186" t="s">
        <v>2817</v>
      </c>
      <c r="M8" s="3186" t="s">
        <v>3044</v>
      </c>
      <c r="N8" s="3186" t="s">
        <v>3037</v>
      </c>
      <c r="O8" s="3186">
        <f t="shared" si="0"/>
        <v>1169.9967530778995</v>
      </c>
      <c r="P8" s="3186">
        <f t="shared" si="1"/>
        <v>78.000173537444311</v>
      </c>
    </row>
    <row r="9" spans="1:16">
      <c r="A9" s="2894" t="s">
        <v>3045</v>
      </c>
      <c r="B9" s="2894" t="s">
        <v>3023</v>
      </c>
      <c r="C9" s="2894" t="s">
        <v>3024</v>
      </c>
      <c r="D9" s="2894">
        <v>80065.33</v>
      </c>
      <c r="E9" s="2894">
        <v>160130.66</v>
      </c>
      <c r="F9" s="2894" t="s">
        <v>3046</v>
      </c>
      <c r="G9" s="2894" t="s">
        <v>3026</v>
      </c>
      <c r="H9" s="2894" t="s">
        <v>3027</v>
      </c>
      <c r="I9" s="2894" t="s">
        <v>2817</v>
      </c>
      <c r="J9" s="2894">
        <v>9607.84</v>
      </c>
      <c r="K9" s="2894">
        <v>600</v>
      </c>
      <c r="L9" s="2894" t="s">
        <v>2817</v>
      </c>
      <c r="M9" s="2894" t="s">
        <v>3032</v>
      </c>
      <c r="N9" s="2894" t="s">
        <v>3037</v>
      </c>
      <c r="O9" s="2894">
        <f t="shared" si="0"/>
        <v>1200.000049959202</v>
      </c>
      <c r="P9" s="2894">
        <f t="shared" si="1"/>
        <v>80.000403330630121</v>
      </c>
    </row>
    <row r="10" spans="1:16">
      <c r="A10" s="2894" t="s">
        <v>3047</v>
      </c>
      <c r="B10" s="2894" t="s">
        <v>3023</v>
      </c>
      <c r="C10" s="2894" t="s">
        <v>3024</v>
      </c>
      <c r="D10" s="2894">
        <v>84633.8</v>
      </c>
      <c r="E10" s="2894">
        <v>177730.98</v>
      </c>
      <c r="F10" s="2894" t="s">
        <v>3048</v>
      </c>
      <c r="G10" s="2894" t="s">
        <v>3026</v>
      </c>
      <c r="H10" s="2894" t="s">
        <v>3027</v>
      </c>
      <c r="I10" s="2894" t="s">
        <v>2817</v>
      </c>
      <c r="J10" s="2894">
        <v>10397.26</v>
      </c>
      <c r="K10" s="2894">
        <v>585</v>
      </c>
      <c r="L10" s="2894" t="s">
        <v>2817</v>
      </c>
      <c r="M10" s="2894" t="s">
        <v>3044</v>
      </c>
      <c r="N10" s="2894" t="s">
        <v>3037</v>
      </c>
      <c r="O10" s="2894">
        <f t="shared" si="0"/>
        <v>1228.4997246962798</v>
      </c>
      <c r="P10" s="2894">
        <f t="shared" si="1"/>
        <v>81.900391146326868</v>
      </c>
    </row>
    <row r="11" spans="1:16">
      <c r="A11" s="2894" t="s">
        <v>3049</v>
      </c>
      <c r="B11" s="2894" t="s">
        <v>3023</v>
      </c>
      <c r="C11" s="2894" t="s">
        <v>3024</v>
      </c>
      <c r="D11" s="2894">
        <v>13572.46</v>
      </c>
      <c r="E11" s="2894">
        <v>6786.23</v>
      </c>
      <c r="F11" s="2894" t="s">
        <v>3050</v>
      </c>
      <c r="G11" s="2894" t="s">
        <v>3026</v>
      </c>
      <c r="H11" s="2894" t="s">
        <v>3051</v>
      </c>
      <c r="I11" s="2894" t="s">
        <v>2817</v>
      </c>
      <c r="J11" s="2894">
        <v>1133.29</v>
      </c>
      <c r="K11" s="2894">
        <v>1670</v>
      </c>
      <c r="L11" s="2894" t="s">
        <v>2817</v>
      </c>
      <c r="M11" s="2894" t="s">
        <v>3052</v>
      </c>
      <c r="N11" s="2894" t="s">
        <v>3037</v>
      </c>
      <c r="O11" s="2894">
        <f t="shared" si="0"/>
        <v>834.99233005659994</v>
      </c>
      <c r="P11" s="2894">
        <f t="shared" si="1"/>
        <v>55.666433667883346</v>
      </c>
    </row>
    <row r="12" spans="1:16">
      <c r="A12" s="2894" t="s">
        <v>3053</v>
      </c>
      <c r="B12" s="2894" t="s">
        <v>3023</v>
      </c>
      <c r="C12" s="2894" t="s">
        <v>3024</v>
      </c>
      <c r="D12" s="2894">
        <v>18869.02</v>
      </c>
      <c r="E12" s="2894">
        <v>47172.55</v>
      </c>
      <c r="F12" s="2894" t="s">
        <v>3054</v>
      </c>
      <c r="G12" s="2894" t="s">
        <v>3026</v>
      </c>
      <c r="H12" s="2894" t="s">
        <v>3055</v>
      </c>
      <c r="I12" s="2894">
        <v>60</v>
      </c>
      <c r="J12" s="2894">
        <v>60</v>
      </c>
      <c r="K12" s="2894">
        <v>12.72</v>
      </c>
      <c r="L12" s="2894">
        <v>0</v>
      </c>
      <c r="M12" s="2894" t="s">
        <v>3056</v>
      </c>
      <c r="N12" s="2894" t="s">
        <v>3033</v>
      </c>
      <c r="O12" s="2894">
        <f t="shared" si="0"/>
        <v>31.79815379919042</v>
      </c>
      <c r="P12" s="2894">
        <f t="shared" si="1"/>
        <v>2.1198875193306272</v>
      </c>
    </row>
    <row r="13" spans="1:16">
      <c r="A13" s="2894" t="s">
        <v>3057</v>
      </c>
      <c r="B13" s="2894" t="s">
        <v>3023</v>
      </c>
      <c r="C13" s="2894" t="s">
        <v>3024</v>
      </c>
      <c r="D13" s="2894">
        <v>26144.87</v>
      </c>
      <c r="E13" s="2894">
        <v>104579.48</v>
      </c>
      <c r="F13" s="2894" t="s">
        <v>3058</v>
      </c>
      <c r="G13" s="2894" t="s">
        <v>3059</v>
      </c>
      <c r="H13" s="2894" t="s">
        <v>3060</v>
      </c>
      <c r="I13" s="2894" t="s">
        <v>2817</v>
      </c>
      <c r="J13" s="2894">
        <v>1961</v>
      </c>
      <c r="K13" s="2894">
        <v>187.5</v>
      </c>
      <c r="L13" s="2894" t="s">
        <v>2817</v>
      </c>
      <c r="M13" s="2894" t="s">
        <v>3061</v>
      </c>
      <c r="N13" s="2894" t="s">
        <v>3037</v>
      </c>
      <c r="O13" s="2894">
        <f t="shared" si="0"/>
        <v>750.05153974756809</v>
      </c>
      <c r="P13" s="2894">
        <f t="shared" si="1"/>
        <v>50.003686000351117</v>
      </c>
    </row>
    <row r="14" spans="1:16">
      <c r="A14" s="2894" t="s">
        <v>3062</v>
      </c>
      <c r="B14" s="2894" t="s">
        <v>3023</v>
      </c>
      <c r="C14" s="2894" t="s">
        <v>3024</v>
      </c>
      <c r="D14" s="2894">
        <v>36567.46</v>
      </c>
      <c r="E14" s="2894">
        <v>54851.19</v>
      </c>
      <c r="F14" s="2894" t="s">
        <v>3063</v>
      </c>
      <c r="G14" s="2894" t="s">
        <v>3026</v>
      </c>
      <c r="H14" s="2894" t="s">
        <v>3064</v>
      </c>
      <c r="I14" s="2894" t="s">
        <v>2817</v>
      </c>
      <c r="J14" s="2894">
        <v>3291</v>
      </c>
      <c r="K14" s="2894">
        <v>599.99</v>
      </c>
      <c r="L14" s="2894" t="s">
        <v>2817</v>
      </c>
      <c r="M14" s="2894" t="s">
        <v>3044</v>
      </c>
      <c r="N14" s="2894" t="s">
        <v>3037</v>
      </c>
      <c r="O14" s="2894">
        <f t="shared" si="0"/>
        <v>899.98047444367205</v>
      </c>
      <c r="P14" s="2894">
        <f t="shared" si="1"/>
        <v>59.998998289736285</v>
      </c>
    </row>
    <row r="15" spans="1:16" s="3191" customFormat="1">
      <c r="A15" s="3191" t="s">
        <v>3065</v>
      </c>
      <c r="B15" s="3191" t="s">
        <v>3023</v>
      </c>
      <c r="C15" s="3191" t="s">
        <v>3024</v>
      </c>
      <c r="D15" s="3191">
        <v>13053.69</v>
      </c>
      <c r="E15" s="3191">
        <v>32634.23</v>
      </c>
      <c r="F15" s="3191" t="s">
        <v>3066</v>
      </c>
      <c r="G15" s="3191" t="s">
        <v>3026</v>
      </c>
      <c r="H15" s="3191" t="s">
        <v>3064</v>
      </c>
      <c r="I15" s="3191" t="s">
        <v>2817</v>
      </c>
      <c r="J15" s="3191">
        <v>882</v>
      </c>
      <c r="K15" s="3191">
        <v>270.26</v>
      </c>
      <c r="L15" s="3191" t="s">
        <v>2817</v>
      </c>
      <c r="M15" s="3191" t="s">
        <v>3044</v>
      </c>
      <c r="N15" s="3191" t="s">
        <v>3037</v>
      </c>
      <c r="O15" s="3191">
        <f t="shared" si="0"/>
        <v>675.67101716066486</v>
      </c>
      <c r="P15" s="3191">
        <f t="shared" si="1"/>
        <v>45.04495970105004</v>
      </c>
    </row>
    <row r="16" spans="1:16">
      <c r="A16" s="2894" t="s">
        <v>3067</v>
      </c>
      <c r="B16" s="2894" t="s">
        <v>3023</v>
      </c>
      <c r="C16" s="2894" t="s">
        <v>3024</v>
      </c>
      <c r="D16" s="2894">
        <v>7682.46</v>
      </c>
      <c r="E16" s="2894">
        <v>15364.92</v>
      </c>
      <c r="F16" s="2894" t="s">
        <v>3068</v>
      </c>
      <c r="G16" s="2894" t="s">
        <v>3026</v>
      </c>
      <c r="H16" s="2894" t="s">
        <v>3064</v>
      </c>
      <c r="I16" s="2894" t="s">
        <v>2817</v>
      </c>
      <c r="J16" s="2894">
        <v>508</v>
      </c>
      <c r="K16" s="2894">
        <v>330.62</v>
      </c>
      <c r="L16" s="2894" t="s">
        <v>2817</v>
      </c>
      <c r="M16" s="2894" t="s">
        <v>3044</v>
      </c>
      <c r="N16" s="2894" t="s">
        <v>3037</v>
      </c>
      <c r="O16" s="2894">
        <f t="shared" si="0"/>
        <v>661.24652780489578</v>
      </c>
      <c r="P16" s="2894">
        <f t="shared" si="1"/>
        <v>44.083322269168988</v>
      </c>
    </row>
    <row r="17" spans="1:16">
      <c r="A17" s="2894" t="s">
        <v>3069</v>
      </c>
      <c r="B17" s="2894" t="s">
        <v>3023</v>
      </c>
      <c r="C17" s="2894" t="s">
        <v>3024</v>
      </c>
      <c r="D17" s="2894">
        <v>11934.75</v>
      </c>
      <c r="E17" s="2894">
        <v>41771.629999999997</v>
      </c>
      <c r="F17" s="2894" t="s">
        <v>3070</v>
      </c>
      <c r="G17" s="2894" t="s">
        <v>3026</v>
      </c>
      <c r="H17" s="2894" t="s">
        <v>3064</v>
      </c>
      <c r="I17" s="2894" t="s">
        <v>2817</v>
      </c>
      <c r="J17" s="2894">
        <v>985</v>
      </c>
      <c r="K17" s="2894">
        <v>235.81</v>
      </c>
      <c r="L17" s="2894" t="s">
        <v>2817</v>
      </c>
      <c r="M17" s="2894" t="s">
        <v>3044</v>
      </c>
      <c r="N17" s="2894" t="s">
        <v>3037</v>
      </c>
      <c r="O17" s="2894">
        <f t="shared" si="0"/>
        <v>825.32101635978972</v>
      </c>
      <c r="P17" s="2894">
        <f t="shared" si="1"/>
        <v>55.021676197658095</v>
      </c>
    </row>
    <row r="18" spans="1:16">
      <c r="A18" s="2894" t="s">
        <v>3071</v>
      </c>
      <c r="B18" s="2894" t="s">
        <v>3023</v>
      </c>
      <c r="C18" s="2894" t="s">
        <v>3024</v>
      </c>
      <c r="D18" s="2894">
        <v>11111.59</v>
      </c>
      <c r="E18" s="2894">
        <v>27778.97</v>
      </c>
      <c r="F18" s="2894" t="s">
        <v>3066</v>
      </c>
      <c r="G18" s="2894" t="s">
        <v>3026</v>
      </c>
      <c r="H18" s="2894" t="s">
        <v>3064</v>
      </c>
      <c r="I18" s="2894" t="s">
        <v>2817</v>
      </c>
      <c r="J18" s="2894">
        <v>751</v>
      </c>
      <c r="K18" s="2894">
        <v>270.35000000000002</v>
      </c>
      <c r="L18" s="2894" t="s">
        <v>2817</v>
      </c>
      <c r="M18" s="2894" t="s">
        <v>3044</v>
      </c>
      <c r="N18" s="2894" t="s">
        <v>3033</v>
      </c>
      <c r="O18" s="2894">
        <f t="shared" si="0"/>
        <v>675.87086996550443</v>
      </c>
      <c r="P18" s="2894">
        <f t="shared" si="1"/>
        <v>45.058283287990278</v>
      </c>
    </row>
    <row r="19" spans="1:16">
      <c r="A19" s="2894" t="s">
        <v>3072</v>
      </c>
      <c r="B19" s="2894" t="s">
        <v>3023</v>
      </c>
      <c r="C19" s="2894" t="s">
        <v>3024</v>
      </c>
      <c r="D19" s="2894">
        <v>12001.39</v>
      </c>
      <c r="E19" s="2894">
        <v>24002.78</v>
      </c>
      <c r="F19" s="2894" t="s">
        <v>3046</v>
      </c>
      <c r="G19" s="2894" t="s">
        <v>3059</v>
      </c>
      <c r="H19" s="2894" t="s">
        <v>3073</v>
      </c>
      <c r="I19" s="2894" t="s">
        <v>2817</v>
      </c>
      <c r="J19" s="2894">
        <v>900.1</v>
      </c>
      <c r="K19" s="2894">
        <v>375</v>
      </c>
      <c r="L19" s="2894" t="s">
        <v>2817</v>
      </c>
      <c r="M19" s="2894" t="s">
        <v>3074</v>
      </c>
      <c r="N19" s="2894" t="s">
        <v>3075</v>
      </c>
      <c r="O19" s="2894">
        <f t="shared" si="0"/>
        <v>749.99645874352905</v>
      </c>
      <c r="P19" s="2894">
        <f t="shared" si="1"/>
        <v>50.000013915054836</v>
      </c>
    </row>
    <row r="20" spans="1:16" s="3191" customFormat="1">
      <c r="A20" s="3191" t="s">
        <v>3076</v>
      </c>
      <c r="B20" s="3191" t="s">
        <v>3023</v>
      </c>
      <c r="C20" s="3191" t="s">
        <v>3024</v>
      </c>
      <c r="D20" s="3191">
        <v>98708.37</v>
      </c>
      <c r="E20" s="3191">
        <v>217158.39999999999</v>
      </c>
      <c r="F20" s="3191" t="s">
        <v>3077</v>
      </c>
      <c r="G20" s="3191" t="s">
        <v>3026</v>
      </c>
      <c r="H20" s="3191" t="s">
        <v>3078</v>
      </c>
      <c r="I20" s="3191" t="s">
        <v>2817</v>
      </c>
      <c r="J20" s="3191">
        <v>27095</v>
      </c>
      <c r="K20" s="3191">
        <v>1247.71</v>
      </c>
      <c r="L20" s="3191" t="s">
        <v>2817</v>
      </c>
      <c r="M20" s="3191" t="s">
        <v>3044</v>
      </c>
      <c r="N20" s="3191" t="s">
        <v>3033</v>
      </c>
      <c r="O20" s="3191">
        <f t="shared" si="0"/>
        <v>2744.9546578471513</v>
      </c>
      <c r="P20" s="3191">
        <f t="shared" si="1"/>
        <v>182.99789217469601</v>
      </c>
    </row>
    <row r="21" spans="1:16">
      <c r="A21" s="2894" t="s">
        <v>3076</v>
      </c>
      <c r="B21" s="2894" t="s">
        <v>3023</v>
      </c>
      <c r="C21" s="2894" t="s">
        <v>3024</v>
      </c>
      <c r="D21" s="2894">
        <v>79622.259999999995</v>
      </c>
      <c r="E21" s="2894">
        <v>398111.3</v>
      </c>
      <c r="F21" s="2894" t="s">
        <v>3079</v>
      </c>
      <c r="G21" s="2894" t="s">
        <v>3026</v>
      </c>
      <c r="H21" s="2894" t="s">
        <v>3078</v>
      </c>
      <c r="I21" s="2894" t="s">
        <v>2817</v>
      </c>
      <c r="J21" s="2894">
        <v>22215</v>
      </c>
      <c r="K21" s="2894">
        <v>558</v>
      </c>
      <c r="L21" s="2894" t="s">
        <v>2817</v>
      </c>
      <c r="M21" s="2894" t="s">
        <v>3044</v>
      </c>
      <c r="N21" s="2894" t="s">
        <v>3033</v>
      </c>
      <c r="O21" s="2894">
        <f t="shared" si="0"/>
        <v>2790.0489134571167</v>
      </c>
      <c r="P21" s="2894">
        <f t="shared" si="1"/>
        <v>186.00419091344557</v>
      </c>
    </row>
    <row r="22" spans="1:16">
      <c r="A22" s="2894" t="s">
        <v>3080</v>
      </c>
      <c r="B22" s="2894" t="s">
        <v>3023</v>
      </c>
      <c r="C22" s="2894" t="s">
        <v>3024</v>
      </c>
      <c r="D22" s="2894">
        <v>3334.45</v>
      </c>
      <c r="E22" s="2894">
        <v>6668.9</v>
      </c>
      <c r="F22" s="2894" t="s">
        <v>3046</v>
      </c>
      <c r="G22" s="2894" t="s">
        <v>3059</v>
      </c>
      <c r="H22" s="2894" t="s">
        <v>3081</v>
      </c>
      <c r="I22" s="2894" t="s">
        <v>2817</v>
      </c>
      <c r="J22" s="2894">
        <v>1000.34</v>
      </c>
      <c r="K22" s="2894">
        <v>1500</v>
      </c>
      <c r="L22" s="2894" t="s">
        <v>2817</v>
      </c>
      <c r="M22" s="2894" t="s">
        <v>3082</v>
      </c>
      <c r="N22" s="2894" t="s">
        <v>3037</v>
      </c>
      <c r="O22" s="2894">
        <f t="shared" si="0"/>
        <v>3000.0149949766828</v>
      </c>
      <c r="P22" s="2894">
        <f t="shared" si="1"/>
        <v>200.00199967011051</v>
      </c>
    </row>
    <row r="23" spans="1:16">
      <c r="A23" s="2894" t="s">
        <v>3083</v>
      </c>
      <c r="B23" s="2894" t="s">
        <v>3023</v>
      </c>
      <c r="C23" s="2894" t="s">
        <v>3024</v>
      </c>
      <c r="D23" s="2894">
        <v>44559.13</v>
      </c>
      <c r="E23" s="2894">
        <v>89118.26</v>
      </c>
      <c r="F23" s="2894" t="s">
        <v>3084</v>
      </c>
      <c r="G23" s="2894" t="s">
        <v>3026</v>
      </c>
      <c r="H23" s="2894" t="s">
        <v>3085</v>
      </c>
      <c r="I23" s="2894" t="s">
        <v>2817</v>
      </c>
      <c r="J23" s="2894">
        <v>4278</v>
      </c>
      <c r="K23" s="2894">
        <v>480.04</v>
      </c>
      <c r="L23" s="2894" t="s">
        <v>2817</v>
      </c>
      <c r="M23" s="2894" t="s">
        <v>3086</v>
      </c>
      <c r="N23" s="2894" t="s">
        <v>3033</v>
      </c>
      <c r="O23" s="2894">
        <f t="shared" si="0"/>
        <v>960.07260464914827</v>
      </c>
      <c r="P23" s="2894">
        <f t="shared" si="1"/>
        <v>64.005160334144762</v>
      </c>
    </row>
    <row r="24" spans="1:16" s="3191" customFormat="1">
      <c r="A24" s="3191" t="s">
        <v>3087</v>
      </c>
      <c r="B24" s="3191" t="s">
        <v>3023</v>
      </c>
      <c r="C24" s="3191" t="s">
        <v>3024</v>
      </c>
      <c r="D24" s="3191">
        <v>107036.9</v>
      </c>
      <c r="E24" s="3191">
        <v>214073.9</v>
      </c>
      <c r="F24" s="3191" t="s">
        <v>3088</v>
      </c>
      <c r="G24" s="3191" t="s">
        <v>3026</v>
      </c>
      <c r="H24" s="3191" t="s">
        <v>3085</v>
      </c>
      <c r="I24" s="3191" t="s">
        <v>2817</v>
      </c>
      <c r="J24" s="3191">
        <v>10275</v>
      </c>
      <c r="K24" s="3191">
        <v>479.97</v>
      </c>
      <c r="L24" s="3191" t="s">
        <v>2817</v>
      </c>
      <c r="M24" s="3191" t="s">
        <v>3086</v>
      </c>
      <c r="N24" s="3191" t="s">
        <v>3033</v>
      </c>
      <c r="O24" s="3191">
        <f t="shared" si="0"/>
        <v>959.94932588668019</v>
      </c>
      <c r="P24" s="3191">
        <f t="shared" si="1"/>
        <v>63.996941708887306</v>
      </c>
    </row>
    <row r="25" spans="1:16">
      <c r="A25" s="2894" t="s">
        <v>3089</v>
      </c>
      <c r="B25" s="2894" t="s">
        <v>3023</v>
      </c>
      <c r="C25" s="2894" t="s">
        <v>3024</v>
      </c>
      <c r="D25" s="2894">
        <v>77502.990000000005</v>
      </c>
      <c r="E25" s="2894">
        <v>69752.69</v>
      </c>
      <c r="F25" s="2894" t="s">
        <v>3090</v>
      </c>
      <c r="G25" s="2894" t="s">
        <v>3026</v>
      </c>
      <c r="H25" s="2894" t="s">
        <v>3091</v>
      </c>
      <c r="I25" s="2894" t="s">
        <v>2817</v>
      </c>
      <c r="J25" s="2894">
        <v>1861</v>
      </c>
      <c r="K25" s="2894">
        <v>266.8</v>
      </c>
      <c r="L25" s="2894" t="s">
        <v>2817</v>
      </c>
      <c r="M25" s="2894" t="s">
        <v>3092</v>
      </c>
      <c r="N25" s="2894" t="s">
        <v>3037</v>
      </c>
      <c r="O25" s="2894">
        <f t="shared" si="0"/>
        <v>240.11976828248817</v>
      </c>
      <c r="P25" s="2894">
        <f t="shared" si="1"/>
        <v>16.008064592088637</v>
      </c>
    </row>
    <row r="26" spans="1:16">
      <c r="A26" s="2894" t="s">
        <v>3093</v>
      </c>
      <c r="B26" s="2894" t="s">
        <v>3023</v>
      </c>
      <c r="C26" s="2894" t="s">
        <v>3024</v>
      </c>
      <c r="D26" s="2894">
        <v>95865.5</v>
      </c>
      <c r="E26" s="2894">
        <v>90113.57</v>
      </c>
      <c r="F26" s="2894" t="s">
        <v>3094</v>
      </c>
      <c r="G26" s="2894" t="s">
        <v>3026</v>
      </c>
      <c r="H26" s="2894" t="s">
        <v>3091</v>
      </c>
      <c r="I26" s="2894" t="s">
        <v>2817</v>
      </c>
      <c r="J26" s="2894">
        <v>2301</v>
      </c>
      <c r="K26" s="2894">
        <v>255.34</v>
      </c>
      <c r="L26" s="2894" t="s">
        <v>2817</v>
      </c>
      <c r="M26" s="2894" t="s">
        <v>3095</v>
      </c>
      <c r="N26" s="2894" t="s">
        <v>3037</v>
      </c>
      <c r="O26" s="2894">
        <f t="shared" si="0"/>
        <v>240.0237833214243</v>
      </c>
      <c r="P26" s="2894">
        <f t="shared" si="1"/>
        <v>16.001665562689393</v>
      </c>
    </row>
    <row r="27" spans="1:16">
      <c r="A27" s="2894" t="s">
        <v>3096</v>
      </c>
      <c r="B27" s="2894" t="s">
        <v>3023</v>
      </c>
      <c r="C27" s="2894" t="s">
        <v>3024</v>
      </c>
      <c r="D27" s="2894">
        <v>84535.81</v>
      </c>
      <c r="E27" s="2894">
        <v>126803.7</v>
      </c>
      <c r="F27" s="2894" t="s">
        <v>3097</v>
      </c>
      <c r="G27" s="2894" t="s">
        <v>3026</v>
      </c>
      <c r="H27" s="2894" t="s">
        <v>3091</v>
      </c>
      <c r="I27" s="2894" t="s">
        <v>2817</v>
      </c>
      <c r="J27" s="2894">
        <v>4439</v>
      </c>
      <c r="K27" s="2894">
        <v>350.06</v>
      </c>
      <c r="L27" s="2894" t="s">
        <v>2817</v>
      </c>
      <c r="M27" s="2894" t="s">
        <v>3098</v>
      </c>
      <c r="N27" s="2894" t="s">
        <v>3037</v>
      </c>
      <c r="O27" s="2894">
        <f t="shared" si="0"/>
        <v>525.10291200853226</v>
      </c>
      <c r="P27" s="2894">
        <f t="shared" si="1"/>
        <v>35.007035834872816</v>
      </c>
    </row>
    <row r="28" spans="1:16">
      <c r="A28" s="2894" t="s">
        <v>3099</v>
      </c>
      <c r="B28" s="2894" t="s">
        <v>3023</v>
      </c>
      <c r="C28" s="2894" t="s">
        <v>3024</v>
      </c>
      <c r="D28" s="2894">
        <v>1921.41</v>
      </c>
      <c r="E28" s="2894">
        <v>3842.82</v>
      </c>
      <c r="F28" s="2894" t="s">
        <v>3046</v>
      </c>
      <c r="G28" s="2894" t="s">
        <v>3059</v>
      </c>
      <c r="H28" s="2894" t="s">
        <v>3091</v>
      </c>
      <c r="I28" s="2894" t="s">
        <v>2817</v>
      </c>
      <c r="J28" s="2894">
        <v>172.93</v>
      </c>
      <c r="K28" s="2894">
        <v>450</v>
      </c>
      <c r="L28" s="2894" t="s">
        <v>2817</v>
      </c>
      <c r="M28" s="2894" t="s">
        <v>3100</v>
      </c>
      <c r="N28" s="2894" t="s">
        <v>3037</v>
      </c>
      <c r="O28" s="2894">
        <f t="shared" si="0"/>
        <v>900.01613398493816</v>
      </c>
      <c r="P28" s="2894">
        <f t="shared" si="1"/>
        <v>60.00137560437387</v>
      </c>
    </row>
    <row r="29" spans="1:16">
      <c r="A29" s="2894" t="s">
        <v>3101</v>
      </c>
      <c r="B29" s="2894" t="s">
        <v>3023</v>
      </c>
      <c r="C29" s="2894" t="s">
        <v>3024</v>
      </c>
      <c r="D29" s="2894">
        <v>3568.78</v>
      </c>
      <c r="E29" s="2894">
        <v>713.76</v>
      </c>
      <c r="F29" s="2894" t="s">
        <v>3102</v>
      </c>
      <c r="G29" s="2894" t="s">
        <v>3059</v>
      </c>
      <c r="H29" s="2894" t="s">
        <v>3103</v>
      </c>
      <c r="I29" s="2894" t="s">
        <v>2817</v>
      </c>
      <c r="J29" s="2894">
        <v>134</v>
      </c>
      <c r="K29" s="2894">
        <v>1877.38</v>
      </c>
      <c r="L29" s="2894" t="s">
        <v>2817</v>
      </c>
      <c r="M29" s="2894" t="s">
        <v>3104</v>
      </c>
      <c r="N29" s="2894" t="s">
        <v>3033</v>
      </c>
      <c r="O29" s="2894">
        <f t="shared" si="0"/>
        <v>375.47845482209601</v>
      </c>
      <c r="P29" s="2894">
        <f t="shared" si="1"/>
        <v>25.032022147624676</v>
      </c>
    </row>
    <row r="30" spans="1:16">
      <c r="A30" s="2894" t="s">
        <v>3101</v>
      </c>
      <c r="B30" s="2894" t="s">
        <v>3023</v>
      </c>
      <c r="C30" s="2894" t="s">
        <v>3024</v>
      </c>
      <c r="D30" s="2894">
        <v>23393.63</v>
      </c>
      <c r="E30" s="2894">
        <v>14036.18</v>
      </c>
      <c r="F30" s="2894" t="s">
        <v>3105</v>
      </c>
      <c r="G30" s="2894" t="s">
        <v>3059</v>
      </c>
      <c r="H30" s="2894" t="s">
        <v>3103</v>
      </c>
      <c r="I30" s="2894" t="s">
        <v>2817</v>
      </c>
      <c r="J30" s="2894">
        <v>877</v>
      </c>
      <c r="K30" s="2894">
        <v>624.79999999999995</v>
      </c>
      <c r="L30" s="2894" t="s">
        <v>2817</v>
      </c>
      <c r="M30" s="2894" t="s">
        <v>3104</v>
      </c>
      <c r="N30" s="2894" t="s">
        <v>3033</v>
      </c>
      <c r="O30" s="2894">
        <f t="shared" si="0"/>
        <v>374.88837773359671</v>
      </c>
      <c r="P30" s="2894">
        <f t="shared" si="1"/>
        <v>24.992683478365691</v>
      </c>
    </row>
    <row r="31" spans="1:16">
      <c r="A31" s="2894" t="s">
        <v>3101</v>
      </c>
      <c r="B31" s="2894" t="s">
        <v>3023</v>
      </c>
      <c r="C31" s="2894" t="s">
        <v>3024</v>
      </c>
      <c r="D31" s="2894">
        <v>9063.2800000000007</v>
      </c>
      <c r="E31" s="2894">
        <v>1812.66</v>
      </c>
      <c r="F31" s="2894" t="s">
        <v>3102</v>
      </c>
      <c r="G31" s="2894" t="s">
        <v>3059</v>
      </c>
      <c r="H31" s="2894" t="s">
        <v>3103</v>
      </c>
      <c r="I31" s="2894">
        <v>340</v>
      </c>
      <c r="J31" s="2894">
        <v>340</v>
      </c>
      <c r="K31" s="2894">
        <v>1875.7</v>
      </c>
      <c r="L31" s="2894">
        <v>0</v>
      </c>
      <c r="M31" s="2894" t="s">
        <v>3104</v>
      </c>
      <c r="N31" s="2894" t="s">
        <v>3033</v>
      </c>
      <c r="O31" s="2894">
        <f t="shared" si="0"/>
        <v>375.14012587054572</v>
      </c>
      <c r="P31" s="2894">
        <f t="shared" si="1"/>
        <v>25.00946677141167</v>
      </c>
    </row>
    <row r="32" spans="1:16">
      <c r="A32" s="2894" t="s">
        <v>3106</v>
      </c>
      <c r="B32" s="2894" t="s">
        <v>3023</v>
      </c>
      <c r="C32" s="2894" t="s">
        <v>3024</v>
      </c>
      <c r="D32" s="2894">
        <v>57182.77</v>
      </c>
      <c r="E32" s="2894">
        <v>85774.15</v>
      </c>
      <c r="F32" s="2894" t="s">
        <v>3097</v>
      </c>
      <c r="G32" s="2894" t="s">
        <v>3026</v>
      </c>
      <c r="H32" s="2894" t="s">
        <v>3107</v>
      </c>
      <c r="I32" s="2894" t="s">
        <v>2817</v>
      </c>
      <c r="J32" s="2894">
        <v>3003</v>
      </c>
      <c r="K32" s="2894">
        <v>350.11</v>
      </c>
      <c r="L32" s="2894" t="s">
        <v>2817</v>
      </c>
      <c r="M32" s="2894" t="s">
        <v>3108</v>
      </c>
      <c r="N32" s="2894" t="s">
        <v>3037</v>
      </c>
      <c r="O32" s="2894">
        <f t="shared" si="0"/>
        <v>525.15819013314683</v>
      </c>
      <c r="P32" s="2894">
        <f t="shared" si="1"/>
        <v>35.010721061606496</v>
      </c>
    </row>
    <row r="33" spans="1:16">
      <c r="A33" s="2894" t="s">
        <v>3096</v>
      </c>
      <c r="B33" s="2894" t="s">
        <v>3023</v>
      </c>
      <c r="C33" s="2894" t="s">
        <v>3024</v>
      </c>
      <c r="D33" s="2894">
        <v>84535.81</v>
      </c>
      <c r="E33" s="2894">
        <v>126803.72</v>
      </c>
      <c r="F33" s="2894" t="s">
        <v>3097</v>
      </c>
      <c r="G33" s="2894" t="s">
        <v>3026</v>
      </c>
      <c r="H33" s="2894" t="s">
        <v>3107</v>
      </c>
      <c r="I33" s="2894" t="s">
        <v>2817</v>
      </c>
      <c r="J33" s="2894">
        <v>4439</v>
      </c>
      <c r="K33" s="2894">
        <v>350.06</v>
      </c>
      <c r="L33" s="2894" t="s">
        <v>2817</v>
      </c>
      <c r="M33" s="2894" t="s">
        <v>3098</v>
      </c>
      <c r="N33" s="2894" t="s">
        <v>3037</v>
      </c>
      <c r="O33" s="2894">
        <f t="shared" si="0"/>
        <v>525.10291200853226</v>
      </c>
      <c r="P33" s="2894">
        <f t="shared" si="1"/>
        <v>35.007035834872816</v>
      </c>
    </row>
    <row r="34" spans="1:16">
      <c r="A34" s="2894" t="s">
        <v>3109</v>
      </c>
      <c r="B34" s="2894" t="s">
        <v>3023</v>
      </c>
      <c r="C34" s="2894" t="s">
        <v>3024</v>
      </c>
      <c r="D34" s="2894">
        <v>1730.28</v>
      </c>
      <c r="E34" s="2894">
        <v>3460.56</v>
      </c>
      <c r="F34" s="2894" t="s">
        <v>3110</v>
      </c>
      <c r="G34" s="2894" t="s">
        <v>3026</v>
      </c>
      <c r="H34" s="2894" t="s">
        <v>3107</v>
      </c>
      <c r="I34" s="2894" t="s">
        <v>2817</v>
      </c>
      <c r="J34" s="2894">
        <v>94</v>
      </c>
      <c r="K34" s="2894">
        <v>271.62</v>
      </c>
      <c r="L34" s="2894" t="s">
        <v>2817</v>
      </c>
      <c r="M34" s="2894" t="s">
        <v>3111</v>
      </c>
      <c r="N34" s="2894" t="s">
        <v>3033</v>
      </c>
      <c r="O34" s="2894">
        <f t="shared" si="0"/>
        <v>543.26467392560744</v>
      </c>
      <c r="P34" s="2894">
        <f t="shared" si="1"/>
        <v>36.217826016598465</v>
      </c>
    </row>
    <row r="35" spans="1:16">
      <c r="A35" s="2894" t="s">
        <v>3112</v>
      </c>
      <c r="B35" s="2894" t="s">
        <v>3023</v>
      </c>
      <c r="C35" s="2894" t="s">
        <v>3024</v>
      </c>
      <c r="D35" s="2894">
        <v>14438.47</v>
      </c>
      <c r="E35" s="2894">
        <v>28876.94</v>
      </c>
      <c r="F35" s="2894" t="s">
        <v>3084</v>
      </c>
      <c r="G35" s="2894" t="s">
        <v>3026</v>
      </c>
      <c r="H35" s="2894" t="s">
        <v>3113</v>
      </c>
      <c r="I35" s="2894" t="s">
        <v>2817</v>
      </c>
      <c r="J35" s="2894">
        <v>1320</v>
      </c>
      <c r="K35" s="2894">
        <v>457.11</v>
      </c>
      <c r="L35" s="2894" t="s">
        <v>2817</v>
      </c>
      <c r="M35" s="2894" t="s">
        <v>3114</v>
      </c>
      <c r="N35" s="2894" t="s">
        <v>3033</v>
      </c>
      <c r="O35" s="2894">
        <f t="shared" si="0"/>
        <v>914.22429107793289</v>
      </c>
      <c r="P35" s="2894">
        <f t="shared" si="1"/>
        <v>60.948590813292547</v>
      </c>
    </row>
    <row r="36" spans="1:16">
      <c r="A36" s="2894" t="s">
        <v>3115</v>
      </c>
      <c r="B36" s="2894" t="s">
        <v>3023</v>
      </c>
      <c r="C36" s="2894" t="s">
        <v>3024</v>
      </c>
      <c r="D36" s="2894">
        <v>58952.480000000003</v>
      </c>
      <c r="E36" s="2894">
        <v>11790.5</v>
      </c>
      <c r="F36" s="2894" t="s">
        <v>3102</v>
      </c>
      <c r="G36" s="2894" t="s">
        <v>3059</v>
      </c>
      <c r="H36" s="2894" t="s">
        <v>3116</v>
      </c>
      <c r="I36" s="2894" t="s">
        <v>2817</v>
      </c>
      <c r="J36" s="2894">
        <v>2211</v>
      </c>
      <c r="K36" s="2894">
        <v>1875.24</v>
      </c>
      <c r="L36" s="2894" t="s">
        <v>2817</v>
      </c>
      <c r="M36" s="2894" t="s">
        <v>3104</v>
      </c>
      <c r="N36" s="2894" t="s">
        <v>3033</v>
      </c>
      <c r="O36" s="2894">
        <f t="shared" si="0"/>
        <v>375.04783513772446</v>
      </c>
      <c r="P36" s="2894">
        <f t="shared" si="1"/>
        <v>25.003314025126677</v>
      </c>
    </row>
    <row r="37" spans="1:16">
      <c r="A37" s="2894" t="s">
        <v>3115</v>
      </c>
      <c r="B37" s="2894" t="s">
        <v>3023</v>
      </c>
      <c r="C37" s="2894" t="s">
        <v>3024</v>
      </c>
      <c r="D37" s="2894">
        <v>1242.29</v>
      </c>
      <c r="E37" s="2894">
        <v>248.46</v>
      </c>
      <c r="F37" s="2894" t="s">
        <v>3102</v>
      </c>
      <c r="G37" s="2894" t="s">
        <v>3059</v>
      </c>
      <c r="H37" s="2894" t="s">
        <v>3116</v>
      </c>
      <c r="I37" s="2894" t="s">
        <v>2817</v>
      </c>
      <c r="J37" s="2894">
        <v>46.5</v>
      </c>
      <c r="K37" s="2894">
        <v>1871.52</v>
      </c>
      <c r="L37" s="2894" t="s">
        <v>2817</v>
      </c>
      <c r="M37" s="2894" t="s">
        <v>3104</v>
      </c>
      <c r="N37" s="2894" t="s">
        <v>3033</v>
      </c>
      <c r="O37" s="2894">
        <f t="shared" si="0"/>
        <v>374.30873628540843</v>
      </c>
      <c r="P37" s="2894">
        <f t="shared" si="1"/>
        <v>24.954040521939323</v>
      </c>
    </row>
    <row r="38" spans="1:16">
      <c r="A38" s="2894" t="s">
        <v>3115</v>
      </c>
      <c r="B38" s="2894" t="s">
        <v>3023</v>
      </c>
      <c r="C38" s="2894" t="s">
        <v>3024</v>
      </c>
      <c r="D38" s="2894">
        <v>6115.17</v>
      </c>
      <c r="E38" s="2894">
        <v>1223.03</v>
      </c>
      <c r="F38" s="2894" t="s">
        <v>3102</v>
      </c>
      <c r="G38" s="2894" t="s">
        <v>3059</v>
      </c>
      <c r="H38" s="2894" t="s">
        <v>3116</v>
      </c>
      <c r="I38" s="2894" t="s">
        <v>2817</v>
      </c>
      <c r="J38" s="2894">
        <v>229</v>
      </c>
      <c r="K38" s="2894">
        <v>1872.4</v>
      </c>
      <c r="L38" s="2894" t="s">
        <v>2817</v>
      </c>
      <c r="M38" s="2894" t="s">
        <v>3104</v>
      </c>
      <c r="N38" s="2894" t="s">
        <v>3033</v>
      </c>
      <c r="O38" s="2894">
        <f t="shared" si="0"/>
        <v>374.47855088247752</v>
      </c>
      <c r="P38" s="2894">
        <f t="shared" si="1"/>
        <v>24.965361551682125</v>
      </c>
    </row>
    <row r="39" spans="1:16">
      <c r="A39" s="2894" t="s">
        <v>3115</v>
      </c>
      <c r="B39" s="2894" t="s">
        <v>3023</v>
      </c>
      <c r="C39" s="2894" t="s">
        <v>3024</v>
      </c>
      <c r="D39" s="2894">
        <v>49336.38</v>
      </c>
      <c r="E39" s="2894">
        <v>9867.2800000000007</v>
      </c>
      <c r="F39" s="2894" t="s">
        <v>3102</v>
      </c>
      <c r="G39" s="2894" t="s">
        <v>3059</v>
      </c>
      <c r="H39" s="2894" t="s">
        <v>3116</v>
      </c>
      <c r="I39" s="2894" t="s">
        <v>2817</v>
      </c>
      <c r="J39" s="2894">
        <v>1850</v>
      </c>
      <c r="K39" s="2894">
        <v>1874.88</v>
      </c>
      <c r="L39" s="2894" t="s">
        <v>2817</v>
      </c>
      <c r="M39" s="2894" t="s">
        <v>3104</v>
      </c>
      <c r="N39" s="2894" t="s">
        <v>3033</v>
      </c>
      <c r="O39" s="2894">
        <f t="shared" si="0"/>
        <v>374.97684264633926</v>
      </c>
      <c r="P39" s="2894">
        <f t="shared" si="1"/>
        <v>24.998581168703499</v>
      </c>
    </row>
    <row r="40" spans="1:16">
      <c r="A40" s="2894" t="s">
        <v>3117</v>
      </c>
      <c r="B40" s="2894" t="s">
        <v>3023</v>
      </c>
      <c r="C40" s="2894" t="s">
        <v>3024</v>
      </c>
      <c r="D40" s="2894">
        <v>3333.33</v>
      </c>
      <c r="E40" s="2894">
        <v>6666.66</v>
      </c>
      <c r="F40" s="2894" t="s">
        <v>3046</v>
      </c>
      <c r="G40" s="2894" t="s">
        <v>3059</v>
      </c>
      <c r="H40" s="2894" t="s">
        <v>3118</v>
      </c>
      <c r="I40" s="2894" t="s">
        <v>2817</v>
      </c>
      <c r="J40" s="2894">
        <v>300</v>
      </c>
      <c r="K40" s="2894">
        <v>450</v>
      </c>
      <c r="L40" s="2894" t="s">
        <v>2817</v>
      </c>
      <c r="M40" s="2894" t="s">
        <v>3119</v>
      </c>
      <c r="N40" s="2894" t="s">
        <v>3033</v>
      </c>
      <c r="O40" s="2894">
        <f t="shared" si="0"/>
        <v>900.00090000090006</v>
      </c>
      <c r="P40" s="2894">
        <f t="shared" si="1"/>
        <v>60.000360000359997</v>
      </c>
    </row>
    <row r="41" spans="1:16">
      <c r="A41" s="2894" t="s">
        <v>3120</v>
      </c>
      <c r="B41" s="2894" t="s">
        <v>3023</v>
      </c>
      <c r="C41" s="2894" t="s">
        <v>3024</v>
      </c>
      <c r="D41" s="2894">
        <v>46857.32</v>
      </c>
      <c r="E41" s="2894">
        <v>117143.3</v>
      </c>
      <c r="F41" s="2894" t="s">
        <v>3121</v>
      </c>
      <c r="G41" s="2894" t="s">
        <v>3026</v>
      </c>
      <c r="H41" s="2894" t="s">
        <v>3122</v>
      </c>
      <c r="I41" s="2894" t="s">
        <v>2817</v>
      </c>
      <c r="J41" s="2894">
        <v>4289</v>
      </c>
      <c r="K41" s="2894">
        <v>366.12</v>
      </c>
      <c r="L41" s="2894" t="s">
        <v>2817</v>
      </c>
      <c r="M41" s="2894" t="s">
        <v>3123</v>
      </c>
      <c r="N41" s="2894" t="s">
        <v>3033</v>
      </c>
      <c r="O41" s="2894">
        <f t="shared" si="0"/>
        <v>915.33190545255263</v>
      </c>
      <c r="P41" s="2894">
        <f t="shared" si="1"/>
        <v>61.022432140805314</v>
      </c>
    </row>
    <row r="42" spans="1:16">
      <c r="A42" s="2894" t="s">
        <v>3124</v>
      </c>
      <c r="B42" s="2894" t="s">
        <v>3023</v>
      </c>
      <c r="C42" s="2894" t="s">
        <v>3024</v>
      </c>
      <c r="D42" s="2894">
        <v>12698.53</v>
      </c>
      <c r="E42" s="2894">
        <v>38095.589999999997</v>
      </c>
      <c r="F42" s="2894" t="s">
        <v>3025</v>
      </c>
      <c r="G42" s="2894" t="s">
        <v>3059</v>
      </c>
      <c r="H42" s="2894" t="s">
        <v>3125</v>
      </c>
      <c r="I42" s="2894" t="s">
        <v>2817</v>
      </c>
      <c r="J42" s="2894">
        <v>800.1</v>
      </c>
      <c r="K42" s="2894">
        <v>210.02</v>
      </c>
      <c r="L42" s="2894" t="s">
        <v>2817</v>
      </c>
      <c r="M42" s="2894" t="s">
        <v>3126</v>
      </c>
      <c r="N42" s="2894" t="s">
        <v>3037</v>
      </c>
      <c r="O42" s="2894">
        <f t="shared" si="0"/>
        <v>630.07292970131186</v>
      </c>
      <c r="P42" s="2894">
        <f t="shared" si="1"/>
        <v>42.005072004397356</v>
      </c>
    </row>
    <row r="43" spans="1:16">
      <c r="A43" s="2894" t="s">
        <v>3127</v>
      </c>
      <c r="B43" s="2894" t="s">
        <v>3023</v>
      </c>
      <c r="C43" s="2894" t="s">
        <v>3024</v>
      </c>
      <c r="D43" s="2894">
        <v>10269.040000000001</v>
      </c>
      <c r="E43" s="2894">
        <v>30807.119999999999</v>
      </c>
      <c r="F43" s="2894" t="s">
        <v>3025</v>
      </c>
      <c r="G43" s="2894" t="s">
        <v>3059</v>
      </c>
      <c r="H43" s="2894" t="s">
        <v>3125</v>
      </c>
      <c r="I43" s="2894" t="s">
        <v>2817</v>
      </c>
      <c r="J43" s="2894">
        <v>646.95000000000005</v>
      </c>
      <c r="K43" s="2894">
        <v>210</v>
      </c>
      <c r="L43" s="2894" t="s">
        <v>2817</v>
      </c>
      <c r="M43" s="2894" t="s">
        <v>3128</v>
      </c>
      <c r="N43" s="2894" t="s">
        <v>3029</v>
      </c>
      <c r="O43" s="2894">
        <f t="shared" si="0"/>
        <v>630.00046742441361</v>
      </c>
      <c r="P43" s="2894">
        <f t="shared" si="1"/>
        <v>42.000241161783379</v>
      </c>
    </row>
    <row r="44" spans="1:16" s="3191" customFormat="1">
      <c r="A44" s="3191" t="s">
        <v>3129</v>
      </c>
      <c r="B44" s="3191" t="s">
        <v>3023</v>
      </c>
      <c r="C44" s="3191" t="s">
        <v>3024</v>
      </c>
      <c r="D44" s="3191">
        <v>27054.95</v>
      </c>
      <c r="E44" s="3191">
        <v>73048.37</v>
      </c>
      <c r="F44" s="3191" t="s">
        <v>3130</v>
      </c>
      <c r="G44" s="3191" t="s">
        <v>3059</v>
      </c>
      <c r="H44" s="3191" t="s">
        <v>3131</v>
      </c>
      <c r="I44" s="3191">
        <v>2029.11</v>
      </c>
      <c r="J44" s="3191">
        <v>2069.69</v>
      </c>
      <c r="K44" s="3191">
        <v>283.32</v>
      </c>
      <c r="L44" s="3191">
        <v>2</v>
      </c>
      <c r="M44" s="3191" t="s">
        <v>3132</v>
      </c>
      <c r="N44" s="3191" t="s">
        <v>3033</v>
      </c>
      <c r="O44" s="3191">
        <f t="shared" si="0"/>
        <v>764.99494547208553</v>
      </c>
      <c r="P44" s="3191">
        <f t="shared" si="1"/>
        <v>50.999918029787523</v>
      </c>
    </row>
    <row r="45" spans="1:16">
      <c r="A45" s="2894" t="s">
        <v>3133</v>
      </c>
      <c r="B45" s="2894" t="s">
        <v>3023</v>
      </c>
      <c r="C45" s="2894" t="s">
        <v>3024</v>
      </c>
      <c r="D45" s="2894">
        <v>11671.44</v>
      </c>
      <c r="E45" s="2894">
        <v>35014.32</v>
      </c>
      <c r="F45" s="2894" t="s">
        <v>3025</v>
      </c>
      <c r="G45" s="2894" t="s">
        <v>3059</v>
      </c>
      <c r="H45" s="2894" t="s">
        <v>3134</v>
      </c>
      <c r="I45" s="2894" t="s">
        <v>2817</v>
      </c>
      <c r="J45" s="2894">
        <v>735.41</v>
      </c>
      <c r="K45" s="2894">
        <v>210.03</v>
      </c>
      <c r="L45" s="2894" t="s">
        <v>2817</v>
      </c>
      <c r="M45" s="2894" t="s">
        <v>3135</v>
      </c>
      <c r="N45" s="2894" t="s">
        <v>3029</v>
      </c>
      <c r="O45" s="2894">
        <f t="shared" si="0"/>
        <v>630.09363026327503</v>
      </c>
      <c r="P45" s="2894">
        <f t="shared" si="1"/>
        <v>42.006452048761751</v>
      </c>
    </row>
    <row r="46" spans="1:16">
      <c r="A46" s="2894" t="s">
        <v>3136</v>
      </c>
      <c r="B46" s="2894" t="s">
        <v>3023</v>
      </c>
      <c r="C46" s="2894" t="s">
        <v>3024</v>
      </c>
      <c r="D46" s="2894">
        <v>498.96</v>
      </c>
      <c r="E46" s="2894">
        <v>1496.88</v>
      </c>
      <c r="F46" s="2894" t="s">
        <v>3025</v>
      </c>
      <c r="G46" s="2894" t="s">
        <v>3059</v>
      </c>
      <c r="H46" s="2894" t="s">
        <v>3134</v>
      </c>
      <c r="I46" s="2894" t="s">
        <v>2817</v>
      </c>
      <c r="J46" s="2894">
        <v>45</v>
      </c>
      <c r="K46" s="2894">
        <v>300.62</v>
      </c>
      <c r="L46" s="2894" t="s">
        <v>2817</v>
      </c>
      <c r="M46" s="2894" t="s">
        <v>3137</v>
      </c>
      <c r="N46" s="2894" t="s">
        <v>3029</v>
      </c>
      <c r="O46" s="2894">
        <f t="shared" si="0"/>
        <v>901.87590187590195</v>
      </c>
      <c r="P46" s="2894">
        <f t="shared" si="1"/>
        <v>60.125360750360748</v>
      </c>
    </row>
    <row r="47" spans="1:16">
      <c r="A47" s="2894" t="s">
        <v>3138</v>
      </c>
      <c r="B47" s="2894" t="s">
        <v>3023</v>
      </c>
      <c r="C47" s="2894" t="s">
        <v>3024</v>
      </c>
      <c r="D47" s="2894">
        <v>709.94</v>
      </c>
      <c r="E47" s="2894">
        <v>2129.8200000000002</v>
      </c>
      <c r="F47" s="2894" t="s">
        <v>3025</v>
      </c>
      <c r="G47" s="2894" t="s">
        <v>3059</v>
      </c>
      <c r="H47" s="2894" t="s">
        <v>3134</v>
      </c>
      <c r="I47" s="2894" t="s">
        <v>2817</v>
      </c>
      <c r="J47" s="2894">
        <v>44.72</v>
      </c>
      <c r="K47" s="2894">
        <v>210.02</v>
      </c>
      <c r="L47" s="2894" t="s">
        <v>2817</v>
      </c>
      <c r="M47" s="2894" t="s">
        <v>3139</v>
      </c>
      <c r="N47" s="2894" t="s">
        <v>3037</v>
      </c>
      <c r="O47" s="2894">
        <f t="shared" si="0"/>
        <v>629.91238696227845</v>
      </c>
      <c r="P47" s="2894">
        <f t="shared" si="1"/>
        <v>41.994369101614218</v>
      </c>
    </row>
    <row r="48" spans="1:16">
      <c r="A48" s="2894" t="s">
        <v>3140</v>
      </c>
      <c r="B48" s="2894" t="s">
        <v>3023</v>
      </c>
      <c r="C48" s="2894" t="s">
        <v>3024</v>
      </c>
      <c r="D48" s="2894">
        <v>24929.42</v>
      </c>
      <c r="E48" s="2894">
        <v>24929.42</v>
      </c>
      <c r="F48" s="2894" t="s">
        <v>3141</v>
      </c>
      <c r="G48" s="2894" t="s">
        <v>3059</v>
      </c>
      <c r="H48" s="2894" t="s">
        <v>3134</v>
      </c>
      <c r="I48" s="2894" t="s">
        <v>2817</v>
      </c>
      <c r="J48" s="2894">
        <v>822.66</v>
      </c>
      <c r="K48" s="2894">
        <v>330</v>
      </c>
      <c r="L48" s="2894" t="s">
        <v>2817</v>
      </c>
      <c r="M48" s="2894" t="s">
        <v>3142</v>
      </c>
      <c r="N48" s="2894" t="s">
        <v>3037</v>
      </c>
      <c r="O48" s="2894">
        <f t="shared" si="0"/>
        <v>329.99564370129747</v>
      </c>
      <c r="P48" s="2894">
        <f t="shared" si="1"/>
        <v>21.999819578634401</v>
      </c>
    </row>
    <row r="49" spans="1:16">
      <c r="A49" s="2894" t="s">
        <v>3143</v>
      </c>
      <c r="B49" s="2894" t="s">
        <v>3023</v>
      </c>
      <c r="C49" s="2894" t="s">
        <v>3024</v>
      </c>
      <c r="D49" s="2894">
        <v>32719.67</v>
      </c>
      <c r="E49" s="2894">
        <v>98159.01</v>
      </c>
      <c r="F49" s="2894" t="s">
        <v>3025</v>
      </c>
      <c r="G49" s="2894" t="s">
        <v>3059</v>
      </c>
      <c r="H49" s="2894" t="s">
        <v>3134</v>
      </c>
      <c r="I49" s="2894" t="s">
        <v>2817</v>
      </c>
      <c r="J49" s="2894">
        <v>2061.36</v>
      </c>
      <c r="K49" s="2894">
        <v>210</v>
      </c>
      <c r="L49" s="2894" t="s">
        <v>2817</v>
      </c>
      <c r="M49" s="2894" t="s">
        <v>3135</v>
      </c>
      <c r="N49" s="2894" t="s">
        <v>3037</v>
      </c>
      <c r="O49" s="2894">
        <f t="shared" si="0"/>
        <v>630.00635397606402</v>
      </c>
      <c r="P49" s="2894">
        <f t="shared" si="1"/>
        <v>42.000633600522256</v>
      </c>
    </row>
    <row r="50" spans="1:16">
      <c r="A50" s="2894" t="s">
        <v>3140</v>
      </c>
      <c r="B50" s="2894" t="s">
        <v>3023</v>
      </c>
      <c r="C50" s="2894" t="s">
        <v>3024</v>
      </c>
      <c r="D50" s="2894">
        <v>3405.39</v>
      </c>
      <c r="E50" s="2894">
        <v>3405.39</v>
      </c>
      <c r="F50" s="2894" t="s">
        <v>3141</v>
      </c>
      <c r="G50" s="2894" t="s">
        <v>3059</v>
      </c>
      <c r="H50" s="2894" t="s">
        <v>3134</v>
      </c>
      <c r="I50" s="2894" t="s">
        <v>2817</v>
      </c>
      <c r="J50" s="2894">
        <v>112.42</v>
      </c>
      <c r="K50" s="2894">
        <v>330.12</v>
      </c>
      <c r="L50" s="2894" t="s">
        <v>2817</v>
      </c>
      <c r="M50" s="2894" t="s">
        <v>3142</v>
      </c>
      <c r="N50" s="2894" t="s">
        <v>3037</v>
      </c>
      <c r="O50" s="2894">
        <f t="shared" si="0"/>
        <v>330.1237156390311</v>
      </c>
      <c r="P50" s="2894">
        <f t="shared" si="1"/>
        <v>22.008357750507283</v>
      </c>
    </row>
    <row r="51" spans="1:16">
      <c r="A51" s="2894" t="s">
        <v>3138</v>
      </c>
      <c r="B51" s="2894" t="s">
        <v>3023</v>
      </c>
      <c r="C51" s="2894" t="s">
        <v>3024</v>
      </c>
      <c r="D51" s="2894">
        <v>6203.28</v>
      </c>
      <c r="E51" s="2894">
        <v>18609.84</v>
      </c>
      <c r="F51" s="2894" t="s">
        <v>3025</v>
      </c>
      <c r="G51" s="2894" t="s">
        <v>3059</v>
      </c>
      <c r="H51" s="2894" t="s">
        <v>3134</v>
      </c>
      <c r="I51" s="2894" t="s">
        <v>2817</v>
      </c>
      <c r="J51" s="2894">
        <v>390.81</v>
      </c>
      <c r="K51" s="2894">
        <v>210</v>
      </c>
      <c r="L51" s="2894" t="s">
        <v>2817</v>
      </c>
      <c r="M51" s="2894" t="s">
        <v>3144</v>
      </c>
      <c r="N51" s="2894" t="s">
        <v>3037</v>
      </c>
      <c r="O51" s="2894">
        <f t="shared" si="0"/>
        <v>630.0054164893412</v>
      </c>
      <c r="P51" s="2894">
        <f t="shared" si="1"/>
        <v>42.000571101094906</v>
      </c>
    </row>
    <row r="52" spans="1:16">
      <c r="A52" s="2894" t="s">
        <v>3133</v>
      </c>
      <c r="B52" s="2894" t="s">
        <v>3023</v>
      </c>
      <c r="C52" s="2894" t="s">
        <v>3024</v>
      </c>
      <c r="D52" s="2894">
        <v>9674.75</v>
      </c>
      <c r="E52" s="2894">
        <v>29024.25</v>
      </c>
      <c r="F52" s="2894" t="s">
        <v>3025</v>
      </c>
      <c r="G52" s="2894" t="s">
        <v>3059</v>
      </c>
      <c r="H52" s="2894" t="s">
        <v>3134</v>
      </c>
      <c r="I52" s="2894" t="s">
        <v>2817</v>
      </c>
      <c r="J52" s="2894">
        <v>609.5</v>
      </c>
      <c r="K52" s="2894">
        <v>210</v>
      </c>
      <c r="L52" s="2894" t="s">
        <v>2817</v>
      </c>
      <c r="M52" s="2894" t="s">
        <v>3135</v>
      </c>
      <c r="N52" s="2894" t="s">
        <v>3029</v>
      </c>
      <c r="O52" s="2894">
        <f t="shared" si="0"/>
        <v>629.9904390294322</v>
      </c>
      <c r="P52" s="2894">
        <f t="shared" si="1"/>
        <v>41.99957259877516</v>
      </c>
    </row>
    <row r="53" spans="1:16">
      <c r="A53" s="2894" t="s">
        <v>3145</v>
      </c>
      <c r="B53" s="2894" t="s">
        <v>3023</v>
      </c>
      <c r="C53" s="2894" t="s">
        <v>3024</v>
      </c>
      <c r="D53" s="2894">
        <v>962.53</v>
      </c>
      <c r="E53" s="2894">
        <v>789.27</v>
      </c>
      <c r="F53" s="2894" t="s">
        <v>3146</v>
      </c>
      <c r="G53" s="2894" t="s">
        <v>3059</v>
      </c>
      <c r="H53" s="2894" t="s">
        <v>3147</v>
      </c>
      <c r="I53" s="2894" t="s">
        <v>2817</v>
      </c>
      <c r="J53" s="2894">
        <v>158</v>
      </c>
      <c r="K53" s="2894">
        <v>2001.84</v>
      </c>
      <c r="L53" s="2894" t="s">
        <v>2817</v>
      </c>
      <c r="M53" s="2894" t="s">
        <v>3148</v>
      </c>
      <c r="N53" s="2894" t="s">
        <v>3037</v>
      </c>
      <c r="O53" s="2894">
        <f t="shared" si="0"/>
        <v>1641.5072776952409</v>
      </c>
      <c r="P53" s="2894">
        <f t="shared" si="1"/>
        <v>109.43436568210859</v>
      </c>
    </row>
    <row r="54" spans="1:16">
      <c r="A54" s="2894" t="s">
        <v>3149</v>
      </c>
      <c r="B54" s="2894" t="s">
        <v>3023</v>
      </c>
      <c r="C54" s="2894" t="s">
        <v>3024</v>
      </c>
      <c r="D54" s="2894">
        <v>10000.43</v>
      </c>
      <c r="E54" s="2894">
        <v>15000.65</v>
      </c>
      <c r="F54" s="2894" t="s">
        <v>3150</v>
      </c>
      <c r="G54" s="2894" t="s">
        <v>3059</v>
      </c>
      <c r="H54" s="2894" t="s">
        <v>3151</v>
      </c>
      <c r="I54" s="2894">
        <v>1047.04</v>
      </c>
      <c r="J54" s="2894">
        <v>1062.04</v>
      </c>
      <c r="K54" s="2894">
        <v>708</v>
      </c>
      <c r="L54" s="2894">
        <v>1.43</v>
      </c>
      <c r="M54" s="2894" t="s">
        <v>3152</v>
      </c>
      <c r="N54" s="2894" t="s">
        <v>3037</v>
      </c>
      <c r="O54" s="2894">
        <f t="shared" si="0"/>
        <v>1061.9943342436275</v>
      </c>
      <c r="P54" s="2894">
        <f t="shared" si="1"/>
        <v>70.799976281019909</v>
      </c>
    </row>
    <row r="55" spans="1:16">
      <c r="A55" s="2894" t="s">
        <v>3153</v>
      </c>
      <c r="B55" s="2894" t="s">
        <v>3023</v>
      </c>
      <c r="C55" s="2894" t="s">
        <v>3024</v>
      </c>
      <c r="D55" s="2894">
        <v>58285.82</v>
      </c>
      <c r="E55" s="2894">
        <v>174857.5</v>
      </c>
      <c r="F55" s="2894" t="s">
        <v>3154</v>
      </c>
      <c r="G55" s="2894" t="s">
        <v>3059</v>
      </c>
      <c r="H55" s="2894" t="s">
        <v>3151</v>
      </c>
      <c r="I55" s="2894">
        <v>6242.4</v>
      </c>
      <c r="J55" s="2894">
        <v>6417.27</v>
      </c>
      <c r="K55" s="2894">
        <v>367</v>
      </c>
      <c r="L55" s="2894">
        <v>2.8</v>
      </c>
      <c r="M55" s="2894" t="s">
        <v>3152</v>
      </c>
      <c r="N55" s="2894" t="s">
        <v>3037</v>
      </c>
      <c r="O55" s="2894">
        <f t="shared" si="0"/>
        <v>1101.0002089702093</v>
      </c>
      <c r="P55" s="2894">
        <f t="shared" si="1"/>
        <v>73.400380931416933</v>
      </c>
    </row>
    <row r="56" spans="1:16" s="3191" customFormat="1">
      <c r="A56" s="3191" t="s">
        <v>3155</v>
      </c>
      <c r="B56" s="3191" t="s">
        <v>3023</v>
      </c>
      <c r="C56" s="3191" t="s">
        <v>3024</v>
      </c>
      <c r="D56" s="3191">
        <v>5336.51</v>
      </c>
      <c r="E56" s="3191">
        <v>2668.26</v>
      </c>
      <c r="F56" s="3191" t="s">
        <v>3156</v>
      </c>
      <c r="G56" s="3191" t="s">
        <v>3059</v>
      </c>
      <c r="H56" s="3191" t="s">
        <v>3157</v>
      </c>
      <c r="I56" s="3191" t="s">
        <v>2817</v>
      </c>
      <c r="J56" s="3191">
        <v>320.75</v>
      </c>
      <c r="K56" s="3191">
        <v>1202.08</v>
      </c>
      <c r="L56" s="3191" t="s">
        <v>2817</v>
      </c>
      <c r="M56" s="3191" t="s">
        <v>3158</v>
      </c>
      <c r="N56" s="3191" t="s">
        <v>3033</v>
      </c>
      <c r="O56" s="3191">
        <f t="shared" si="0"/>
        <v>601.04825063571514</v>
      </c>
      <c r="P56" s="3191">
        <f t="shared" si="1"/>
        <v>40.070083725131212</v>
      </c>
    </row>
    <row r="57" spans="1:16">
      <c r="A57" s="2894" t="s">
        <v>3159</v>
      </c>
      <c r="B57" s="2894" t="s">
        <v>3023</v>
      </c>
      <c r="C57" s="2894" t="s">
        <v>3024</v>
      </c>
      <c r="D57" s="2894">
        <v>19999.95</v>
      </c>
      <c r="E57" s="2894">
        <v>39999.9</v>
      </c>
      <c r="F57" s="2894" t="s">
        <v>3046</v>
      </c>
      <c r="G57" s="2894" t="s">
        <v>3059</v>
      </c>
      <c r="H57" s="2894" t="s">
        <v>3160</v>
      </c>
      <c r="I57" s="2894" t="s">
        <v>2817</v>
      </c>
      <c r="J57" s="2894">
        <v>2183.98</v>
      </c>
      <c r="K57" s="2894">
        <v>546</v>
      </c>
      <c r="L57" s="2894" t="s">
        <v>2817</v>
      </c>
      <c r="M57" s="2894" t="s">
        <v>3161</v>
      </c>
      <c r="N57" s="2894" t="s">
        <v>3037</v>
      </c>
      <c r="O57" s="2894">
        <f t="shared" si="0"/>
        <v>1091.9927299818251</v>
      </c>
      <c r="P57" s="2894">
        <f t="shared" si="1"/>
        <v>72.799879329698314</v>
      </c>
    </row>
    <row r="58" spans="1:16">
      <c r="A58" s="2894" t="s">
        <v>3162</v>
      </c>
      <c r="B58" s="2894" t="s">
        <v>3023</v>
      </c>
      <c r="C58" s="2894" t="s">
        <v>3024</v>
      </c>
      <c r="D58" s="2894">
        <v>19967.7</v>
      </c>
      <c r="E58" s="2894">
        <v>59903.1</v>
      </c>
      <c r="F58" s="2894" t="s">
        <v>3025</v>
      </c>
      <c r="G58" s="2894" t="s">
        <v>3059</v>
      </c>
      <c r="H58" s="2894" t="s">
        <v>3163</v>
      </c>
      <c r="I58" s="2894" t="s">
        <v>2817</v>
      </c>
      <c r="J58" s="2894">
        <v>1257.97</v>
      </c>
      <c r="K58" s="2894">
        <v>210</v>
      </c>
      <c r="L58" s="2894" t="s">
        <v>2817</v>
      </c>
      <c r="M58" s="2894" t="s">
        <v>3135</v>
      </c>
      <c r="N58" s="2894" t="s">
        <v>3029</v>
      </c>
      <c r="O58" s="2894">
        <f t="shared" si="0"/>
        <v>630.00245396315051</v>
      </c>
      <c r="P58" s="2894">
        <f t="shared" si="1"/>
        <v>42.00037359836135</v>
      </c>
    </row>
    <row r="59" spans="1:16">
      <c r="A59" s="2894" t="s">
        <v>3164</v>
      </c>
      <c r="B59" s="2894" t="s">
        <v>3023</v>
      </c>
      <c r="C59" s="2894" t="s">
        <v>3024</v>
      </c>
      <c r="D59" s="2894">
        <v>14822.15</v>
      </c>
      <c r="E59" s="2894">
        <v>44466.45</v>
      </c>
      <c r="F59" s="2894" t="s">
        <v>3025</v>
      </c>
      <c r="G59" s="2894" t="s">
        <v>3059</v>
      </c>
      <c r="H59" s="2894" t="s">
        <v>3163</v>
      </c>
      <c r="I59" s="2894" t="s">
        <v>2817</v>
      </c>
      <c r="J59" s="2894">
        <v>933.79</v>
      </c>
      <c r="K59" s="2894">
        <v>210</v>
      </c>
      <c r="L59" s="2894" t="s">
        <v>2817</v>
      </c>
      <c r="M59" s="2894" t="s">
        <v>3135</v>
      </c>
      <c r="N59" s="2894" t="s">
        <v>3037</v>
      </c>
      <c r="O59" s="2894">
        <f t="shared" si="0"/>
        <v>629.99632307053969</v>
      </c>
      <c r="P59" s="2894">
        <f t="shared" si="1"/>
        <v>41.999964870143671</v>
      </c>
    </row>
    <row r="60" spans="1:16">
      <c r="A60" s="2894" t="s">
        <v>3165</v>
      </c>
      <c r="B60" s="2894" t="s">
        <v>3023</v>
      </c>
      <c r="C60" s="2894" t="s">
        <v>3024</v>
      </c>
      <c r="D60" s="2894">
        <v>1197.2</v>
      </c>
      <c r="E60" s="2894">
        <v>3591.6</v>
      </c>
      <c r="F60" s="2894" t="s">
        <v>3025</v>
      </c>
      <c r="G60" s="2894" t="s">
        <v>3059</v>
      </c>
      <c r="H60" s="2894" t="s">
        <v>3163</v>
      </c>
      <c r="I60" s="2894" t="s">
        <v>2817</v>
      </c>
      <c r="J60" s="2894">
        <v>75.42</v>
      </c>
      <c r="K60" s="2894">
        <v>209.99</v>
      </c>
      <c r="L60" s="2894" t="s">
        <v>2817</v>
      </c>
      <c r="M60" s="2894" t="s">
        <v>3135</v>
      </c>
      <c r="N60" s="2894" t="s">
        <v>3037</v>
      </c>
      <c r="O60" s="2894">
        <f t="shared" si="0"/>
        <v>629.96992983628468</v>
      </c>
      <c r="P60" s="2894">
        <f t="shared" si="1"/>
        <v>41.998205312395591</v>
      </c>
    </row>
    <row r="61" spans="1:16">
      <c r="A61" s="2894" t="s">
        <v>3166</v>
      </c>
      <c r="B61" s="2894" t="s">
        <v>3023</v>
      </c>
      <c r="C61" s="2894" t="s">
        <v>3024</v>
      </c>
      <c r="D61" s="2894">
        <v>39644.71</v>
      </c>
      <c r="E61" s="2894">
        <v>19822.36</v>
      </c>
      <c r="F61" s="2894" t="s">
        <v>3156</v>
      </c>
      <c r="G61" s="2894" t="s">
        <v>3059</v>
      </c>
      <c r="H61" s="2894" t="s">
        <v>3167</v>
      </c>
      <c r="I61" s="2894">
        <v>4341.1000000000004</v>
      </c>
      <c r="J61" s="2894">
        <v>4341.1000000000004</v>
      </c>
      <c r="K61" s="2894">
        <v>2190</v>
      </c>
      <c r="L61" s="2894">
        <v>0</v>
      </c>
      <c r="M61" s="2894" t="s">
        <v>3052</v>
      </c>
      <c r="N61" s="2894" t="s">
        <v>3033</v>
      </c>
      <c r="O61" s="2894">
        <f t="shared" si="0"/>
        <v>1095.0010732831695</v>
      </c>
      <c r="P61" s="2894">
        <f t="shared" si="1"/>
        <v>73.000436552569056</v>
      </c>
    </row>
    <row r="62" spans="1:16">
      <c r="A62" s="2894" t="s">
        <v>3168</v>
      </c>
      <c r="B62" s="2894" t="s">
        <v>3023</v>
      </c>
      <c r="C62" s="2894" t="s">
        <v>3024</v>
      </c>
      <c r="D62" s="2894">
        <v>46872.38</v>
      </c>
      <c r="E62" s="2894">
        <v>23436.19</v>
      </c>
      <c r="F62" s="2894" t="s">
        <v>3156</v>
      </c>
      <c r="G62" s="2894" t="s">
        <v>3059</v>
      </c>
      <c r="H62" s="2894" t="s">
        <v>3167</v>
      </c>
      <c r="I62" s="2894">
        <v>5132.5200000000004</v>
      </c>
      <c r="J62" s="2894">
        <v>5132.5200000000004</v>
      </c>
      <c r="K62" s="2894">
        <v>2190</v>
      </c>
      <c r="L62" s="2894">
        <v>0</v>
      </c>
      <c r="M62" s="2894" t="s">
        <v>3052</v>
      </c>
      <c r="N62" s="2894" t="s">
        <v>3037</v>
      </c>
      <c r="O62" s="2894">
        <f t="shared" si="0"/>
        <v>1094.9988031331034</v>
      </c>
      <c r="P62" s="2894">
        <f t="shared" si="1"/>
        <v>73.000285208474594</v>
      </c>
    </row>
    <row r="63" spans="1:16">
      <c r="A63" s="2894" t="s">
        <v>3169</v>
      </c>
      <c r="B63" s="2894" t="s">
        <v>3023</v>
      </c>
      <c r="C63" s="2894" t="s">
        <v>3024</v>
      </c>
      <c r="D63" s="2894">
        <v>75734.850000000006</v>
      </c>
      <c r="E63" s="2894">
        <v>37867.43</v>
      </c>
      <c r="F63" s="2894" t="s">
        <v>3156</v>
      </c>
      <c r="G63" s="2894" t="s">
        <v>3059</v>
      </c>
      <c r="H63" s="2894" t="s">
        <v>3167</v>
      </c>
      <c r="I63" s="2894">
        <v>8292.9599999999991</v>
      </c>
      <c r="J63" s="2894">
        <v>8292.9599999999991</v>
      </c>
      <c r="K63" s="2894">
        <v>2190</v>
      </c>
      <c r="L63" s="2894">
        <v>0</v>
      </c>
      <c r="M63" s="2894" t="s">
        <v>3052</v>
      </c>
      <c r="N63" s="2894" t="s">
        <v>3033</v>
      </c>
      <c r="O63" s="2894">
        <f t="shared" si="0"/>
        <v>1094.9991978593737</v>
      </c>
      <c r="P63" s="2894">
        <f t="shared" si="1"/>
        <v>73.000311523690854</v>
      </c>
    </row>
    <row r="64" spans="1:16">
      <c r="A64" s="2894" t="s">
        <v>3170</v>
      </c>
      <c r="B64" s="2894" t="s">
        <v>3023</v>
      </c>
      <c r="C64" s="2894" t="s">
        <v>3024</v>
      </c>
      <c r="D64" s="2894">
        <v>1566.83</v>
      </c>
      <c r="E64" s="2894">
        <v>3133.66</v>
      </c>
      <c r="F64" s="2894" t="s">
        <v>3171</v>
      </c>
      <c r="G64" s="2894" t="s">
        <v>3059</v>
      </c>
      <c r="H64" s="2894" t="s">
        <v>3172</v>
      </c>
      <c r="I64" s="2894" t="s">
        <v>2817</v>
      </c>
      <c r="J64" s="2894">
        <v>82.26</v>
      </c>
      <c r="K64" s="2894">
        <v>262.5</v>
      </c>
      <c r="L64" s="2894" t="s">
        <v>2817</v>
      </c>
      <c r="M64" s="2894" t="s">
        <v>3173</v>
      </c>
      <c r="N64" s="2894" t="s">
        <v>3037</v>
      </c>
      <c r="O64" s="2894">
        <f t="shared" si="0"/>
        <v>525.00909479649999</v>
      </c>
      <c r="P64" s="2894">
        <f t="shared" si="1"/>
        <v>35.000781322798261</v>
      </c>
    </row>
    <row r="65" spans="1:16">
      <c r="A65" s="2894" t="s">
        <v>3174</v>
      </c>
      <c r="B65" s="2894" t="s">
        <v>3023</v>
      </c>
      <c r="C65" s="2894" t="s">
        <v>3024</v>
      </c>
      <c r="D65" s="2894">
        <v>152405</v>
      </c>
      <c r="E65" s="2894">
        <v>457215.1</v>
      </c>
      <c r="F65" s="2894" t="s">
        <v>3175</v>
      </c>
      <c r="G65" s="2894" t="s">
        <v>3059</v>
      </c>
      <c r="H65" s="2894" t="s">
        <v>3172</v>
      </c>
      <c r="I65" s="2894" t="s">
        <v>2817</v>
      </c>
      <c r="J65" s="2894">
        <v>11659</v>
      </c>
      <c r="K65" s="2894">
        <v>255</v>
      </c>
      <c r="L65" s="2894" t="s">
        <v>2817</v>
      </c>
      <c r="M65" s="2894" t="s">
        <v>3044</v>
      </c>
      <c r="N65" s="2894" t="s">
        <v>3037</v>
      </c>
      <c r="O65" s="2894">
        <f t="shared" si="0"/>
        <v>765.00114825629089</v>
      </c>
      <c r="P65" s="2894">
        <f t="shared" si="1"/>
        <v>51.000331550802137</v>
      </c>
    </row>
    <row r="66" spans="1:16">
      <c r="A66" s="2894" t="s">
        <v>3176</v>
      </c>
      <c r="B66" s="2894" t="s">
        <v>3023</v>
      </c>
      <c r="C66" s="2894" t="s">
        <v>3024</v>
      </c>
      <c r="D66" s="2894">
        <v>25718.76</v>
      </c>
      <c r="E66" s="2894">
        <v>102875</v>
      </c>
      <c r="F66" s="2894" t="s">
        <v>3177</v>
      </c>
      <c r="G66" s="2894" t="s">
        <v>3059</v>
      </c>
      <c r="H66" s="2894" t="s">
        <v>3172</v>
      </c>
      <c r="I66" s="2894" t="s">
        <v>2817</v>
      </c>
      <c r="J66" s="2894">
        <v>2150</v>
      </c>
      <c r="K66" s="2894">
        <v>208.99</v>
      </c>
      <c r="L66" s="2894" t="s">
        <v>2817</v>
      </c>
      <c r="M66" s="2894" t="s">
        <v>3044</v>
      </c>
      <c r="N66" s="2894" t="s">
        <v>3037</v>
      </c>
      <c r="O66" s="2894">
        <f t="shared" si="0"/>
        <v>835.96565308747404</v>
      </c>
      <c r="P66" s="2894">
        <f t="shared" si="1"/>
        <v>55.731322194382628</v>
      </c>
    </row>
    <row r="67" spans="1:16">
      <c r="A67" s="2894" t="s">
        <v>3178</v>
      </c>
      <c r="B67" s="2894" t="s">
        <v>3023</v>
      </c>
      <c r="C67" s="2894" t="s">
        <v>3024</v>
      </c>
      <c r="D67" s="2894">
        <v>33385.07</v>
      </c>
      <c r="E67" s="2894">
        <v>100155.2</v>
      </c>
      <c r="F67" s="2894" t="s">
        <v>3175</v>
      </c>
      <c r="G67" s="2894" t="s">
        <v>3059</v>
      </c>
      <c r="H67" s="2894" t="s">
        <v>3172</v>
      </c>
      <c r="I67" s="2894" t="s">
        <v>2817</v>
      </c>
      <c r="J67" s="2894">
        <v>2584</v>
      </c>
      <c r="K67" s="2894">
        <v>258</v>
      </c>
      <c r="L67" s="2894" t="s">
        <v>2817</v>
      </c>
      <c r="M67" s="2894" t="s">
        <v>3044</v>
      </c>
      <c r="N67" s="2894" t="s">
        <v>3037</v>
      </c>
      <c r="O67" s="2894">
        <f t="shared" ref="O67:O101" si="2">J67/D67*10000</f>
        <v>773.99867665396539</v>
      </c>
      <c r="P67" s="2894">
        <f t="shared" ref="P67:P101" si="3">J67/(D67/666.67)</f>
        <v>51.600169776489906</v>
      </c>
    </row>
    <row r="68" spans="1:16">
      <c r="A68" s="2894" t="s">
        <v>3170</v>
      </c>
      <c r="B68" s="2894" t="s">
        <v>3023</v>
      </c>
      <c r="C68" s="2894" t="s">
        <v>3024</v>
      </c>
      <c r="D68" s="2894">
        <v>13237.47</v>
      </c>
      <c r="E68" s="2894">
        <v>26474.94</v>
      </c>
      <c r="F68" s="2894" t="s">
        <v>3171</v>
      </c>
      <c r="G68" s="2894" t="s">
        <v>3059</v>
      </c>
      <c r="H68" s="2894" t="s">
        <v>3172</v>
      </c>
      <c r="I68" s="2894" t="s">
        <v>2817</v>
      </c>
      <c r="J68" s="2894">
        <v>695.1</v>
      </c>
      <c r="K68" s="2894">
        <v>262.55</v>
      </c>
      <c r="L68" s="2894" t="s">
        <v>2817</v>
      </c>
      <c r="M68" s="2894" t="s">
        <v>3179</v>
      </c>
      <c r="N68" s="2894" t="s">
        <v>3037</v>
      </c>
      <c r="O68" s="2894">
        <f t="shared" si="2"/>
        <v>525.10034017074258</v>
      </c>
      <c r="P68" s="2894">
        <f t="shared" si="3"/>
        <v>35.006864378162895</v>
      </c>
    </row>
    <row r="69" spans="1:16">
      <c r="A69" s="2894" t="s">
        <v>3180</v>
      </c>
      <c r="B69" s="2894" t="s">
        <v>3023</v>
      </c>
      <c r="C69" s="2894" t="s">
        <v>3024</v>
      </c>
      <c r="D69" s="2894">
        <v>30030.240000000002</v>
      </c>
      <c r="E69" s="2894">
        <v>75075.600000000006</v>
      </c>
      <c r="F69" s="2894" t="s">
        <v>3121</v>
      </c>
      <c r="G69" s="2894" t="s">
        <v>3059</v>
      </c>
      <c r="H69" s="2894" t="s">
        <v>3181</v>
      </c>
      <c r="I69" s="2894" t="s">
        <v>2817</v>
      </c>
      <c r="J69" s="2894">
        <v>2252</v>
      </c>
      <c r="K69" s="2894">
        <v>299.95</v>
      </c>
      <c r="L69" s="2894" t="s">
        <v>2817</v>
      </c>
      <c r="M69" s="2894" t="s">
        <v>3182</v>
      </c>
      <c r="N69" s="2894" t="s">
        <v>3037</v>
      </c>
      <c r="O69" s="2894">
        <f t="shared" si="2"/>
        <v>749.91075662398964</v>
      </c>
      <c r="P69" s="2894">
        <f t="shared" si="3"/>
        <v>49.994300411851512</v>
      </c>
    </row>
    <row r="70" spans="1:16">
      <c r="A70" s="2894" t="s">
        <v>3183</v>
      </c>
      <c r="B70" s="2894" t="s">
        <v>3023</v>
      </c>
      <c r="C70" s="2894" t="s">
        <v>3024</v>
      </c>
      <c r="D70" s="2894">
        <v>19535.34</v>
      </c>
      <c r="E70" s="2894">
        <v>58606.02</v>
      </c>
      <c r="F70" s="2894" t="s">
        <v>3184</v>
      </c>
      <c r="G70" s="2894" t="s">
        <v>3059</v>
      </c>
      <c r="H70" s="2894" t="s">
        <v>3181</v>
      </c>
      <c r="I70" s="2894" t="s">
        <v>2817</v>
      </c>
      <c r="J70" s="2894">
        <v>1612</v>
      </c>
      <c r="K70" s="2894">
        <v>275.06</v>
      </c>
      <c r="L70" s="2894" t="s">
        <v>2817</v>
      </c>
      <c r="M70" s="2894" t="s">
        <v>3123</v>
      </c>
      <c r="N70" s="2894" t="s">
        <v>3033</v>
      </c>
      <c r="O70" s="2894">
        <f t="shared" si="2"/>
        <v>825.17120254881672</v>
      </c>
      <c r="P70" s="2894">
        <f t="shared" si="3"/>
        <v>55.01168856032195</v>
      </c>
    </row>
    <row r="71" spans="1:16">
      <c r="A71" s="2894" t="s">
        <v>3185</v>
      </c>
      <c r="B71" s="2894" t="s">
        <v>3023</v>
      </c>
      <c r="C71" s="2894" t="s">
        <v>3024</v>
      </c>
      <c r="D71" s="2894">
        <v>17918.29</v>
      </c>
      <c r="E71" s="2894">
        <v>14334.63</v>
      </c>
      <c r="F71" s="2894" t="s">
        <v>3186</v>
      </c>
      <c r="G71" s="2894" t="s">
        <v>3059</v>
      </c>
      <c r="H71" s="2894" t="s">
        <v>3187</v>
      </c>
      <c r="I71" s="2894">
        <v>941.07</v>
      </c>
      <c r="J71" s="2894">
        <v>941.07</v>
      </c>
      <c r="K71" s="2894">
        <v>656.5</v>
      </c>
      <c r="L71" s="2894">
        <v>0</v>
      </c>
      <c r="M71" s="2894" t="s">
        <v>3188</v>
      </c>
      <c r="N71" s="2894" t="s">
        <v>3033</v>
      </c>
      <c r="O71" s="2894">
        <f t="shared" si="2"/>
        <v>525.2007864589757</v>
      </c>
      <c r="P71" s="2894">
        <f t="shared" si="3"/>
        <v>35.013560830860534</v>
      </c>
    </row>
    <row r="72" spans="1:16">
      <c r="A72" s="2894" t="s">
        <v>3189</v>
      </c>
      <c r="B72" s="2894" t="s">
        <v>3023</v>
      </c>
      <c r="C72" s="2894" t="s">
        <v>3024</v>
      </c>
      <c r="D72" s="2894">
        <v>17729.59</v>
      </c>
      <c r="E72" s="2894">
        <v>14183.67</v>
      </c>
      <c r="F72" s="2894" t="s">
        <v>3186</v>
      </c>
      <c r="G72" s="2894" t="s">
        <v>3059</v>
      </c>
      <c r="H72" s="2894" t="s">
        <v>3187</v>
      </c>
      <c r="I72" s="2894">
        <v>931.15</v>
      </c>
      <c r="J72" s="2894">
        <v>931.15</v>
      </c>
      <c r="K72" s="2894">
        <v>656.5</v>
      </c>
      <c r="L72" s="2894">
        <v>0</v>
      </c>
      <c r="M72" s="2894" t="s">
        <v>3188</v>
      </c>
      <c r="N72" s="2894" t="s">
        <v>3033</v>
      </c>
      <c r="O72" s="2894">
        <f t="shared" si="2"/>
        <v>525.19545009219053</v>
      </c>
      <c r="P72" s="2894">
        <f t="shared" si="3"/>
        <v>35.013205071296063</v>
      </c>
    </row>
    <row r="73" spans="1:16">
      <c r="A73" s="2894" t="s">
        <v>3190</v>
      </c>
      <c r="B73" s="2894" t="s">
        <v>3023</v>
      </c>
      <c r="C73" s="2894" t="s">
        <v>3024</v>
      </c>
      <c r="D73" s="2894">
        <v>6666.67</v>
      </c>
      <c r="E73" s="2894">
        <v>13333.34</v>
      </c>
      <c r="F73" s="2894" t="s">
        <v>3046</v>
      </c>
      <c r="G73" s="2894" t="s">
        <v>3059</v>
      </c>
      <c r="H73" s="2894" t="s">
        <v>3191</v>
      </c>
      <c r="I73" s="2894" t="s">
        <v>2817</v>
      </c>
      <c r="J73" s="2894">
        <v>456</v>
      </c>
      <c r="K73" s="2894">
        <v>342</v>
      </c>
      <c r="L73" s="2894" t="s">
        <v>2817</v>
      </c>
      <c r="M73" s="2894" t="s">
        <v>3192</v>
      </c>
      <c r="N73" s="2894" t="s">
        <v>3037</v>
      </c>
      <c r="O73" s="2894">
        <f t="shared" si="2"/>
        <v>683.99965800017105</v>
      </c>
      <c r="P73" s="2894">
        <f t="shared" si="3"/>
        <v>45.600205199897395</v>
      </c>
    </row>
    <row r="74" spans="1:16">
      <c r="A74" s="2894" t="s">
        <v>3193</v>
      </c>
      <c r="B74" s="2894" t="s">
        <v>3023</v>
      </c>
      <c r="C74" s="2894" t="s">
        <v>3024</v>
      </c>
      <c r="D74" s="2894">
        <v>16883.509999999998</v>
      </c>
      <c r="E74" s="2894">
        <v>33767.019999999997</v>
      </c>
      <c r="F74" s="2894" t="s">
        <v>3046</v>
      </c>
      <c r="G74" s="2894" t="s">
        <v>3059</v>
      </c>
      <c r="H74" s="2894" t="s">
        <v>3191</v>
      </c>
      <c r="I74" s="2894" t="s">
        <v>2817</v>
      </c>
      <c r="J74" s="2894">
        <v>1124.44</v>
      </c>
      <c r="K74" s="2894">
        <v>333</v>
      </c>
      <c r="L74" s="2894" t="s">
        <v>2817</v>
      </c>
      <c r="M74" s="2894" t="s">
        <v>3194</v>
      </c>
      <c r="N74" s="2894" t="s">
        <v>3037</v>
      </c>
      <c r="O74" s="2894">
        <f t="shared" si="2"/>
        <v>665.99895400897094</v>
      </c>
      <c r="P74" s="2894">
        <f t="shared" si="3"/>
        <v>44.400152266916066</v>
      </c>
    </row>
    <row r="75" spans="1:16">
      <c r="A75" s="2894" t="s">
        <v>3195</v>
      </c>
      <c r="B75" s="2894" t="s">
        <v>3023</v>
      </c>
      <c r="C75" s="2894" t="s">
        <v>3024</v>
      </c>
      <c r="D75" s="2894">
        <v>2424.1</v>
      </c>
      <c r="E75" s="2894">
        <v>1212.05</v>
      </c>
      <c r="F75" s="2894" t="s">
        <v>3156</v>
      </c>
      <c r="G75" s="2894" t="s">
        <v>3026</v>
      </c>
      <c r="H75" s="2894" t="s">
        <v>3196</v>
      </c>
      <c r="I75" s="2894" t="s">
        <v>2817</v>
      </c>
      <c r="J75" s="2894">
        <v>262</v>
      </c>
      <c r="K75" s="2894">
        <v>2161.63</v>
      </c>
      <c r="L75" s="2894" t="s">
        <v>2817</v>
      </c>
      <c r="M75" s="2894" t="s">
        <v>3197</v>
      </c>
      <c r="N75" s="2894" t="s">
        <v>3037</v>
      </c>
      <c r="O75" s="2894">
        <f t="shared" si="2"/>
        <v>1080.8134977929953</v>
      </c>
      <c r="P75" s="2894">
        <f t="shared" si="3"/>
        <v>72.054593457365613</v>
      </c>
    </row>
    <row r="76" spans="1:16">
      <c r="A76" s="2894" t="s">
        <v>3198</v>
      </c>
      <c r="B76" s="2894" t="s">
        <v>3023</v>
      </c>
      <c r="C76" s="2894" t="s">
        <v>3024</v>
      </c>
      <c r="D76" s="2894">
        <v>2360.75</v>
      </c>
      <c r="E76" s="2894">
        <v>1180.3800000000001</v>
      </c>
      <c r="F76" s="2894" t="s">
        <v>3156</v>
      </c>
      <c r="G76" s="2894" t="s">
        <v>3026</v>
      </c>
      <c r="H76" s="2894" t="s">
        <v>3196</v>
      </c>
      <c r="I76" s="2894" t="s">
        <v>2817</v>
      </c>
      <c r="J76" s="2894">
        <v>255</v>
      </c>
      <c r="K76" s="2894">
        <v>2160.3200000000002</v>
      </c>
      <c r="L76" s="2894" t="s">
        <v>2817</v>
      </c>
      <c r="M76" s="2894" t="s">
        <v>3197</v>
      </c>
      <c r="N76" s="2894" t="s">
        <v>3037</v>
      </c>
      <c r="O76" s="2894">
        <f t="shared" si="2"/>
        <v>1080.1652017367362</v>
      </c>
      <c r="P76" s="2894">
        <f t="shared" si="3"/>
        <v>72.011373504182984</v>
      </c>
    </row>
    <row r="77" spans="1:16" s="3198" customFormat="1">
      <c r="A77" s="3198" t="s">
        <v>3199</v>
      </c>
      <c r="B77" s="3198" t="s">
        <v>3023</v>
      </c>
      <c r="C77" s="3198" t="s">
        <v>3024</v>
      </c>
      <c r="D77" s="3198">
        <v>23288.04</v>
      </c>
      <c r="E77" s="3198">
        <v>27945.65</v>
      </c>
      <c r="F77" s="3198" t="s">
        <v>3200</v>
      </c>
      <c r="G77" s="3198" t="s">
        <v>3059</v>
      </c>
      <c r="H77" s="3198" t="s">
        <v>3201</v>
      </c>
      <c r="I77" s="3198" t="s">
        <v>2817</v>
      </c>
      <c r="J77" s="3198">
        <v>2759.63</v>
      </c>
      <c r="K77" s="3198">
        <v>987.5</v>
      </c>
      <c r="L77" s="3198" t="s">
        <v>2817</v>
      </c>
      <c r="M77" s="3198" t="s">
        <v>3202</v>
      </c>
      <c r="N77" s="3198" t="s">
        <v>3037</v>
      </c>
      <c r="O77" s="3198">
        <f t="shared" si="2"/>
        <v>1184.998823430396</v>
      </c>
      <c r="P77" s="3198">
        <f t="shared" si="3"/>
        <v>79.000316561634207</v>
      </c>
    </row>
    <row r="78" spans="1:16">
      <c r="A78" s="2894" t="s">
        <v>3203</v>
      </c>
      <c r="B78" s="2894" t="s">
        <v>3023</v>
      </c>
      <c r="C78" s="2894" t="s">
        <v>3024</v>
      </c>
      <c r="D78" s="2894">
        <v>133350</v>
      </c>
      <c r="E78" s="2894">
        <v>160020</v>
      </c>
      <c r="F78" s="2894" t="s">
        <v>3204</v>
      </c>
      <c r="G78" s="2894" t="s">
        <v>3059</v>
      </c>
      <c r="H78" s="2894" t="s">
        <v>3205</v>
      </c>
      <c r="I78" s="2894" t="s">
        <v>2817</v>
      </c>
      <c r="J78" s="2894">
        <v>5000.63</v>
      </c>
      <c r="K78" s="2894">
        <v>312.5</v>
      </c>
      <c r="L78" s="2894" t="s">
        <v>2817</v>
      </c>
      <c r="M78" s="2894" t="s">
        <v>3206</v>
      </c>
      <c r="N78" s="2894" t="s">
        <v>3033</v>
      </c>
      <c r="O78" s="2894">
        <f t="shared" si="2"/>
        <v>375.00037495313092</v>
      </c>
      <c r="P78" s="2894">
        <f t="shared" si="3"/>
        <v>25.000149997000374</v>
      </c>
    </row>
    <row r="79" spans="1:16">
      <c r="A79" s="2894" t="s">
        <v>3207</v>
      </c>
      <c r="B79" s="2894" t="s">
        <v>3023</v>
      </c>
      <c r="C79" s="2894" t="s">
        <v>3024</v>
      </c>
      <c r="D79" s="2894">
        <v>57328.66</v>
      </c>
      <c r="E79" s="2894">
        <v>57328.66</v>
      </c>
      <c r="F79" s="2894" t="s">
        <v>3035</v>
      </c>
      <c r="G79" s="2894" t="s">
        <v>3059</v>
      </c>
      <c r="H79" s="2894" t="s">
        <v>3208</v>
      </c>
      <c r="I79" s="2894" t="s">
        <v>2817</v>
      </c>
      <c r="J79" s="2894">
        <v>2596.98</v>
      </c>
      <c r="K79" s="2894">
        <v>453</v>
      </c>
      <c r="L79" s="2894" t="s">
        <v>2817</v>
      </c>
      <c r="M79" s="2894" t="s">
        <v>3209</v>
      </c>
      <c r="N79" s="2894" t="s">
        <v>3037</v>
      </c>
      <c r="O79" s="2894">
        <f t="shared" si="2"/>
        <v>452.99855255643513</v>
      </c>
      <c r="P79" s="2894">
        <f t="shared" si="3"/>
        <v>30.200054503279858</v>
      </c>
    </row>
    <row r="80" spans="1:16">
      <c r="A80" s="2894" t="s">
        <v>3210</v>
      </c>
      <c r="B80" s="2894" t="s">
        <v>3023</v>
      </c>
      <c r="C80" s="2894" t="s">
        <v>3024</v>
      </c>
      <c r="D80" s="2894">
        <v>23126</v>
      </c>
      <c r="E80" s="2894">
        <v>46252</v>
      </c>
      <c r="F80" s="2894" t="s">
        <v>3046</v>
      </c>
      <c r="G80" s="2894" t="s">
        <v>3059</v>
      </c>
      <c r="H80" s="2894" t="s">
        <v>3208</v>
      </c>
      <c r="I80" s="2894" t="s">
        <v>2817</v>
      </c>
      <c r="J80" s="2894">
        <v>1539.15</v>
      </c>
      <c r="K80" s="2894">
        <v>332.76</v>
      </c>
      <c r="L80" s="2894" t="s">
        <v>2817</v>
      </c>
      <c r="M80" s="2894" t="s">
        <v>3211</v>
      </c>
      <c r="N80" s="2894" t="s">
        <v>3037</v>
      </c>
      <c r="O80" s="2894">
        <f t="shared" si="2"/>
        <v>665.54959785522794</v>
      </c>
      <c r="P80" s="2894">
        <f t="shared" si="3"/>
        <v>44.370195040214476</v>
      </c>
    </row>
    <row r="81" spans="1:16">
      <c r="A81" s="2894" t="s">
        <v>3062</v>
      </c>
      <c r="B81" s="2894" t="s">
        <v>3023</v>
      </c>
      <c r="C81" s="2894" t="s">
        <v>3024</v>
      </c>
      <c r="D81" s="2894">
        <v>17274.080000000002</v>
      </c>
      <c r="E81" s="2894">
        <v>31093.34</v>
      </c>
      <c r="F81" s="2894" t="s">
        <v>3212</v>
      </c>
      <c r="G81" s="2894" t="s">
        <v>3059</v>
      </c>
      <c r="H81" s="2894" t="s">
        <v>3208</v>
      </c>
      <c r="I81" s="2894" t="s">
        <v>2817</v>
      </c>
      <c r="J81" s="2894">
        <v>1451</v>
      </c>
      <c r="K81" s="2894">
        <v>466.66</v>
      </c>
      <c r="L81" s="2894" t="s">
        <v>2817</v>
      </c>
      <c r="M81" s="2894" t="s">
        <v>3213</v>
      </c>
      <c r="N81" s="2894" t="s">
        <v>3037</v>
      </c>
      <c r="O81" s="2894">
        <f t="shared" si="2"/>
        <v>839.98684734584992</v>
      </c>
      <c r="P81" s="2894">
        <f t="shared" si="3"/>
        <v>55.999403152005769</v>
      </c>
    </row>
    <row r="82" spans="1:16">
      <c r="A82" s="2894" t="s">
        <v>3214</v>
      </c>
      <c r="B82" s="2894" t="s">
        <v>3023</v>
      </c>
      <c r="C82" s="2894" t="s">
        <v>3024</v>
      </c>
      <c r="D82" s="2894">
        <v>4202.82</v>
      </c>
      <c r="E82" s="2894">
        <v>4202.82</v>
      </c>
      <c r="F82" s="2894" t="s">
        <v>3035</v>
      </c>
      <c r="G82" s="2894" t="s">
        <v>3059</v>
      </c>
      <c r="H82" s="2894" t="s">
        <v>3208</v>
      </c>
      <c r="I82" s="2894" t="s">
        <v>2817</v>
      </c>
      <c r="J82" s="2894">
        <v>242.71</v>
      </c>
      <c r="K82" s="2894">
        <v>577.49</v>
      </c>
      <c r="L82" s="2894" t="s">
        <v>2817</v>
      </c>
      <c r="M82" s="2894" t="s">
        <v>3215</v>
      </c>
      <c r="N82" s="2894" t="s">
        <v>3037</v>
      </c>
      <c r="O82" s="2894">
        <f t="shared" si="2"/>
        <v>577.4932069420056</v>
      </c>
      <c r="P82" s="2894">
        <f t="shared" si="3"/>
        <v>38.499739627202693</v>
      </c>
    </row>
    <row r="83" spans="1:16">
      <c r="A83" s="2894" t="s">
        <v>3216</v>
      </c>
      <c r="B83" s="2894" t="s">
        <v>3023</v>
      </c>
      <c r="C83" s="2894" t="s">
        <v>3024</v>
      </c>
      <c r="D83" s="2894">
        <v>43260.19</v>
      </c>
      <c r="E83" s="2894">
        <v>86520.38</v>
      </c>
      <c r="F83" s="2894" t="s">
        <v>3110</v>
      </c>
      <c r="G83" s="2894" t="s">
        <v>3059</v>
      </c>
      <c r="H83" s="2894" t="s">
        <v>3217</v>
      </c>
      <c r="I83" s="2894" t="s">
        <v>2817</v>
      </c>
      <c r="J83" s="2894">
        <v>3088.05</v>
      </c>
      <c r="K83" s="2894">
        <v>356.92</v>
      </c>
      <c r="L83" s="2894" t="s">
        <v>2817</v>
      </c>
      <c r="M83" s="2894" t="s">
        <v>3218</v>
      </c>
      <c r="N83" s="2894" t="s">
        <v>3037</v>
      </c>
      <c r="O83" s="2894">
        <f t="shared" si="2"/>
        <v>713.83181627265162</v>
      </c>
      <c r="P83" s="2894">
        <f t="shared" si="3"/>
        <v>47.589025695448861</v>
      </c>
    </row>
    <row r="84" spans="1:16">
      <c r="A84" s="2894" t="s">
        <v>3219</v>
      </c>
      <c r="B84" s="2894" t="s">
        <v>3023</v>
      </c>
      <c r="C84" s="2894" t="s">
        <v>3024</v>
      </c>
      <c r="D84" s="2894">
        <v>52352.85</v>
      </c>
      <c r="E84" s="2894">
        <v>104705.7</v>
      </c>
      <c r="F84" s="2894" t="s">
        <v>3110</v>
      </c>
      <c r="G84" s="2894" t="s">
        <v>3059</v>
      </c>
      <c r="H84" s="2894" t="s">
        <v>3217</v>
      </c>
      <c r="I84" s="2894" t="s">
        <v>2817</v>
      </c>
      <c r="J84" s="2894">
        <v>3816.51</v>
      </c>
      <c r="K84" s="2894">
        <v>364.5</v>
      </c>
      <c r="L84" s="2894" t="s">
        <v>2817</v>
      </c>
      <c r="M84" s="2894" t="s">
        <v>3218</v>
      </c>
      <c r="N84" s="2894" t="s">
        <v>3037</v>
      </c>
      <c r="O84" s="2894">
        <f t="shared" si="2"/>
        <v>728.99756173732658</v>
      </c>
      <c r="P84" s="2894">
        <f t="shared" si="3"/>
        <v>48.600080448342354</v>
      </c>
    </row>
    <row r="85" spans="1:16">
      <c r="A85" s="2894" t="s">
        <v>3220</v>
      </c>
      <c r="B85" s="2894" t="s">
        <v>3023</v>
      </c>
      <c r="C85" s="2894" t="s">
        <v>3024</v>
      </c>
      <c r="D85" s="2894">
        <v>44713.89</v>
      </c>
      <c r="E85" s="2894">
        <v>67070.83</v>
      </c>
      <c r="F85" s="2894" t="s">
        <v>3150</v>
      </c>
      <c r="G85" s="2894" t="s">
        <v>3059</v>
      </c>
      <c r="H85" s="2894" t="s">
        <v>3221</v>
      </c>
      <c r="I85" s="2894" t="s">
        <v>2817</v>
      </c>
      <c r="J85" s="2894">
        <v>4728.4799999999996</v>
      </c>
      <c r="K85" s="2894">
        <v>705</v>
      </c>
      <c r="L85" s="2894" t="s">
        <v>2817</v>
      </c>
      <c r="M85" s="2894" t="s">
        <v>3222</v>
      </c>
      <c r="N85" s="2894" t="s">
        <v>3033</v>
      </c>
      <c r="O85" s="2894">
        <f t="shared" si="2"/>
        <v>1057.4968986147258</v>
      </c>
      <c r="P85" s="2894">
        <f t="shared" si="3"/>
        <v>70.500145739947911</v>
      </c>
    </row>
    <row r="86" spans="1:16">
      <c r="A86" s="2894" t="s">
        <v>3223</v>
      </c>
      <c r="B86" s="2894" t="s">
        <v>3023</v>
      </c>
      <c r="C86" s="2894" t="s">
        <v>3024</v>
      </c>
      <c r="D86" s="2894">
        <v>4000.2</v>
      </c>
      <c r="E86" s="2894">
        <v>2000.1</v>
      </c>
      <c r="F86" s="2894" t="s">
        <v>3156</v>
      </c>
      <c r="G86" s="2894" t="s">
        <v>3059</v>
      </c>
      <c r="H86" s="2894" t="s">
        <v>3224</v>
      </c>
      <c r="I86" s="2894" t="s">
        <v>2817</v>
      </c>
      <c r="J86" s="2894">
        <v>594.02</v>
      </c>
      <c r="K86" s="2894">
        <v>2970</v>
      </c>
      <c r="L86" s="2894" t="s">
        <v>2817</v>
      </c>
      <c r="M86" s="2894" t="s">
        <v>3225</v>
      </c>
      <c r="N86" s="2894" t="s">
        <v>3037</v>
      </c>
      <c r="O86" s="2894">
        <f t="shared" si="2"/>
        <v>1484.9757512124395</v>
      </c>
      <c r="P86" s="2894">
        <f t="shared" si="3"/>
        <v>98.998878406079697</v>
      </c>
    </row>
    <row r="87" spans="1:16">
      <c r="A87" s="2894" t="s">
        <v>3226</v>
      </c>
      <c r="B87" s="2894" t="s">
        <v>3023</v>
      </c>
      <c r="C87" s="2894" t="s">
        <v>3024</v>
      </c>
      <c r="D87" s="2894">
        <v>1653.04</v>
      </c>
      <c r="E87" s="2894">
        <v>3306.08</v>
      </c>
      <c r="F87" s="2894" t="s">
        <v>3046</v>
      </c>
      <c r="G87" s="2894" t="s">
        <v>3059</v>
      </c>
      <c r="H87" s="2894" t="s">
        <v>3227</v>
      </c>
      <c r="I87" s="2894" t="s">
        <v>2817</v>
      </c>
      <c r="J87" s="2894">
        <v>124</v>
      </c>
      <c r="K87" s="2894">
        <v>375.06</v>
      </c>
      <c r="L87" s="2894" t="s">
        <v>2817</v>
      </c>
      <c r="M87" s="2894" t="s">
        <v>3228</v>
      </c>
      <c r="N87" s="2894" t="s">
        <v>3037</v>
      </c>
      <c r="O87" s="2894">
        <f t="shared" si="2"/>
        <v>750.13308812853893</v>
      </c>
      <c r="P87" s="2894">
        <f t="shared" si="3"/>
        <v>50.009122586265299</v>
      </c>
    </row>
    <row r="88" spans="1:16">
      <c r="A88" s="2894" t="s">
        <v>3229</v>
      </c>
      <c r="B88" s="2894" t="s">
        <v>3023</v>
      </c>
      <c r="C88" s="2894" t="s">
        <v>3024</v>
      </c>
      <c r="D88" s="2894">
        <v>36675.730000000003</v>
      </c>
      <c r="E88" s="2894">
        <v>80686.61</v>
      </c>
      <c r="F88" s="2894" t="s">
        <v>3077</v>
      </c>
      <c r="G88" s="2894" t="s">
        <v>3059</v>
      </c>
      <c r="H88" s="2894" t="s">
        <v>3230</v>
      </c>
      <c r="I88" s="2894" t="s">
        <v>2817</v>
      </c>
      <c r="J88" s="2894">
        <v>2475.61</v>
      </c>
      <c r="K88" s="2894">
        <v>306.81</v>
      </c>
      <c r="L88" s="2894" t="s">
        <v>2817</v>
      </c>
      <c r="M88" s="2894" t="s">
        <v>3231</v>
      </c>
      <c r="N88" s="2894" t="s">
        <v>3037</v>
      </c>
      <c r="O88" s="2894">
        <f t="shared" si="2"/>
        <v>674.99951602871977</v>
      </c>
      <c r="P88" s="2894">
        <f t="shared" si="3"/>
        <v>45.000192735086664</v>
      </c>
    </row>
    <row r="89" spans="1:16">
      <c r="A89" s="2894" t="s">
        <v>3232</v>
      </c>
      <c r="B89" s="2894" t="s">
        <v>3023</v>
      </c>
      <c r="C89" s="2894" t="s">
        <v>3024</v>
      </c>
      <c r="D89" s="2894">
        <v>22761.58</v>
      </c>
      <c r="E89" s="2894">
        <v>68284.740000000005</v>
      </c>
      <c r="F89" s="2894" t="s">
        <v>3025</v>
      </c>
      <c r="G89" s="2894" t="s">
        <v>3059</v>
      </c>
      <c r="H89" s="2894" t="s">
        <v>3233</v>
      </c>
      <c r="I89" s="2894" t="s">
        <v>2817</v>
      </c>
      <c r="J89" s="2894">
        <v>1433.88</v>
      </c>
      <c r="K89" s="2894">
        <v>209.99</v>
      </c>
      <c r="L89" s="2894" t="s">
        <v>2817</v>
      </c>
      <c r="M89" s="2894" t="s">
        <v>3234</v>
      </c>
      <c r="N89" s="2894" t="s">
        <v>3037</v>
      </c>
      <c r="O89" s="2894">
        <f t="shared" si="2"/>
        <v>629.95626841370415</v>
      </c>
      <c r="P89" s="2894">
        <f t="shared" si="3"/>
        <v>41.997294546336413</v>
      </c>
    </row>
    <row r="90" spans="1:16">
      <c r="A90" s="2894" t="s">
        <v>3235</v>
      </c>
      <c r="B90" s="2894" t="s">
        <v>3023</v>
      </c>
      <c r="C90" s="2894" t="s">
        <v>3024</v>
      </c>
      <c r="D90" s="2894">
        <v>3672.36</v>
      </c>
      <c r="E90" s="2894">
        <v>11017.08</v>
      </c>
      <c r="F90" s="2894" t="s">
        <v>3025</v>
      </c>
      <c r="G90" s="2894" t="s">
        <v>3059</v>
      </c>
      <c r="H90" s="2894" t="s">
        <v>3233</v>
      </c>
      <c r="I90" s="2894" t="s">
        <v>2817</v>
      </c>
      <c r="J90" s="2894">
        <v>231.41</v>
      </c>
      <c r="K90" s="2894">
        <v>210.06</v>
      </c>
      <c r="L90" s="2894" t="s">
        <v>2817</v>
      </c>
      <c r="M90" s="2894" t="s">
        <v>3234</v>
      </c>
      <c r="N90" s="2894" t="s">
        <v>3033</v>
      </c>
      <c r="O90" s="2894">
        <f t="shared" si="2"/>
        <v>630.13974664793204</v>
      </c>
      <c r="P90" s="2894">
        <f t="shared" si="3"/>
        <v>42.009526489777684</v>
      </c>
    </row>
    <row r="91" spans="1:16">
      <c r="A91" s="2894" t="s">
        <v>3236</v>
      </c>
      <c r="B91" s="2894" t="s">
        <v>3023</v>
      </c>
      <c r="C91" s="2894" t="s">
        <v>3024</v>
      </c>
      <c r="D91" s="2894">
        <v>20524.96</v>
      </c>
      <c r="E91" s="2894">
        <v>61574.879999999997</v>
      </c>
      <c r="F91" s="2894" t="s">
        <v>3025</v>
      </c>
      <c r="G91" s="2894" t="s">
        <v>3059</v>
      </c>
      <c r="H91" s="2894" t="s">
        <v>3233</v>
      </c>
      <c r="I91" s="2894" t="s">
        <v>2817</v>
      </c>
      <c r="J91" s="2894">
        <v>1293.18</v>
      </c>
      <c r="K91" s="2894">
        <v>210.02</v>
      </c>
      <c r="L91" s="2894" t="s">
        <v>2817</v>
      </c>
      <c r="M91" s="2894" t="s">
        <v>3234</v>
      </c>
      <c r="N91" s="2894" t="s">
        <v>3033</v>
      </c>
      <c r="O91" s="2894">
        <f t="shared" si="2"/>
        <v>630.05238499855784</v>
      </c>
      <c r="P91" s="2894">
        <f t="shared" si="3"/>
        <v>42.003702350698859</v>
      </c>
    </row>
    <row r="92" spans="1:16">
      <c r="A92" s="2894" t="s">
        <v>3237</v>
      </c>
      <c r="B92" s="2894" t="s">
        <v>3023</v>
      </c>
      <c r="C92" s="2894" t="s">
        <v>3024</v>
      </c>
      <c r="D92" s="2894">
        <v>2117.27</v>
      </c>
      <c r="E92" s="2894">
        <v>3175.91</v>
      </c>
      <c r="F92" s="2894" t="s">
        <v>3031</v>
      </c>
      <c r="G92" s="2894" t="s">
        <v>3059</v>
      </c>
      <c r="H92" s="2894" t="s">
        <v>3238</v>
      </c>
      <c r="I92" s="2894" t="s">
        <v>2817</v>
      </c>
      <c r="J92" s="2894">
        <v>122.26</v>
      </c>
      <c r="K92" s="2894">
        <v>384.99</v>
      </c>
      <c r="L92" s="2894" t="s">
        <v>2817</v>
      </c>
      <c r="M92" s="2894" t="s">
        <v>3239</v>
      </c>
      <c r="N92" s="2894" t="s">
        <v>3037</v>
      </c>
      <c r="O92" s="2894">
        <f t="shared" si="2"/>
        <v>577.44170559257918</v>
      </c>
      <c r="P92" s="2894">
        <f t="shared" si="3"/>
        <v>38.496306186740476</v>
      </c>
    </row>
    <row r="93" spans="1:16">
      <c r="A93" s="2894" t="s">
        <v>3240</v>
      </c>
      <c r="B93" s="2894" t="s">
        <v>3023</v>
      </c>
      <c r="C93" s="2894" t="s">
        <v>3024</v>
      </c>
      <c r="D93" s="2894">
        <v>66675.539999999994</v>
      </c>
      <c r="E93" s="2894">
        <v>100013.3</v>
      </c>
      <c r="F93" s="2894" t="s">
        <v>3031</v>
      </c>
      <c r="G93" s="2894" t="s">
        <v>3059</v>
      </c>
      <c r="H93" s="2894" t="s">
        <v>3241</v>
      </c>
      <c r="I93" s="2894" t="s">
        <v>2817</v>
      </c>
      <c r="J93" s="2894">
        <v>2880.38</v>
      </c>
      <c r="K93" s="2894">
        <v>288</v>
      </c>
      <c r="L93" s="2894" t="s">
        <v>2817</v>
      </c>
      <c r="M93" s="2894" t="s">
        <v>3242</v>
      </c>
      <c r="N93" s="2894" t="s">
        <v>3033</v>
      </c>
      <c r="O93" s="2894">
        <f t="shared" si="2"/>
        <v>431.99950086643469</v>
      </c>
      <c r="P93" s="2894">
        <f t="shared" si="3"/>
        <v>28.800110724262602</v>
      </c>
    </row>
    <row r="94" spans="1:16">
      <c r="A94" s="2894" t="s">
        <v>3240</v>
      </c>
      <c r="B94" s="2894" t="s">
        <v>3023</v>
      </c>
      <c r="C94" s="2894" t="s">
        <v>3024</v>
      </c>
      <c r="D94" s="2894">
        <v>61815.58</v>
      </c>
      <c r="E94" s="2894">
        <v>92723.37</v>
      </c>
      <c r="F94" s="2894" t="s">
        <v>3031</v>
      </c>
      <c r="G94" s="2894" t="s">
        <v>3059</v>
      </c>
      <c r="H94" s="2894" t="s">
        <v>3241</v>
      </c>
      <c r="I94" s="2894" t="s">
        <v>2817</v>
      </c>
      <c r="J94" s="2894">
        <v>2670.42</v>
      </c>
      <c r="K94" s="2894">
        <v>288</v>
      </c>
      <c r="L94" s="2894" t="s">
        <v>2817</v>
      </c>
      <c r="M94" s="2894" t="s">
        <v>3242</v>
      </c>
      <c r="N94" s="2894" t="s">
        <v>3033</v>
      </c>
      <c r="O94" s="2894">
        <f t="shared" si="2"/>
        <v>431.99788791110592</v>
      </c>
      <c r="P94" s="2894">
        <f t="shared" si="3"/>
        <v>28.800003193369697</v>
      </c>
    </row>
    <row r="95" spans="1:16">
      <c r="A95" s="2894" t="s">
        <v>3240</v>
      </c>
      <c r="B95" s="2894" t="s">
        <v>3023</v>
      </c>
      <c r="C95" s="2894" t="s">
        <v>3024</v>
      </c>
      <c r="D95" s="2894">
        <v>66523.100000000006</v>
      </c>
      <c r="E95" s="2894">
        <v>99784.65</v>
      </c>
      <c r="F95" s="2894" t="s">
        <v>3031</v>
      </c>
      <c r="G95" s="2894" t="s">
        <v>3059</v>
      </c>
      <c r="H95" s="2894" t="s">
        <v>3241</v>
      </c>
      <c r="I95" s="2894" t="s">
        <v>2817</v>
      </c>
      <c r="J95" s="2894">
        <v>2873.8</v>
      </c>
      <c r="K95" s="2894">
        <v>288</v>
      </c>
      <c r="L95" s="2894" t="s">
        <v>2817</v>
      </c>
      <c r="M95" s="2894" t="s">
        <v>3242</v>
      </c>
      <c r="N95" s="2894" t="s">
        <v>3033</v>
      </c>
      <c r="O95" s="2894">
        <f t="shared" si="2"/>
        <v>432.00031267334202</v>
      </c>
      <c r="P95" s="2894">
        <f t="shared" si="3"/>
        <v>28.800164844993692</v>
      </c>
    </row>
    <row r="96" spans="1:16">
      <c r="A96" s="2894" t="s">
        <v>3240</v>
      </c>
      <c r="B96" s="2894" t="s">
        <v>3023</v>
      </c>
      <c r="C96" s="2894" t="s">
        <v>3024</v>
      </c>
      <c r="D96" s="2894">
        <v>67709.16</v>
      </c>
      <c r="E96" s="2894">
        <v>101563.7</v>
      </c>
      <c r="F96" s="2894" t="s">
        <v>3031</v>
      </c>
      <c r="G96" s="2894" t="s">
        <v>3059</v>
      </c>
      <c r="H96" s="2894" t="s">
        <v>3241</v>
      </c>
      <c r="I96" s="2894" t="s">
        <v>2817</v>
      </c>
      <c r="J96" s="2894">
        <v>2925.03</v>
      </c>
      <c r="K96" s="2894">
        <v>288</v>
      </c>
      <c r="L96" s="2894" t="s">
        <v>2817</v>
      </c>
      <c r="M96" s="2894" t="s">
        <v>3242</v>
      </c>
      <c r="N96" s="2894" t="s">
        <v>3033</v>
      </c>
      <c r="O96" s="2894">
        <f t="shared" si="2"/>
        <v>431.99915639183831</v>
      </c>
      <c r="P96" s="2894">
        <f t="shared" si="3"/>
        <v>28.80008775917468</v>
      </c>
    </row>
    <row r="97" spans="1:16">
      <c r="A97" s="2894" t="s">
        <v>3240</v>
      </c>
      <c r="B97" s="2894" t="s">
        <v>3023</v>
      </c>
      <c r="C97" s="2894" t="s">
        <v>3024</v>
      </c>
      <c r="D97" s="2894">
        <v>51588.97</v>
      </c>
      <c r="E97" s="2894">
        <v>77383.460000000006</v>
      </c>
      <c r="F97" s="2894" t="s">
        <v>3031</v>
      </c>
      <c r="G97" s="2894" t="s">
        <v>3059</v>
      </c>
      <c r="H97" s="2894" t="s">
        <v>3241</v>
      </c>
      <c r="I97" s="2894" t="s">
        <v>2817</v>
      </c>
      <c r="J97" s="2894">
        <v>2228.63</v>
      </c>
      <c r="K97" s="2894">
        <v>288</v>
      </c>
      <c r="L97" s="2894" t="s">
        <v>2817</v>
      </c>
      <c r="M97" s="2894" t="s">
        <v>3242</v>
      </c>
      <c r="N97" s="2894" t="s">
        <v>3033</v>
      </c>
      <c r="O97" s="2894">
        <f t="shared" si="2"/>
        <v>431.99738238619614</v>
      </c>
      <c r="P97" s="2894">
        <f t="shared" si="3"/>
        <v>28.799969491540537</v>
      </c>
    </row>
    <row r="98" spans="1:16">
      <c r="A98" s="2894" t="s">
        <v>3240</v>
      </c>
      <c r="B98" s="2894" t="s">
        <v>3023</v>
      </c>
      <c r="C98" s="2894" t="s">
        <v>3024</v>
      </c>
      <c r="D98" s="2894">
        <v>60573.01</v>
      </c>
      <c r="E98" s="2894">
        <v>90859.520000000004</v>
      </c>
      <c r="F98" s="2894" t="s">
        <v>3031</v>
      </c>
      <c r="G98" s="2894" t="s">
        <v>3059</v>
      </c>
      <c r="H98" s="2894" t="s">
        <v>3241</v>
      </c>
      <c r="I98" s="2894" t="s">
        <v>2817</v>
      </c>
      <c r="J98" s="2894">
        <v>2616.75</v>
      </c>
      <c r="K98" s="2894">
        <v>288</v>
      </c>
      <c r="L98" s="2894" t="s">
        <v>2817</v>
      </c>
      <c r="M98" s="2894" t="s">
        <v>3242</v>
      </c>
      <c r="N98" s="2894" t="s">
        <v>3033</v>
      </c>
      <c r="O98" s="2894">
        <f t="shared" si="2"/>
        <v>431.9993343570016</v>
      </c>
      <c r="P98" s="2894">
        <f t="shared" si="3"/>
        <v>28.80009962357822</v>
      </c>
    </row>
    <row r="99" spans="1:16">
      <c r="A99" s="2894" t="s">
        <v>3240</v>
      </c>
      <c r="B99" s="2894" t="s">
        <v>3023</v>
      </c>
      <c r="C99" s="2894" t="s">
        <v>3024</v>
      </c>
      <c r="D99" s="2894">
        <v>67028.61</v>
      </c>
      <c r="E99" s="2894">
        <v>100542.9</v>
      </c>
      <c r="F99" s="2894" t="s">
        <v>3031</v>
      </c>
      <c r="G99" s="2894" t="s">
        <v>3059</v>
      </c>
      <c r="H99" s="2894" t="s">
        <v>3241</v>
      </c>
      <c r="I99" s="2894" t="s">
        <v>2817</v>
      </c>
      <c r="J99" s="2894">
        <v>2895.63</v>
      </c>
      <c r="K99" s="2894">
        <v>288</v>
      </c>
      <c r="L99" s="2894" t="s">
        <v>2817</v>
      </c>
      <c r="M99" s="2894" t="s">
        <v>3242</v>
      </c>
      <c r="N99" s="2894" t="s">
        <v>3033</v>
      </c>
      <c r="O99" s="2894">
        <f t="shared" si="2"/>
        <v>431.99911202097138</v>
      </c>
      <c r="P99" s="2894">
        <f t="shared" si="3"/>
        <v>28.800084801102098</v>
      </c>
    </row>
    <row r="100" spans="1:16">
      <c r="A100" s="2894" t="s">
        <v>3240</v>
      </c>
      <c r="B100" s="2894" t="s">
        <v>3023</v>
      </c>
      <c r="C100" s="2894" t="s">
        <v>3024</v>
      </c>
      <c r="D100" s="2894">
        <v>54274.64</v>
      </c>
      <c r="E100" s="2894">
        <v>81411.960000000006</v>
      </c>
      <c r="F100" s="2894" t="s">
        <v>3031</v>
      </c>
      <c r="G100" s="2894" t="s">
        <v>3059</v>
      </c>
      <c r="H100" s="2894" t="s">
        <v>3241</v>
      </c>
      <c r="I100" s="2894" t="s">
        <v>2817</v>
      </c>
      <c r="J100" s="2894">
        <v>2344.67</v>
      </c>
      <c r="K100" s="2894">
        <v>288</v>
      </c>
      <c r="L100" s="2894" t="s">
        <v>2817</v>
      </c>
      <c r="M100" s="2894" t="s">
        <v>3242</v>
      </c>
      <c r="N100" s="2894" t="s">
        <v>3033</v>
      </c>
      <c r="O100" s="2894">
        <f t="shared" si="2"/>
        <v>432.00102294552306</v>
      </c>
      <c r="P100" s="2894">
        <f t="shared" si="3"/>
        <v>28.800212196709182</v>
      </c>
    </row>
    <row r="101" spans="1:16">
      <c r="A101" s="2894" t="s">
        <v>3243</v>
      </c>
      <c r="B101" s="2894" t="s">
        <v>3023</v>
      </c>
      <c r="C101" s="2894" t="s">
        <v>3024</v>
      </c>
      <c r="D101" s="2894">
        <v>13907.69</v>
      </c>
      <c r="E101" s="2894">
        <v>27815.38</v>
      </c>
      <c r="F101" s="2894" t="s">
        <v>3110</v>
      </c>
      <c r="G101" s="2894" t="s">
        <v>3059</v>
      </c>
      <c r="H101" s="2894" t="s">
        <v>3244</v>
      </c>
      <c r="I101" s="2894" t="s">
        <v>2817</v>
      </c>
      <c r="J101" s="2894">
        <v>1470.74</v>
      </c>
      <c r="K101" s="2894">
        <v>528.75</v>
      </c>
      <c r="L101" s="2894" t="s">
        <v>2817</v>
      </c>
      <c r="M101" s="2894" t="s">
        <v>3245</v>
      </c>
      <c r="N101" s="2894" t="s">
        <v>3037</v>
      </c>
      <c r="O101" s="2894">
        <f t="shared" si="2"/>
        <v>1057.5012816650355</v>
      </c>
      <c r="P101" s="2894">
        <f t="shared" si="3"/>
        <v>70.500437944762936</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3" sqref="B33: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01" t="str">
        <f>项目基本情况!B1</f>
        <v>出让国有建设用地使用权抵押价格预评估</v>
      </c>
      <c r="C37" s="3201"/>
      <c r="D37" s="3201"/>
      <c r="E37" s="3201"/>
      <c r="F37" s="3201"/>
      <c r="G37" s="3201"/>
      <c r="H37" s="3201"/>
      <c r="I37" s="3201"/>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ht="12.75">
      <c r="B46" s="1639" t="str">
        <f>项目基本情况!K4</f>
        <v>土地估价师、土地估价师</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26" sqref="I2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t="s">
        <v>2998</v>
      </c>
      <c r="C1" s="2089"/>
      <c r="D1" s="2089"/>
      <c r="E1" s="2089"/>
      <c r="F1" s="2089"/>
      <c r="G1" s="2089"/>
      <c r="H1" s="2089"/>
      <c r="I1" s="2089"/>
      <c r="J1" s="2089"/>
      <c r="K1" s="421">
        <f>MATCH(B1,'数据-取费表'!A6:A16,0)+5</f>
        <v>6</v>
      </c>
    </row>
    <row r="2" spans="1:31" s="2026" customFormat="1" ht="18" customHeight="1">
      <c r="A2" s="2086" t="s">
        <v>467</v>
      </c>
      <c r="B2" s="2090">
        <f ca="1">C36</f>
        <v>5948</v>
      </c>
      <c r="C2" s="2089"/>
      <c r="D2" s="2089"/>
      <c r="E2" s="2089"/>
      <c r="F2" s="2089"/>
      <c r="G2" s="2089"/>
      <c r="H2" s="2089"/>
      <c r="I2" s="2089"/>
      <c r="J2" s="2089"/>
      <c r="K2" s="2089"/>
    </row>
    <row r="3" spans="1:31" s="2026" customFormat="1" ht="18" customHeight="1">
      <c r="A3" s="2091" t="s">
        <v>1683</v>
      </c>
      <c r="B3" s="2092">
        <f ca="1">ROUND(B2*10000/IF(B1="",'数据-汇总表'!E3,INDIRECT("'数据-取费表'!K"&amp;$K$1)),0)</f>
        <v>641</v>
      </c>
      <c r="C3" s="2089"/>
      <c r="D3" s="2089"/>
      <c r="E3" s="2089"/>
      <c r="F3" s="2089"/>
      <c r="G3" s="2089"/>
      <c r="H3" s="2089"/>
      <c r="I3" s="2089"/>
      <c r="J3" s="2089"/>
      <c r="K3" s="2089"/>
    </row>
    <row r="4" spans="1:31" s="2026" customFormat="1" ht="18" customHeight="1">
      <c r="A4" s="425" t="s">
        <v>468</v>
      </c>
      <c r="B4" s="426">
        <f ca="1">ROUND(B2*10000/IF(B1="",'数据-汇总表'!D3,INDIRECT("'数据-取费表'!R"&amp;$K$1)),0)</f>
        <v>962</v>
      </c>
      <c r="C4" s="427"/>
      <c r="D4" s="421"/>
      <c r="E4" s="421"/>
      <c r="F4" s="421"/>
      <c r="G4" s="421"/>
      <c r="H4" s="421"/>
      <c r="I4" s="421"/>
      <c r="J4" s="421"/>
      <c r="K4" s="421"/>
    </row>
    <row r="5" spans="1:31" s="2026" customFormat="1" ht="18" customHeight="1" thickBot="1">
      <c r="A5" s="428"/>
      <c r="B5" s="429">
        <f ca="1">ROUND(B2/(IF(B1="",'数据-汇总表'!D3,INDIRECT("'数据-取费表'!R"&amp;$K$1))/666.67),0)</f>
        <v>64</v>
      </c>
      <c r="C5" s="430" t="s">
        <v>469</v>
      </c>
      <c r="D5" s="421"/>
      <c r="E5" s="421"/>
      <c r="F5" s="421"/>
      <c r="G5" s="421"/>
      <c r="H5" s="421"/>
      <c r="I5" s="421"/>
      <c r="J5" s="421"/>
      <c r="K5" s="421"/>
    </row>
    <row r="6" spans="1:31" s="2096" customFormat="1" ht="16.5" customHeight="1">
      <c r="A6" s="2783" t="s">
        <v>1841</v>
      </c>
      <c r="B6" s="2784"/>
      <c r="C6" s="2785">
        <f ca="1">SUM(C10:K10)</f>
        <v>50709</v>
      </c>
      <c r="D6" s="2784"/>
      <c r="E6" s="2784"/>
      <c r="F6" s="2784"/>
      <c r="G6" s="2784"/>
      <c r="H6" s="2784"/>
      <c r="I6" s="2784"/>
      <c r="J6" s="2784"/>
      <c r="K6" s="2786"/>
    </row>
    <row r="7" spans="1:31" s="2098" customFormat="1" ht="15">
      <c r="A7" s="2787" t="s">
        <v>470</v>
      </c>
      <c r="B7" s="2788" t="s">
        <v>471</v>
      </c>
      <c r="C7" s="435" t="s">
        <v>2998</v>
      </c>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1844</v>
      </c>
      <c r="B8" s="260" t="s">
        <v>472</v>
      </c>
      <c r="C8" s="2789">
        <f ca="1">不动产收益法!B3</f>
        <v>5469</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1845</v>
      </c>
      <c r="B9" s="260" t="s">
        <v>473</v>
      </c>
      <c r="C9" s="440">
        <f>SUMIF('数据-汇总表'!$C19:$C33,'剩余法-待开发'!C7,'数据-汇总表'!$E19:$E33)</f>
        <v>92723.37</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1">
        <f ca="1">不动产收益法!B2</f>
        <v>50709</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49">
        <f ca="1">IF(B1="",'数据-取费表'!P16,INDIRECT("'数据-取费表'!p"&amp;$K$1)+INDIRECT("'数据-取费表'!t"&amp;$K$1))</f>
        <v>25035</v>
      </c>
      <c r="D13" s="2799"/>
      <c r="E13" s="2800"/>
      <c r="F13" s="2801"/>
      <c r="G13" s="2767"/>
      <c r="H13" s="2768"/>
      <c r="I13" s="2768"/>
      <c r="J13" s="2768"/>
      <c r="K13" s="2769"/>
    </row>
    <row r="14" spans="1:31" s="2101" customFormat="1" ht="13.5" customHeight="1">
      <c r="A14" s="2797" t="s">
        <v>1848</v>
      </c>
      <c r="B14" s="2798" t="s">
        <v>480</v>
      </c>
      <c r="C14" s="53">
        <f ca="1">ROUND(C13*F14,0)</f>
        <v>1252</v>
      </c>
      <c r="D14" s="2799"/>
      <c r="E14" s="2800"/>
      <c r="F14" s="2802">
        <f>'数据-取费表'!B33</f>
        <v>0.05</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1850</v>
      </c>
      <c r="B16" s="2798" t="s">
        <v>484</v>
      </c>
      <c r="C16" s="53">
        <f ca="1">ROUND(D16*E16/10000,0)</f>
        <v>1854</v>
      </c>
      <c r="D16" s="2799">
        <f ca="1">IF(B1="",'数据-汇总表'!E3,INDIRECT("'数据-取费表'!K"&amp;$K$1)+INDIRECT("'数据-取费表'!S"&amp;$K$1))</f>
        <v>92723.37</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376</v>
      </c>
      <c r="D17" s="474"/>
      <c r="E17" s="2803"/>
      <c r="F17" s="2804">
        <f>'数据-取费表'!B36</f>
        <v>1.4999999999999999E-2</v>
      </c>
      <c r="G17" s="260" t="s">
        <v>486</v>
      </c>
      <c r="H17" s="2770"/>
      <c r="I17" s="2770"/>
      <c r="J17" s="2770"/>
      <c r="K17" s="278"/>
    </row>
    <row r="18" spans="1:14" s="2101" customFormat="1" ht="13.5" customHeight="1">
      <c r="A18" s="2805" t="s">
        <v>1852</v>
      </c>
      <c r="B18" s="2806" t="s">
        <v>487</v>
      </c>
      <c r="C18" s="2807">
        <f ca="1">SUM(C13:C17)</f>
        <v>28517</v>
      </c>
      <c r="D18" s="2808"/>
      <c r="E18" s="467"/>
      <c r="F18" s="467"/>
      <c r="G18" s="2771" t="s">
        <v>2429</v>
      </c>
      <c r="H18" s="2772"/>
      <c r="I18" s="2772"/>
      <c r="J18" s="2772"/>
      <c r="K18" s="2773"/>
    </row>
    <row r="19" spans="1:14" s="2101" customFormat="1" ht="13.5" customHeight="1">
      <c r="A19" s="2805" t="s">
        <v>1853</v>
      </c>
      <c r="B19" s="2806" t="s">
        <v>488</v>
      </c>
      <c r="C19" s="2763">
        <f ca="1">ROUND(D19*E19/10000,0)</f>
        <v>927</v>
      </c>
      <c r="D19" s="2809">
        <f ca="1">D16</f>
        <v>92723.37</v>
      </c>
      <c r="E19" s="2763">
        <f>'数据-取费表'!B32</f>
        <v>100</v>
      </c>
      <c r="F19" s="467"/>
      <c r="G19" s="2767" t="s">
        <v>489</v>
      </c>
      <c r="H19" s="2768"/>
      <c r="I19" s="2772"/>
      <c r="J19" s="2772"/>
      <c r="K19" s="2773"/>
    </row>
    <row r="20" spans="1:14" s="2101" customFormat="1" ht="13.5" customHeight="1">
      <c r="A20" s="2805" t="s">
        <v>1854</v>
      </c>
      <c r="B20" s="2806" t="s">
        <v>490</v>
      </c>
      <c r="C20" s="2763">
        <f ca="1">C21+C22-IF(B1="",'数据-取费表'!B29,IF(G20="已全部缴纳",C21+C22,H20))</f>
        <v>556</v>
      </c>
      <c r="D20" s="2809"/>
      <c r="E20" s="2763"/>
      <c r="F20" s="2810"/>
      <c r="G20" s="3040"/>
      <c r="H20" s="2765"/>
      <c r="I20" s="2766" t="s">
        <v>2650</v>
      </c>
      <c r="J20" s="2772"/>
      <c r="K20" s="2773"/>
    </row>
    <row r="21" spans="1:14" s="2101" customFormat="1" ht="13.5" customHeight="1">
      <c r="A21" s="2797" t="s">
        <v>1855</v>
      </c>
      <c r="B21" s="2798" t="s">
        <v>491</v>
      </c>
      <c r="C21" s="53">
        <f ca="1">ROUND(D21*E21/10000,0)</f>
        <v>0</v>
      </c>
      <c r="D21" s="2799">
        <f ca="1">IF(B1="",'数据-汇总表'!E5,IF(INDIRECT("'数据-取费表'!c"&amp;$K$1)="住宅",INDIRECT("'数据-取费表'!k"&amp;$K$1),0))</f>
        <v>0</v>
      </c>
      <c r="E21" s="53">
        <f>'数据-取费表'!B27</f>
        <v>90</v>
      </c>
      <c r="F21" s="2802"/>
      <c r="G21" s="26"/>
      <c r="H21" s="51"/>
      <c r="I21" s="51"/>
      <c r="J21" s="51"/>
      <c r="K21" s="2774"/>
    </row>
    <row r="22" spans="1:14" s="2101" customFormat="1" ht="13.5" customHeight="1">
      <c r="A22" s="2797" t="s">
        <v>1856</v>
      </c>
      <c r="B22" s="2798" t="s">
        <v>492</v>
      </c>
      <c r="C22" s="53">
        <f ca="1">ROUND(D22*E22/10000,0)</f>
        <v>556</v>
      </c>
      <c r="D22" s="2799">
        <f ca="1">IF(B1="",'数据-汇总表'!E6,IF(INDIRECT("'数据-取费表'!c"&amp;$K$1)="住宅",INDIRECT("'数据-取费表'!s"&amp;$K$1),INDIRECT("'数据-取费表'!k"&amp;$K$1)+INDIRECT("'数据-取费表'!s"&amp;$K$1)))</f>
        <v>92723.37</v>
      </c>
      <c r="E22" s="53">
        <f>'数据-取费表'!B28</f>
        <v>60</v>
      </c>
      <c r="F22" s="2802"/>
      <c r="G22" s="26"/>
      <c r="H22" s="51"/>
      <c r="I22" s="51"/>
      <c r="J22" s="51"/>
      <c r="K22" s="2774"/>
    </row>
    <row r="23" spans="1:14" s="2101" customFormat="1" ht="13.5" customHeight="1">
      <c r="A23" s="2805" t="s">
        <v>1857</v>
      </c>
      <c r="B23" s="2987" t="s">
        <v>2833</v>
      </c>
      <c r="C23" s="2807">
        <f ca="1">ROUND((C18+C19+C20)*F23,0)</f>
        <v>450</v>
      </c>
      <c r="D23" s="467"/>
      <c r="E23" s="467"/>
      <c r="F23" s="2811">
        <f>'数据-取费表'!B37</f>
        <v>1.4999999999999999E-2</v>
      </c>
      <c r="G23" s="2767" t="s">
        <v>2430</v>
      </c>
      <c r="H23" s="2768"/>
      <c r="I23" s="2768"/>
      <c r="J23" s="2768"/>
      <c r="K23" s="2769"/>
      <c r="L23" s="2103"/>
      <c r="M23" s="2103"/>
      <c r="N23" s="2103"/>
    </row>
    <row r="24" spans="1:14" s="2101" customFormat="1" ht="13.5" customHeight="1">
      <c r="A24" s="2805" t="s">
        <v>1858</v>
      </c>
      <c r="B24" s="2987" t="s">
        <v>2836</v>
      </c>
      <c r="C24" s="2807">
        <f ca="1">ROUND(C6*F24,0)</f>
        <v>1268</v>
      </c>
      <c r="D24" s="474"/>
      <c r="E24" s="472"/>
      <c r="F24" s="2811">
        <f>'数据-取费表'!B38</f>
        <v>2.5000000000000001E-2</v>
      </c>
      <c r="G24" s="2776" t="s">
        <v>499</v>
      </c>
      <c r="H24" s="2770"/>
      <c r="I24" s="2770"/>
      <c r="J24" s="2770"/>
      <c r="K24" s="278"/>
      <c r="L24" s="2103"/>
      <c r="M24" s="2103"/>
      <c r="N24" s="2103"/>
    </row>
    <row r="25" spans="1:14" s="2104" customFormat="1" ht="13.5" customHeight="1">
      <c r="A25" s="2805" t="s">
        <v>1859</v>
      </c>
      <c r="B25" s="2987" t="s">
        <v>2834</v>
      </c>
      <c r="C25" s="466">
        <f>ROUND(F25/(1+'数据-取费表'!C42),4)</f>
        <v>2.9000000000000001E-2</v>
      </c>
      <c r="D25" s="461" t="s">
        <v>2828</v>
      </c>
      <c r="E25" s="468"/>
      <c r="F25" s="2811">
        <f>IF(项目基本情况!B8="出让",0,'数据-取费表'!B48+'数据-取费表'!B49)</f>
        <v>3.0499999999999999E-2</v>
      </c>
      <c r="G25" s="2775" t="s">
        <v>2288</v>
      </c>
      <c r="H25" s="2768"/>
      <c r="I25" s="2768"/>
      <c r="J25" s="2768"/>
      <c r="K25" s="2769"/>
    </row>
    <row r="26" spans="1:14" s="2103" customFormat="1" ht="13.5" customHeight="1">
      <c r="A26" s="2805" t="s">
        <v>1860</v>
      </c>
      <c r="B26" s="2988" t="s">
        <v>2835</v>
      </c>
      <c r="C26" s="2812">
        <f ca="1">C28</f>
        <v>1894</v>
      </c>
      <c r="D26" s="466">
        <f ca="1">C27</f>
        <v>0.12659999999999999</v>
      </c>
      <c r="E26" s="468" t="s">
        <v>495</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1855</v>
      </c>
      <c r="B27" s="2813" t="s">
        <v>496</v>
      </c>
      <c r="C27" s="2814">
        <f ca="1">ROUND(IF('数据-取费表'!B22&lt;=1,(1+C25)*F26*'数据-取费表'!B24,(1+C25)*(POWER((1+F26),'数据-取费表'!B24)-1)),4)</f>
        <v>0.12659999999999999</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1856</v>
      </c>
      <c r="B28" s="2813" t="s">
        <v>2837</v>
      </c>
      <c r="C28" s="2815">
        <f ca="1">ROUND(IF('数据-取费表'!B22&lt;=1,(C18+C19+C20+C23+C24)*F26*'数据-取费表'!B24/2,(C18+C19+C20+C23+C24)*(POWER((1+F26),'数据-取费表'!B24/2)-1)),0)</f>
        <v>1894</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1861</v>
      </c>
      <c r="B29" s="2806" t="s">
        <v>497</v>
      </c>
      <c r="C29" s="2807">
        <f ca="1">ROUND(C6*F29/(1+'数据-取费表'!C42),0)</f>
        <v>2656</v>
      </c>
      <c r="D29" s="467"/>
      <c r="E29" s="467"/>
      <c r="F29" s="2989">
        <f>'数据-取费表'!B41</f>
        <v>5.5000000000000007E-2</v>
      </c>
      <c r="G29" s="2776" t="s">
        <v>498</v>
      </c>
      <c r="H29" s="2768"/>
      <c r="I29" s="2768"/>
      <c r="J29" s="2768"/>
      <c r="K29" s="2769"/>
    </row>
    <row r="30" spans="1:14" s="2106" customFormat="1" ht="13.5" customHeight="1">
      <c r="A30" s="1620" t="s">
        <v>1862</v>
      </c>
      <c r="B30" s="2817" t="s">
        <v>500</v>
      </c>
      <c r="C30" s="2812">
        <f ca="1">C31</f>
        <v>36268</v>
      </c>
      <c r="D30" s="476">
        <f ca="1">C32</f>
        <v>0.15559999999999999</v>
      </c>
      <c r="E30" s="468" t="s">
        <v>495</v>
      </c>
      <c r="F30" s="470"/>
      <c r="G30" s="2775" t="s">
        <v>2972</v>
      </c>
      <c r="H30" s="2768"/>
      <c r="I30" s="2768"/>
      <c r="J30" s="2768"/>
      <c r="K30" s="2769"/>
    </row>
    <row r="31" spans="1:14" s="2105" customFormat="1" ht="13.5" customHeight="1">
      <c r="A31" s="802" t="s">
        <v>1855</v>
      </c>
      <c r="B31" s="2813"/>
      <c r="C31" s="449">
        <f ca="1">C18+C19+C20+C23+C24+C26+C29</f>
        <v>36268</v>
      </c>
      <c r="D31" s="471"/>
      <c r="E31" s="472"/>
      <c r="F31" s="473"/>
      <c r="G31" s="260"/>
      <c r="H31" s="2770"/>
      <c r="I31" s="2770"/>
      <c r="J31" s="2770"/>
      <c r="K31" s="278"/>
    </row>
    <row r="32" spans="1:14" s="2105" customFormat="1" ht="13.5" customHeight="1">
      <c r="A32" s="802" t="s">
        <v>1856</v>
      </c>
      <c r="B32" s="2813"/>
      <c r="C32" s="53">
        <f ca="1">ROUND(C25+D26,4)</f>
        <v>0.15559999999999999</v>
      </c>
      <c r="D32" s="471"/>
      <c r="E32" s="472"/>
      <c r="F32" s="473"/>
      <c r="G32" s="260"/>
      <c r="H32" s="2770"/>
      <c r="I32" s="2770"/>
      <c r="J32" s="2770"/>
      <c r="K32" s="278"/>
    </row>
    <row r="33" spans="1:11" s="2107" customFormat="1" ht="13.5" customHeight="1">
      <c r="A33" s="2986" t="s">
        <v>2832</v>
      </c>
      <c r="B33" s="2984" t="s">
        <v>2830</v>
      </c>
      <c r="C33" s="477">
        <f ca="1">C35</f>
        <v>6344</v>
      </c>
      <c r="D33" s="466">
        <f ca="1">C34</f>
        <v>0.20580000000000001</v>
      </c>
      <c r="E33" s="468" t="s">
        <v>495</v>
      </c>
      <c r="F33" s="478">
        <f ca="1">IF(B1="",'数据-取费表'!Q16,INDIRECT("'数据-取费表'!q"&amp;$K$1))</f>
        <v>0.2</v>
      </c>
      <c r="G33" s="2771"/>
      <c r="H33" s="2772"/>
      <c r="I33" s="2772"/>
      <c r="J33" s="2772"/>
      <c r="K33" s="2773"/>
    </row>
    <row r="34" spans="1:11" s="2108" customFormat="1" ht="13.5" customHeight="1">
      <c r="A34" s="374" t="s">
        <v>1855</v>
      </c>
      <c r="B34" s="2818" t="s">
        <v>501</v>
      </c>
      <c r="C34" s="471">
        <f ca="1">ROUND((1+C25)*F33,4)</f>
        <v>0.20580000000000001</v>
      </c>
      <c r="D34" s="471"/>
      <c r="E34" s="472"/>
      <c r="F34" s="479"/>
      <c r="G34" s="260" t="s">
        <v>2289</v>
      </c>
      <c r="H34" s="2770"/>
      <c r="I34" s="2770"/>
      <c r="J34" s="2770"/>
      <c r="K34" s="278"/>
    </row>
    <row r="35" spans="1:11" s="2108" customFormat="1" ht="13.5" customHeight="1" thickBot="1">
      <c r="A35" s="1621" t="s">
        <v>1856</v>
      </c>
      <c r="B35" s="2985" t="s">
        <v>2838</v>
      </c>
      <c r="C35" s="1613">
        <f ca="1">ROUND((C18+C19+C20+C23+C24)*F33,0)</f>
        <v>6344</v>
      </c>
      <c r="D35" s="1614"/>
      <c r="E35" s="2819"/>
      <c r="F35" s="1615"/>
      <c r="G35" s="2777"/>
      <c r="H35" s="2778"/>
      <c r="I35" s="2778"/>
      <c r="J35" s="2778"/>
      <c r="K35" s="2779"/>
    </row>
    <row r="36" spans="1:11" s="2070" customFormat="1" ht="13.5" customHeight="1" thickBot="1">
      <c r="A36" s="283" t="s">
        <v>1843</v>
      </c>
      <c r="B36" s="2781"/>
      <c r="C36" s="2820">
        <f ca="1">ROUND((C6-C30-C33)/(1+D30+D33),0)</f>
        <v>5948</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466</v>
      </c>
      <c r="B1" s="2764"/>
      <c r="C1" s="2089"/>
      <c r="D1" s="2089"/>
      <c r="E1" s="2089"/>
      <c r="F1" s="2089"/>
      <c r="G1" s="2089"/>
      <c r="H1" s="2089"/>
      <c r="I1" s="2089"/>
      <c r="J1" s="2089"/>
      <c r="K1" s="421">
        <f>MATCH(B1,'数据-取费表'!A6:A16,0)+5</f>
        <v>7</v>
      </c>
    </row>
    <row r="2" spans="1:41" s="2026" customFormat="1" ht="18" customHeight="1">
      <c r="A2" s="422" t="s">
        <v>467</v>
      </c>
      <c r="B2" s="423">
        <f ca="1">C32</f>
        <v>0</v>
      </c>
      <c r="C2" s="2089"/>
      <c r="D2" s="2089"/>
      <c r="E2" s="2089"/>
      <c r="F2" s="2089"/>
      <c r="G2" s="2089"/>
      <c r="H2" s="2089"/>
      <c r="I2" s="2089"/>
      <c r="J2" s="2089"/>
      <c r="K2" s="2089"/>
    </row>
    <row r="3" spans="1:41" s="2026" customFormat="1" ht="18" customHeight="1">
      <c r="A3" s="1375" t="s">
        <v>1683</v>
      </c>
      <c r="B3" s="424">
        <f ca="1">ROUND(B2*10000/IF(B1="",'数据-汇总表'!E3,INDIRECT("'数据-取费表'!K"&amp;$K$1)),0)</f>
        <v>0</v>
      </c>
      <c r="C3" s="2089"/>
      <c r="D3" s="2089"/>
      <c r="E3" s="2089"/>
      <c r="F3" s="2089"/>
      <c r="G3" s="2089"/>
      <c r="H3" s="2089"/>
      <c r="I3" s="2089"/>
      <c r="J3" s="2089"/>
      <c r="K3" s="2089"/>
    </row>
    <row r="4" spans="1:41" s="2026" customFormat="1" ht="18" customHeight="1">
      <c r="A4" s="425" t="s">
        <v>468</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469</v>
      </c>
      <c r="D5" s="2089"/>
      <c r="E5" s="2089"/>
      <c r="F5" s="2089"/>
      <c r="G5" s="2089"/>
      <c r="H5" s="2089"/>
      <c r="I5" s="2089"/>
      <c r="J5" s="2089"/>
      <c r="K5" s="2089"/>
    </row>
    <row r="6" spans="1:41" s="2096" customFormat="1" ht="16.5" customHeight="1">
      <c r="A6" s="431" t="s">
        <v>2651</v>
      </c>
      <c r="B6" s="432"/>
      <c r="C6" s="1608">
        <f>SUM(C10:K10)</f>
        <v>0</v>
      </c>
      <c r="D6" s="2094"/>
      <c r="E6" s="2094"/>
      <c r="F6" s="2094"/>
      <c r="G6" s="2094"/>
      <c r="H6" s="2094"/>
      <c r="I6" s="2094"/>
      <c r="J6" s="2094"/>
      <c r="K6" s="2095"/>
    </row>
    <row r="7" spans="1:41" s="2098" customFormat="1" ht="15">
      <c r="A7" s="433" t="s">
        <v>470</v>
      </c>
      <c r="B7" s="434" t="s">
        <v>471</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7" t="s">
        <v>472</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3" t="s">
        <v>470</v>
      </c>
      <c r="B12" s="443" t="s">
        <v>471</v>
      </c>
      <c r="C12" s="444" t="s">
        <v>475</v>
      </c>
      <c r="D12" s="445" t="s">
        <v>476</v>
      </c>
      <c r="E12" s="445" t="s">
        <v>477</v>
      </c>
      <c r="F12" s="445" t="s">
        <v>478</v>
      </c>
      <c r="G12" s="443"/>
      <c r="H12" s="446"/>
      <c r="I12" s="446"/>
      <c r="J12" s="446"/>
      <c r="K12" s="447"/>
    </row>
    <row r="13" spans="1:41" s="2101" customFormat="1" ht="13.5" customHeight="1">
      <c r="A13" s="1618" t="s">
        <v>1847</v>
      </c>
      <c r="B13" s="448" t="s">
        <v>479</v>
      </c>
      <c r="C13" s="449">
        <f ca="1">IF(B1="",'数据-取费表'!M16,INDIRECT("'数据-取费表'!M"&amp;$K$1)+INDIRECT("'数据-取费表'!t"&amp;$K$1))</f>
        <v>25035</v>
      </c>
      <c r="D13" s="450"/>
      <c r="E13" s="364"/>
      <c r="F13" s="451"/>
      <c r="G13" s="443"/>
      <c r="H13" s="446"/>
      <c r="I13" s="446"/>
      <c r="J13" s="446"/>
      <c r="K13" s="447"/>
    </row>
    <row r="14" spans="1:41" s="2101" customFormat="1" ht="13.5" customHeight="1">
      <c r="A14" s="1618" t="s">
        <v>1848</v>
      </c>
      <c r="B14" s="448" t="s">
        <v>480</v>
      </c>
      <c r="C14" s="53">
        <f ca="1">ROUND(C13*F14,0)</f>
        <v>1252</v>
      </c>
      <c r="D14" s="450"/>
      <c r="E14" s="364"/>
      <c r="F14" s="452">
        <f>'数据-取费表'!B33</f>
        <v>0.05</v>
      </c>
      <c r="G14" s="443" t="s">
        <v>502</v>
      </c>
      <c r="H14" s="446"/>
      <c r="I14" s="446"/>
      <c r="J14" s="446"/>
      <c r="K14" s="447"/>
    </row>
    <row r="15" spans="1:41" s="2101" customFormat="1" ht="13.5" customHeight="1">
      <c r="A15" s="1618" t="s">
        <v>1849</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2" customFormat="1" ht="13.5" customHeight="1">
      <c r="A16" s="1618" t="s">
        <v>1850</v>
      </c>
      <c r="B16" s="448" t="s">
        <v>484</v>
      </c>
      <c r="C16" s="53">
        <f ca="1">ROUND(D16*E16/10000,0)</f>
        <v>1854</v>
      </c>
      <c r="D16" s="450">
        <f ca="1">IF(B1="",'数据-汇总表'!E3,INDIRECT("'数据-取费表'!K"&amp;$K$1)+INDIRECT("'数据-取费表'!S"&amp;$K$1))</f>
        <v>92723.37</v>
      </c>
      <c r="E16" s="53">
        <f>'数据-取费表'!B35</f>
        <v>200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8" t="s">
        <v>485</v>
      </c>
      <c r="C17" s="453">
        <f ca="1">ROUND(C13*F17,0)</f>
        <v>376</v>
      </c>
      <c r="D17" s="454"/>
      <c r="E17" s="453"/>
      <c r="F17" s="455">
        <f>'数据-取费表'!B36</f>
        <v>1.4999999999999999E-2</v>
      </c>
      <c r="G17" s="443" t="s">
        <v>502</v>
      </c>
      <c r="H17" s="456"/>
      <c r="I17" s="456"/>
      <c r="J17" s="456"/>
      <c r="K17" s="457"/>
    </row>
    <row r="18" spans="1:14" s="2104" customFormat="1" ht="13.5" customHeight="1">
      <c r="A18" s="1619" t="s">
        <v>1852</v>
      </c>
      <c r="B18" s="458" t="s">
        <v>487</v>
      </c>
      <c r="C18" s="459">
        <f ca="1">SUM(C13:C17)</f>
        <v>28517</v>
      </c>
      <c r="D18" s="460"/>
      <c r="E18" s="461"/>
      <c r="F18" s="461"/>
      <c r="G18" s="1322" t="s">
        <v>2431</v>
      </c>
      <c r="H18" s="446"/>
      <c r="I18" s="446"/>
      <c r="J18" s="446"/>
      <c r="K18" s="447"/>
    </row>
    <row r="19" spans="1:14" s="2104" customFormat="1" ht="13.5" customHeight="1">
      <c r="A19" s="1619" t="s">
        <v>1853</v>
      </c>
      <c r="B19" s="458" t="s">
        <v>493</v>
      </c>
      <c r="C19" s="459">
        <f ca="1">ROUND(C18*F19,0)</f>
        <v>428</v>
      </c>
      <c r="D19" s="461"/>
      <c r="E19" s="461"/>
      <c r="F19" s="465">
        <f>'数据-取费表'!B37</f>
        <v>1.4999999999999999E-2</v>
      </c>
      <c r="G19" s="443" t="s">
        <v>503</v>
      </c>
      <c r="H19" s="446"/>
      <c r="I19" s="446"/>
      <c r="J19" s="446"/>
      <c r="K19" s="447"/>
      <c r="L19" s="2106"/>
      <c r="M19" s="2106"/>
      <c r="N19" s="2106"/>
    </row>
    <row r="20" spans="1:14" s="2104" customFormat="1" ht="13.5" customHeight="1">
      <c r="A20" s="1619" t="s">
        <v>1854</v>
      </c>
      <c r="B20" s="458" t="s">
        <v>504</v>
      </c>
      <c r="C20" s="2982">
        <f>F20</f>
        <v>2.5000000000000001E-2</v>
      </c>
      <c r="D20" s="468" t="s">
        <v>505</v>
      </c>
      <c r="E20" s="468"/>
      <c r="F20" s="485">
        <f>'数据-取费表'!B38</f>
        <v>2.5000000000000001E-2</v>
      </c>
      <c r="G20" s="1322" t="s">
        <v>506</v>
      </c>
      <c r="H20" s="446"/>
      <c r="I20" s="446"/>
      <c r="J20" s="446"/>
      <c r="K20" s="447"/>
      <c r="L20" s="2106"/>
      <c r="M20" s="2106"/>
      <c r="N20" s="2106"/>
    </row>
    <row r="21" spans="1:14" s="2106" customFormat="1" ht="13.5" customHeight="1">
      <c r="A21" s="1619" t="s">
        <v>1857</v>
      </c>
      <c r="B21" s="460" t="s">
        <v>494</v>
      </c>
      <c r="C21" s="469">
        <f ca="1">C22</f>
        <v>1729</v>
      </c>
      <c r="D21" s="466">
        <f ca="1">C23</f>
        <v>1.5E-3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2453</v>
      </c>
    </row>
    <row r="22" spans="1:14" s="2105" customFormat="1" ht="13.5" customHeight="1">
      <c r="A22" s="1618" t="s">
        <v>1847</v>
      </c>
      <c r="B22" s="1323" t="s">
        <v>2434</v>
      </c>
      <c r="C22" s="486">
        <f ca="1">ROUND(IF('数据-取费表'!B22&lt;=1,(C18+C19)*F21*'数据-取费表'!B20/2,(C18+C19)*(POWER((1+F21),'数据-取费表'!B20/2)-1)),0)</f>
        <v>1729</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1848</v>
      </c>
      <c r="B23" s="1323" t="s">
        <v>508</v>
      </c>
      <c r="C23" s="487">
        <f ca="1">ROUND(IF('数据-取费表'!B22&lt;=1,F20*F21*'数据-取费表'!B20/2,F20*(POWER((1+F21),'数据-取费表'!B20/2)-1)),4)</f>
        <v>1.5E-3</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1858</v>
      </c>
      <c r="B24" s="2984" t="s">
        <v>2831</v>
      </c>
      <c r="C24" s="477">
        <f ca="1">C25</f>
        <v>5789</v>
      </c>
      <c r="D24" s="488">
        <f ca="1">C26</f>
        <v>5.0000000000000001E-3</v>
      </c>
      <c r="E24" s="468" t="s">
        <v>507</v>
      </c>
      <c r="F24" s="478">
        <f ca="1">IF(B1="",'数据-取费表'!Q16,INDIRECT("'数据-取费表'!q"&amp;$K$1))</f>
        <v>0.2</v>
      </c>
      <c r="G24" s="443"/>
      <c r="H24" s="446"/>
      <c r="I24" s="446"/>
      <c r="J24" s="446"/>
      <c r="K24" s="447"/>
    </row>
    <row r="25" spans="1:14" s="2105" customFormat="1" ht="13.5" customHeight="1">
      <c r="A25" s="1618" t="s">
        <v>1847</v>
      </c>
      <c r="B25" s="1323" t="s">
        <v>2435</v>
      </c>
      <c r="C25" s="489">
        <f ca="1">ROUND((C18+C19)*F24,0)</f>
        <v>5789</v>
      </c>
      <c r="D25" s="471"/>
      <c r="E25" s="472"/>
      <c r="F25" s="479"/>
      <c r="G25" s="1321" t="s">
        <v>2432</v>
      </c>
      <c r="H25" s="456"/>
      <c r="I25" s="456"/>
      <c r="J25" s="456"/>
      <c r="K25" s="457"/>
    </row>
    <row r="26" spans="1:14" s="2105" customFormat="1" ht="13.5" customHeight="1">
      <c r="A26" s="1618" t="s">
        <v>1848</v>
      </c>
      <c r="B26" s="1323" t="s">
        <v>509</v>
      </c>
      <c r="C26" s="490">
        <f ca="1">ROUND(F20*F24,4)</f>
        <v>5.0000000000000001E-3</v>
      </c>
      <c r="D26" s="471"/>
      <c r="E26" s="480"/>
      <c r="F26" s="479"/>
      <c r="G26" s="1321" t="s">
        <v>510</v>
      </c>
      <c r="H26" s="456"/>
      <c r="I26" s="456"/>
      <c r="J26" s="456"/>
      <c r="K26" s="457"/>
    </row>
    <row r="27" spans="1:14" s="2105" customFormat="1" ht="13.5" customHeight="1">
      <c r="A27" s="1622" t="s">
        <v>1866</v>
      </c>
      <c r="B27" s="458" t="s">
        <v>511</v>
      </c>
      <c r="C27" s="2983">
        <f>ROUND(F27/(1+'数据-取费表'!C42),4)</f>
        <v>5.2400000000000002E-2</v>
      </c>
      <c r="D27" s="461" t="s">
        <v>2829</v>
      </c>
      <c r="E27" s="461"/>
      <c r="F27" s="465">
        <f>'数据-取费表'!B41</f>
        <v>5.5000000000000007E-2</v>
      </c>
      <c r="G27" s="1945" t="s">
        <v>2290</v>
      </c>
      <c r="H27" s="446"/>
      <c r="I27" s="446"/>
      <c r="J27" s="446"/>
      <c r="K27" s="447"/>
    </row>
    <row r="28" spans="1:14" s="2106" customFormat="1" ht="13.5" customHeight="1">
      <c r="A28" s="1622" t="s">
        <v>1867</v>
      </c>
      <c r="B28" s="475" t="s">
        <v>512</v>
      </c>
      <c r="C28" s="469">
        <f ca="1">ROUND((C18+C19+C21+C24)/(1-C20-D21-D24-C27),0)</f>
        <v>39802</v>
      </c>
      <c r="D28" s="476"/>
      <c r="E28" s="468"/>
      <c r="F28" s="470"/>
      <c r="G28" s="1322" t="s">
        <v>2433</v>
      </c>
      <c r="H28" s="446"/>
      <c r="I28" s="446"/>
      <c r="J28" s="446"/>
      <c r="K28" s="447"/>
    </row>
    <row r="29" spans="1:14" s="2106" customFormat="1" ht="13.5" customHeight="1">
      <c r="A29" s="1622" t="s">
        <v>1868</v>
      </c>
      <c r="B29" s="475" t="s">
        <v>513</v>
      </c>
      <c r="C29" s="491">
        <f ca="1">IF(B1="",'数据-取费表'!N16,INDIRECT("'数据-取费表'!N"&amp;$K$1))</f>
        <v>0</v>
      </c>
      <c r="D29" s="492"/>
      <c r="E29" s="493"/>
      <c r="F29" s="494"/>
      <c r="G29" s="443"/>
      <c r="H29" s="446"/>
      <c r="I29" s="446"/>
      <c r="J29" s="446"/>
      <c r="K29" s="447"/>
    </row>
    <row r="30" spans="1:14" s="2106" customFormat="1" ht="13.5" customHeight="1">
      <c r="A30" s="442">
        <v>2</v>
      </c>
      <c r="B30" s="475" t="s">
        <v>514</v>
      </c>
      <c r="C30" s="496">
        <f ca="1">ROUND(C28*C29,0)</f>
        <v>0</v>
      </c>
      <c r="D30" s="492"/>
      <c r="E30" s="497"/>
      <c r="F30" s="498"/>
      <c r="G30" s="1324" t="s">
        <v>515</v>
      </c>
      <c r="H30" s="495"/>
      <c r="I30" s="495"/>
      <c r="J30" s="446"/>
      <c r="K30" s="447"/>
    </row>
    <row r="31" spans="1:14" s="2111" customFormat="1" ht="13.5" customHeight="1">
      <c r="A31" s="2446" t="s">
        <v>1864</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7"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521</v>
      </c>
      <c r="B6" s="512"/>
      <c r="C6" s="3379" t="s">
        <v>522</v>
      </c>
      <c r="D6" s="3380"/>
      <c r="E6" s="3413" t="s">
        <v>523</v>
      </c>
      <c r="F6" s="3414"/>
      <c r="G6" s="3379" t="s">
        <v>524</v>
      </c>
      <c r="H6" s="3380"/>
      <c r="I6" s="3379" t="s">
        <v>525</v>
      </c>
      <c r="J6" s="3380"/>
      <c r="K6" s="513" t="s">
        <v>526</v>
      </c>
      <c r="L6" s="2118"/>
      <c r="M6" s="2119"/>
      <c r="N6" s="2119"/>
      <c r="O6" s="2119"/>
      <c r="P6" s="3381" t="s">
        <v>527</v>
      </c>
      <c r="Q6" s="3382"/>
      <c r="R6" s="3387" t="s">
        <v>523</v>
      </c>
      <c r="S6" s="3388"/>
      <c r="T6" s="3387" t="s">
        <v>524</v>
      </c>
      <c r="U6" s="3388"/>
      <c r="V6" s="3374" t="s">
        <v>525</v>
      </c>
      <c r="W6" s="3374"/>
      <c r="X6" s="1553"/>
      <c r="Y6" s="3387" t="s">
        <v>527</v>
      </c>
      <c r="Z6" s="3388"/>
      <c r="AA6" s="3376" t="s">
        <v>523</v>
      </c>
      <c r="AB6" s="3377" t="s">
        <v>524</v>
      </c>
      <c r="AC6" s="3376" t="s">
        <v>525</v>
      </c>
    </row>
    <row r="7" spans="1:29" ht="15">
      <c r="A7" s="514"/>
      <c r="B7" s="515"/>
      <c r="C7" s="3395" t="s">
        <v>2930</v>
      </c>
      <c r="D7" s="3396"/>
      <c r="E7" s="3415" t="s">
        <v>2931</v>
      </c>
      <c r="F7" s="3416"/>
      <c r="G7" s="3395" t="s">
        <v>2932</v>
      </c>
      <c r="H7" s="3396"/>
      <c r="I7" s="3395" t="s">
        <v>2933</v>
      </c>
      <c r="J7" s="3396"/>
      <c r="K7" s="513"/>
      <c r="L7" s="2118"/>
      <c r="M7" s="2119"/>
      <c r="N7" s="2119"/>
      <c r="O7" s="2119"/>
      <c r="P7" s="3383"/>
      <c r="Q7" s="3384"/>
      <c r="R7" s="3389"/>
      <c r="S7" s="3390"/>
      <c r="T7" s="3389"/>
      <c r="U7" s="3390"/>
      <c r="V7" s="3374"/>
      <c r="W7" s="3374"/>
      <c r="X7" s="1553"/>
      <c r="Y7" s="3389"/>
      <c r="Z7" s="3390"/>
      <c r="AA7" s="3377"/>
      <c r="AB7" s="3377"/>
      <c r="AC7" s="3377"/>
    </row>
    <row r="8" spans="1:29" ht="15.75" thickBot="1">
      <c r="A8" s="516"/>
      <c r="B8" s="517"/>
      <c r="C8" s="3393" t="s">
        <v>2934</v>
      </c>
      <c r="D8" s="3394"/>
      <c r="E8" s="3411" t="s">
        <v>2934</v>
      </c>
      <c r="F8" s="3412"/>
      <c r="G8" s="3393" t="s">
        <v>2934</v>
      </c>
      <c r="H8" s="3394"/>
      <c r="I8" s="3393" t="s">
        <v>2934</v>
      </c>
      <c r="J8" s="3394"/>
      <c r="K8" s="513" t="s">
        <v>528</v>
      </c>
      <c r="L8" s="2118"/>
      <c r="M8" s="2119"/>
      <c r="N8" s="2119"/>
      <c r="O8" s="2119"/>
      <c r="P8" s="3385"/>
      <c r="Q8" s="3386"/>
      <c r="R8" s="3389"/>
      <c r="S8" s="3390"/>
      <c r="T8" s="3391"/>
      <c r="U8" s="3392"/>
      <c r="V8" s="3374"/>
      <c r="W8" s="3374"/>
      <c r="X8" s="1553"/>
      <c r="Y8" s="3391"/>
      <c r="Z8" s="3392"/>
      <c r="AA8" s="3378"/>
      <c r="AB8" s="3378"/>
      <c r="AC8" s="3378"/>
    </row>
    <row r="9" spans="1:29" s="1215" customFormat="1" ht="15.75" thickBot="1">
      <c r="A9" s="2867"/>
      <c r="B9" s="2874" t="s">
        <v>529</v>
      </c>
      <c r="C9" s="518">
        <f>'数据-取费表'!B2</f>
        <v>43734</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404" t="s">
        <v>530</v>
      </c>
      <c r="Q9" s="3406"/>
      <c r="R9" s="1554" t="s">
        <v>8</v>
      </c>
      <c r="S9" s="1555">
        <f t="shared" ref="S9:S17" si="0">F9</f>
        <v>0</v>
      </c>
      <c r="T9" s="1554" t="s">
        <v>8</v>
      </c>
      <c r="U9" s="1555">
        <f t="shared" ref="U9:U17" si="1">H9</f>
        <v>0</v>
      </c>
      <c r="V9" s="1554" t="s">
        <v>8</v>
      </c>
      <c r="W9" s="1555">
        <f t="shared" ref="W9:W17" si="2">J9</f>
        <v>0</v>
      </c>
      <c r="X9" s="1556"/>
      <c r="Y9" s="3404" t="s">
        <v>530</v>
      </c>
      <c r="Z9" s="3405"/>
      <c r="AA9" s="1557" t="e">
        <f>D9/F9</f>
        <v>#DIV/0!</v>
      </c>
      <c r="AB9" s="1557" t="e">
        <f>D9/H9</f>
        <v>#DIV/0!</v>
      </c>
      <c r="AC9" s="1557" t="e">
        <f>D9/J9</f>
        <v>#DIV/0!</v>
      </c>
    </row>
    <row r="10" spans="1:29" s="1215" customFormat="1" ht="15.75" thickBot="1">
      <c r="A10" s="2868"/>
      <c r="B10" s="2875"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404" t="s">
        <v>533</v>
      </c>
      <c r="Q10" s="3405"/>
      <c r="R10" s="1554" t="s">
        <v>8</v>
      </c>
      <c r="S10" s="1555">
        <f t="shared" si="0"/>
        <v>0</v>
      </c>
      <c r="T10" s="1554" t="s">
        <v>8</v>
      </c>
      <c r="U10" s="1555">
        <f t="shared" si="1"/>
        <v>0</v>
      </c>
      <c r="V10" s="1554" t="s">
        <v>8</v>
      </c>
      <c r="W10" s="1555">
        <f t="shared" si="2"/>
        <v>0</v>
      </c>
      <c r="X10" s="1556"/>
      <c r="Y10" s="3404" t="s">
        <v>533</v>
      </c>
      <c r="Z10" s="3405"/>
      <c r="AA10" s="1557" t="e">
        <f t="shared" ref="AA10:AA42" si="3">D10/F10</f>
        <v>#DIV/0!</v>
      </c>
      <c r="AB10" s="1557" t="e">
        <f t="shared" ref="AB10:AB42" si="4">D10/H10</f>
        <v>#DIV/0!</v>
      </c>
      <c r="AC10" s="1557" t="e">
        <f t="shared" ref="AC10:AC42" si="5">D10/J10</f>
        <v>#DIV/0!</v>
      </c>
    </row>
    <row r="11" spans="1:29" s="1215" customFormat="1" ht="15">
      <c r="A11" s="2869"/>
      <c r="B11" s="2876" t="s">
        <v>2755</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73" t="s">
        <v>535</v>
      </c>
      <c r="Q11" s="1146" t="str">
        <f t="shared" ref="Q11:Q17" si="6">B11</f>
        <v>用途</v>
      </c>
      <c r="R11" s="1554" t="s">
        <v>8</v>
      </c>
      <c r="S11" s="1555">
        <f t="shared" si="0"/>
        <v>100</v>
      </c>
      <c r="T11" s="1554" t="s">
        <v>8</v>
      </c>
      <c r="U11" s="1555">
        <f t="shared" si="1"/>
        <v>100</v>
      </c>
      <c r="V11" s="1554" t="s">
        <v>8</v>
      </c>
      <c r="W11" s="1555">
        <f t="shared" si="2"/>
        <v>100</v>
      </c>
      <c r="X11" s="1556"/>
      <c r="Y11" s="3315" t="s">
        <v>536</v>
      </c>
      <c r="Z11" s="1145" t="str">
        <f t="shared" ref="Z11:Z17" si="7">Q11</f>
        <v>用途</v>
      </c>
      <c r="AA11" s="1557">
        <f t="shared" si="3"/>
        <v>1</v>
      </c>
      <c r="AB11" s="1557">
        <f t="shared" si="4"/>
        <v>1</v>
      </c>
      <c r="AC11" s="1557">
        <f t="shared" si="5"/>
        <v>1</v>
      </c>
    </row>
    <row r="12" spans="1:29" s="1333" customFormat="1" ht="27">
      <c r="A12" s="2870"/>
      <c r="B12" s="2875" t="s">
        <v>2756</v>
      </c>
      <c r="C12" s="527"/>
      <c r="D12" s="254">
        <v>100</v>
      </c>
      <c r="E12" s="527"/>
      <c r="F12" s="254">
        <f>ROUND(100/'数据-取费表'!G16,0)</f>
        <v>102</v>
      </c>
      <c r="G12" s="527"/>
      <c r="H12" s="254">
        <f>ROUND(100/'数据-取费表'!G16,0)</f>
        <v>102</v>
      </c>
      <c r="I12" s="527"/>
      <c r="J12" s="254">
        <f>ROUND(100/'数据-取费表'!G16,0)</f>
        <v>102</v>
      </c>
      <c r="K12" s="530"/>
      <c r="L12" s="2123"/>
      <c r="M12" s="2163"/>
      <c r="N12" s="2163"/>
      <c r="O12" s="2124"/>
      <c r="P12" s="3373"/>
      <c r="Q12" s="1146" t="str">
        <f t="shared" si="6"/>
        <v>土地使用年限（年）</v>
      </c>
      <c r="R12" s="1554" t="s">
        <v>8</v>
      </c>
      <c r="S12" s="1555">
        <f t="shared" si="0"/>
        <v>102</v>
      </c>
      <c r="T12" s="1554" t="s">
        <v>8</v>
      </c>
      <c r="U12" s="1555">
        <f t="shared" si="1"/>
        <v>102</v>
      </c>
      <c r="V12" s="1554" t="s">
        <v>8</v>
      </c>
      <c r="W12" s="1555">
        <f t="shared" si="2"/>
        <v>102</v>
      </c>
      <c r="X12" s="1556"/>
      <c r="Y12" s="3315"/>
      <c r="Z12" s="1145" t="str">
        <f t="shared" si="7"/>
        <v>土地使用年限（年）</v>
      </c>
      <c r="AA12" s="1557">
        <f t="shared" si="3"/>
        <v>0.98039215686274506</v>
      </c>
      <c r="AB12" s="1557">
        <f t="shared" si="4"/>
        <v>0.98039215686274506</v>
      </c>
      <c r="AC12" s="1557">
        <f t="shared" si="5"/>
        <v>0.98039215686274506</v>
      </c>
    </row>
    <row r="13" spans="1:29" ht="15">
      <c r="A13" s="2871"/>
      <c r="B13" s="2875"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73"/>
      <c r="Q13" s="1146" t="str">
        <f t="shared" si="6"/>
        <v>容积率</v>
      </c>
      <c r="R13" s="1554" t="s">
        <v>8</v>
      </c>
      <c r="S13" s="1555" t="e">
        <f t="shared" si="0"/>
        <v>#N/A</v>
      </c>
      <c r="T13" s="1554" t="s">
        <v>8</v>
      </c>
      <c r="U13" s="1555" t="e">
        <f t="shared" si="1"/>
        <v>#N/A</v>
      </c>
      <c r="V13" s="1554" t="s">
        <v>8</v>
      </c>
      <c r="W13" s="1555" t="e">
        <f t="shared" si="2"/>
        <v>#N/A</v>
      </c>
      <c r="X13" s="1556"/>
      <c r="Y13" s="3315"/>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73"/>
      <c r="Q14" s="1146">
        <f t="shared" si="6"/>
        <v>111</v>
      </c>
      <c r="R14" s="1554" t="s">
        <v>8</v>
      </c>
      <c r="S14" s="1555">
        <f t="shared" si="0"/>
        <v>100</v>
      </c>
      <c r="T14" s="1554" t="s">
        <v>8</v>
      </c>
      <c r="U14" s="1555">
        <f t="shared" si="1"/>
        <v>100</v>
      </c>
      <c r="V14" s="1554" t="s">
        <v>8</v>
      </c>
      <c r="W14" s="1555">
        <f t="shared" si="2"/>
        <v>100</v>
      </c>
      <c r="X14" s="1556"/>
      <c r="Y14" s="3315"/>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73"/>
      <c r="Q15" s="1146">
        <f t="shared" si="6"/>
        <v>111</v>
      </c>
      <c r="R15" s="1554" t="s">
        <v>8</v>
      </c>
      <c r="S15" s="1555">
        <f t="shared" si="0"/>
        <v>100</v>
      </c>
      <c r="T15" s="1554" t="s">
        <v>8</v>
      </c>
      <c r="U15" s="1555">
        <f t="shared" si="1"/>
        <v>100</v>
      </c>
      <c r="V15" s="1554" t="s">
        <v>8</v>
      </c>
      <c r="W15" s="1555">
        <f t="shared" si="2"/>
        <v>100</v>
      </c>
      <c r="X15" s="1556"/>
      <c r="Y15" s="3315"/>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73"/>
      <c r="Q16" s="1146">
        <f t="shared" si="6"/>
        <v>111</v>
      </c>
      <c r="R16" s="1554" t="s">
        <v>8</v>
      </c>
      <c r="S16" s="1555">
        <f t="shared" si="0"/>
        <v>100</v>
      </c>
      <c r="T16" s="1554" t="s">
        <v>8</v>
      </c>
      <c r="U16" s="1555">
        <f t="shared" si="1"/>
        <v>100</v>
      </c>
      <c r="V16" s="1554" t="s">
        <v>8</v>
      </c>
      <c r="W16" s="1555">
        <f t="shared" si="2"/>
        <v>100</v>
      </c>
      <c r="X16" s="1556"/>
      <c r="Y16" s="3315"/>
      <c r="Z16" s="1145">
        <f t="shared" si="7"/>
        <v>111</v>
      </c>
      <c r="AA16" s="1557">
        <f t="shared" si="3"/>
        <v>1</v>
      </c>
      <c r="AB16" s="1557">
        <f t="shared" si="4"/>
        <v>1</v>
      </c>
      <c r="AC16" s="1557">
        <f t="shared" si="5"/>
        <v>1</v>
      </c>
    </row>
    <row r="17" spans="1:29" ht="57">
      <c r="A17" s="2865"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407" t="s">
        <v>540</v>
      </c>
      <c r="Q17" s="1558" t="str">
        <f t="shared" si="6"/>
        <v>产业集聚程度</v>
      </c>
      <c r="R17" s="1559" t="s">
        <v>8</v>
      </c>
      <c r="S17" s="1560">
        <f t="shared" si="0"/>
        <v>100</v>
      </c>
      <c r="T17" s="1559" t="s">
        <v>8</v>
      </c>
      <c r="U17" s="1560">
        <f t="shared" si="1"/>
        <v>100</v>
      </c>
      <c r="V17" s="1559" t="s">
        <v>8</v>
      </c>
      <c r="W17" s="1560">
        <f t="shared" si="2"/>
        <v>100</v>
      </c>
      <c r="X17" s="1553"/>
      <c r="Y17" s="3407"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408"/>
      <c r="Q18" s="1558"/>
      <c r="R18" s="1559"/>
      <c r="S18" s="1560"/>
      <c r="T18" s="1559"/>
      <c r="U18" s="1560"/>
      <c r="V18" s="1559"/>
      <c r="W18" s="1560"/>
      <c r="X18" s="1553"/>
      <c r="Y18" s="3408"/>
      <c r="Z18" s="1561"/>
      <c r="AA18" s="1562">
        <v>1</v>
      </c>
      <c r="AB18" s="1562">
        <v>1</v>
      </c>
      <c r="AC18" s="1562">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408"/>
      <c r="Q19" s="1558" t="str">
        <f>B19</f>
        <v>交通便捷度</v>
      </c>
      <c r="R19" s="1559" t="s">
        <v>8</v>
      </c>
      <c r="S19" s="1560">
        <f>F19</f>
        <v>100</v>
      </c>
      <c r="T19" s="1559" t="s">
        <v>8</v>
      </c>
      <c r="U19" s="1560">
        <f>H19</f>
        <v>100</v>
      </c>
      <c r="V19" s="1559" t="s">
        <v>8</v>
      </c>
      <c r="W19" s="1560">
        <f>J19</f>
        <v>100</v>
      </c>
      <c r="X19" s="1553"/>
      <c r="Y19" s="3408"/>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408"/>
      <c r="Q21" s="1558" t="str">
        <f t="shared" ref="Q21:Q35" si="8">B21</f>
        <v>区域土地利用方向</v>
      </c>
      <c r="R21" s="1559" t="s">
        <v>8</v>
      </c>
      <c r="S21" s="1560">
        <f>F21</f>
        <v>100</v>
      </c>
      <c r="T21" s="1559" t="s">
        <v>8</v>
      </c>
      <c r="U21" s="1560">
        <f>H21</f>
        <v>100</v>
      </c>
      <c r="V21" s="1559" t="s">
        <v>8</v>
      </c>
      <c r="W21" s="1560">
        <f>J21</f>
        <v>100</v>
      </c>
      <c r="X21" s="1553"/>
      <c r="Y21" s="3408"/>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408"/>
      <c r="Q22" s="1558"/>
      <c r="R22" s="1559"/>
      <c r="S22" s="1560"/>
      <c r="T22" s="1559"/>
      <c r="U22" s="1560"/>
      <c r="V22" s="1559"/>
      <c r="W22" s="1560"/>
      <c r="X22" s="1553"/>
      <c r="Y22" s="3408"/>
      <c r="Z22" s="1561"/>
      <c r="AA22" s="1562"/>
      <c r="AB22" s="1562"/>
      <c r="AC22" s="1562"/>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408"/>
      <c r="Q23" s="1558" t="str">
        <f t="shared" si="8"/>
        <v>环境状况</v>
      </c>
      <c r="R23" s="1559" t="s">
        <v>8</v>
      </c>
      <c r="S23" s="1560">
        <f>F23</f>
        <v>100</v>
      </c>
      <c r="T23" s="1559" t="s">
        <v>8</v>
      </c>
      <c r="U23" s="1560">
        <f>H23</f>
        <v>100</v>
      </c>
      <c r="V23" s="1559" t="s">
        <v>8</v>
      </c>
      <c r="W23" s="1560">
        <f>J23</f>
        <v>100</v>
      </c>
      <c r="X23" s="1553"/>
      <c r="Y23" s="3408"/>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408"/>
      <c r="Q24" s="1558"/>
      <c r="R24" s="1559"/>
      <c r="S24" s="1560"/>
      <c r="T24" s="1559"/>
      <c r="U24" s="1560"/>
      <c r="V24" s="1559"/>
      <c r="W24" s="1560"/>
      <c r="X24" s="1553"/>
      <c r="Y24" s="3408"/>
      <c r="Z24" s="1561"/>
      <c r="AA24" s="1562">
        <v>1</v>
      </c>
      <c r="AB24" s="1562">
        <v>1</v>
      </c>
      <c r="AC24" s="1562">
        <v>1</v>
      </c>
    </row>
    <row r="25" spans="1:29" s="1215" customFormat="1" ht="42.75">
      <c r="A25" s="576"/>
      <c r="B25" s="2557"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408"/>
      <c r="Q25" s="1146" t="str">
        <f t="shared" si="8"/>
        <v>公共配套设施</v>
      </c>
      <c r="R25" s="1554" t="s">
        <v>8</v>
      </c>
      <c r="S25" s="1555">
        <f>F25</f>
        <v>100</v>
      </c>
      <c r="T25" s="1554" t="s">
        <v>8</v>
      </c>
      <c r="U25" s="1555">
        <f>H25</f>
        <v>100</v>
      </c>
      <c r="V25" s="1554" t="s">
        <v>8</v>
      </c>
      <c r="W25" s="1555">
        <f>J25</f>
        <v>100</v>
      </c>
      <c r="X25" s="1556"/>
      <c r="Y25" s="3408"/>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408"/>
      <c r="Q26" s="1146"/>
      <c r="R26" s="1554"/>
      <c r="S26" s="1555"/>
      <c r="T26" s="1554"/>
      <c r="U26" s="1555"/>
      <c r="V26" s="1554"/>
      <c r="W26" s="1555"/>
      <c r="X26" s="1556"/>
      <c r="Y26" s="3408"/>
      <c r="Z26" s="1145"/>
      <c r="AA26" s="1557">
        <v>1</v>
      </c>
      <c r="AB26" s="1557">
        <v>1</v>
      </c>
      <c r="AC26" s="1557">
        <v>1</v>
      </c>
    </row>
    <row r="27" spans="1:29" s="1215" customFormat="1" ht="28.5">
      <c r="A27" s="576"/>
      <c r="B27" s="2557"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408"/>
      <c r="Q27" s="2542" t="str">
        <f t="shared" ref="Q27" si="9">B27</f>
        <v>基础设施水平</v>
      </c>
      <c r="R27" s="1554" t="s">
        <v>8</v>
      </c>
      <c r="S27" s="1555">
        <f>F27</f>
        <v>100</v>
      </c>
      <c r="T27" s="1554" t="s">
        <v>8</v>
      </c>
      <c r="U27" s="1555">
        <f>H27</f>
        <v>100</v>
      </c>
      <c r="V27" s="1554" t="s">
        <v>8</v>
      </c>
      <c r="W27" s="1555">
        <f>J27</f>
        <v>100</v>
      </c>
      <c r="X27" s="1556"/>
      <c r="Y27" s="3408"/>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408"/>
      <c r="Q28" s="2542"/>
      <c r="R28" s="1554"/>
      <c r="S28" s="1555"/>
      <c r="T28" s="1554"/>
      <c r="U28" s="1555"/>
      <c r="V28" s="1554"/>
      <c r="W28" s="1555"/>
      <c r="X28" s="1556"/>
      <c r="Y28" s="3408"/>
      <c r="Z28" s="2539"/>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40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8"/>
      <c r="Z29" s="1561" t="str">
        <f t="shared" ref="Z29:Z42" si="13">Q29</f>
        <v>临街状况</v>
      </c>
      <c r="AA29" s="1562">
        <f t="shared" si="3"/>
        <v>1</v>
      </c>
      <c r="AB29" s="1562">
        <f t="shared" si="4"/>
        <v>1</v>
      </c>
      <c r="AC29" s="1562">
        <f t="shared" si="5"/>
        <v>1</v>
      </c>
    </row>
    <row r="30" spans="1:29" ht="27">
      <c r="A30" s="531"/>
      <c r="B30" s="921" t="s">
        <v>548</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408"/>
      <c r="Q30" s="1558" t="str">
        <f t="shared" si="8"/>
        <v>毗邻道路的类型与等级</v>
      </c>
      <c r="R30" s="1559" t="s">
        <v>8</v>
      </c>
      <c r="S30" s="1560">
        <f t="shared" si="10"/>
        <v>100</v>
      </c>
      <c r="T30" s="1559" t="s">
        <v>8</v>
      </c>
      <c r="U30" s="1560">
        <f t="shared" si="11"/>
        <v>100</v>
      </c>
      <c r="V30" s="1559" t="s">
        <v>8</v>
      </c>
      <c r="W30" s="1560">
        <f t="shared" si="12"/>
        <v>100</v>
      </c>
      <c r="X30" s="1553"/>
      <c r="Y30" s="3408"/>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408"/>
      <c r="Q31" s="1558"/>
      <c r="R31" s="1559"/>
      <c r="S31" s="1560"/>
      <c r="T31" s="1559"/>
      <c r="U31" s="1560"/>
      <c r="V31" s="1559"/>
      <c r="W31" s="1560"/>
      <c r="X31" s="1553"/>
      <c r="Y31" s="3408"/>
      <c r="Z31" s="1561"/>
      <c r="AA31" s="1562">
        <v>1</v>
      </c>
      <c r="AB31" s="1562">
        <v>1</v>
      </c>
      <c r="AC31" s="1562">
        <v>1</v>
      </c>
    </row>
    <row r="32" spans="1:29" ht="15">
      <c r="A32" s="531"/>
      <c r="B32" s="526" t="s">
        <v>549</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408"/>
      <c r="Q32" s="1558" t="str">
        <f t="shared" si="8"/>
        <v>土地级别</v>
      </c>
      <c r="R32" s="1559" t="s">
        <v>8</v>
      </c>
      <c r="S32" s="1560">
        <f t="shared" si="10"/>
        <v>100</v>
      </c>
      <c r="T32" s="1559" t="s">
        <v>8</v>
      </c>
      <c r="U32" s="1560">
        <f t="shared" si="11"/>
        <v>100</v>
      </c>
      <c r="V32" s="1559" t="s">
        <v>8</v>
      </c>
      <c r="W32" s="1560">
        <f t="shared" si="12"/>
        <v>100</v>
      </c>
      <c r="X32" s="1553"/>
      <c r="Y32" s="3408"/>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408"/>
      <c r="Q33" s="1558">
        <f t="shared" si="8"/>
        <v>111</v>
      </c>
      <c r="R33" s="1559" t="s">
        <v>8</v>
      </c>
      <c r="S33" s="1560">
        <f t="shared" si="10"/>
        <v>100</v>
      </c>
      <c r="T33" s="1559" t="s">
        <v>8</v>
      </c>
      <c r="U33" s="1560">
        <f t="shared" si="11"/>
        <v>100</v>
      </c>
      <c r="V33" s="1559" t="s">
        <v>8</v>
      </c>
      <c r="W33" s="1560">
        <f t="shared" si="12"/>
        <v>100</v>
      </c>
      <c r="X33" s="1553"/>
      <c r="Y33" s="3408"/>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409" t="s">
        <v>550</v>
      </c>
      <c r="Q34" s="1558">
        <f t="shared" si="8"/>
        <v>111</v>
      </c>
      <c r="R34" s="1559" t="s">
        <v>8</v>
      </c>
      <c r="S34" s="1560">
        <f t="shared" si="10"/>
        <v>100</v>
      </c>
      <c r="T34" s="1559" t="s">
        <v>8</v>
      </c>
      <c r="U34" s="1560">
        <f t="shared" si="11"/>
        <v>100</v>
      </c>
      <c r="V34" s="1559" t="s">
        <v>8</v>
      </c>
      <c r="W34" s="1560">
        <f t="shared" si="12"/>
        <v>100</v>
      </c>
      <c r="X34" s="1553"/>
      <c r="Y34" s="3410" t="s">
        <v>550</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10"/>
      <c r="Q35" s="1558">
        <f t="shared" si="8"/>
        <v>111</v>
      </c>
      <c r="R35" s="1563" t="s">
        <v>8</v>
      </c>
      <c r="S35" s="1564">
        <f t="shared" si="10"/>
        <v>100</v>
      </c>
      <c r="T35" s="1563" t="s">
        <v>8</v>
      </c>
      <c r="U35" s="1564">
        <f t="shared" si="11"/>
        <v>100</v>
      </c>
      <c r="V35" s="1563" t="s">
        <v>8</v>
      </c>
      <c r="W35" s="1564">
        <f t="shared" si="12"/>
        <v>100</v>
      </c>
      <c r="X35" s="1565"/>
      <c r="Y35" s="3410"/>
      <c r="Z35" s="1566">
        <f t="shared" si="13"/>
        <v>111</v>
      </c>
      <c r="AA35" s="1562">
        <f t="shared" si="3"/>
        <v>1</v>
      </c>
      <c r="AB35" s="1562">
        <f t="shared" si="4"/>
        <v>1</v>
      </c>
      <c r="AC35" s="1562">
        <f t="shared" si="5"/>
        <v>1</v>
      </c>
    </row>
    <row r="36" spans="1:29" ht="15">
      <c r="A36" s="2862"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10"/>
      <c r="Q36" s="1558" t="str">
        <f>B36</f>
        <v>宗地面积</v>
      </c>
      <c r="R36" s="1559" t="s">
        <v>8</v>
      </c>
      <c r="S36" s="1560" t="e">
        <f t="shared" si="10"/>
        <v>#N/A</v>
      </c>
      <c r="T36" s="1559" t="s">
        <v>8</v>
      </c>
      <c r="U36" s="1560" t="e">
        <f t="shared" si="11"/>
        <v>#N/A</v>
      </c>
      <c r="V36" s="1559" t="s">
        <v>8</v>
      </c>
      <c r="W36" s="1560" t="e">
        <f t="shared" si="12"/>
        <v>#N/A</v>
      </c>
      <c r="X36" s="1553"/>
      <c r="Y36" s="3410"/>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10"/>
      <c r="Q37" s="1558" t="str">
        <f t="shared" ref="Q37:Q42" si="14">B37</f>
        <v>宗地形状</v>
      </c>
      <c r="R37" s="1559" t="s">
        <v>8</v>
      </c>
      <c r="S37" s="1560">
        <f t="shared" si="10"/>
        <v>100</v>
      </c>
      <c r="T37" s="1559" t="s">
        <v>8</v>
      </c>
      <c r="U37" s="1560">
        <f t="shared" si="11"/>
        <v>100</v>
      </c>
      <c r="V37" s="1559" t="s">
        <v>8</v>
      </c>
      <c r="W37" s="1560">
        <f t="shared" si="12"/>
        <v>100</v>
      </c>
      <c r="X37" s="1553"/>
      <c r="Y37" s="3410"/>
      <c r="Z37" s="1561" t="str">
        <f t="shared" si="13"/>
        <v>宗地形状</v>
      </c>
      <c r="AA37" s="1562">
        <f t="shared" si="3"/>
        <v>1</v>
      </c>
      <c r="AB37" s="1562">
        <f t="shared" si="4"/>
        <v>1</v>
      </c>
      <c r="AC37" s="1562">
        <f t="shared" si="5"/>
        <v>1</v>
      </c>
    </row>
    <row r="38" spans="1:29" s="1215" customFormat="1" ht="15">
      <c r="A38" s="599"/>
      <c r="B38" s="1880"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10"/>
      <c r="Q38" s="1558" t="str">
        <f t="shared" si="14"/>
        <v>宗地开发程度</v>
      </c>
      <c r="R38" s="1554" t="s">
        <v>8</v>
      </c>
      <c r="S38" s="1555">
        <f t="shared" si="10"/>
        <v>100</v>
      </c>
      <c r="T38" s="1554" t="s">
        <v>8</v>
      </c>
      <c r="U38" s="1555">
        <f t="shared" si="11"/>
        <v>100</v>
      </c>
      <c r="V38" s="1554" t="s">
        <v>8</v>
      </c>
      <c r="W38" s="1555">
        <f t="shared" si="12"/>
        <v>100</v>
      </c>
      <c r="X38" s="1556"/>
      <c r="Y38" s="3410"/>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10" t="s">
        <v>601</v>
      </c>
      <c r="Q39" s="1558" t="str">
        <f t="shared" si="14"/>
        <v>工程地质条件</v>
      </c>
      <c r="R39" s="1559" t="s">
        <v>8</v>
      </c>
      <c r="S39" s="1560">
        <f t="shared" si="10"/>
        <v>100</v>
      </c>
      <c r="T39" s="1559" t="s">
        <v>8</v>
      </c>
      <c r="U39" s="1560">
        <f t="shared" si="11"/>
        <v>100</v>
      </c>
      <c r="V39" s="1559" t="s">
        <v>8</v>
      </c>
      <c r="W39" s="1560">
        <f t="shared" si="12"/>
        <v>100</v>
      </c>
      <c r="X39" s="1553"/>
      <c r="Y39" s="3410"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10"/>
      <c r="Q40" s="1558">
        <f t="shared" si="14"/>
        <v>111</v>
      </c>
      <c r="R40" s="1559" t="s">
        <v>8</v>
      </c>
      <c r="S40" s="1560">
        <f t="shared" si="10"/>
        <v>100</v>
      </c>
      <c r="T40" s="1559" t="s">
        <v>8</v>
      </c>
      <c r="U40" s="1560">
        <f t="shared" si="11"/>
        <v>100</v>
      </c>
      <c r="V40" s="1559" t="s">
        <v>8</v>
      </c>
      <c r="W40" s="1560">
        <f t="shared" si="12"/>
        <v>100</v>
      </c>
      <c r="X40" s="1553"/>
      <c r="Y40" s="3410"/>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10"/>
      <c r="Q41" s="1558">
        <f t="shared" si="14"/>
        <v>111</v>
      </c>
      <c r="R41" s="1559" t="s">
        <v>8</v>
      </c>
      <c r="S41" s="1560">
        <f t="shared" si="10"/>
        <v>100</v>
      </c>
      <c r="T41" s="1559" t="s">
        <v>8</v>
      </c>
      <c r="U41" s="1560">
        <f t="shared" si="11"/>
        <v>100</v>
      </c>
      <c r="V41" s="1559" t="s">
        <v>8</v>
      </c>
      <c r="W41" s="1560">
        <f t="shared" si="12"/>
        <v>100</v>
      </c>
      <c r="X41" s="1553"/>
      <c r="Y41" s="3410"/>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10"/>
      <c r="Q42" s="1558">
        <f t="shared" si="14"/>
        <v>111</v>
      </c>
      <c r="R42" s="1563" t="s">
        <v>8</v>
      </c>
      <c r="S42" s="1564">
        <f t="shared" si="10"/>
        <v>100</v>
      </c>
      <c r="T42" s="1563" t="s">
        <v>8</v>
      </c>
      <c r="U42" s="1564">
        <f t="shared" si="11"/>
        <v>100</v>
      </c>
      <c r="V42" s="1563" t="s">
        <v>8</v>
      </c>
      <c r="W42" s="1564">
        <f t="shared" si="12"/>
        <v>100</v>
      </c>
      <c r="X42" s="1565"/>
      <c r="Y42" s="3410"/>
      <c r="Z42" s="1566">
        <f t="shared" si="13"/>
        <v>111</v>
      </c>
      <c r="AA42" s="1562">
        <f t="shared" si="3"/>
        <v>1</v>
      </c>
      <c r="AB42" s="1562">
        <f t="shared" si="4"/>
        <v>1</v>
      </c>
      <c r="AC42" s="1562">
        <f t="shared" si="5"/>
        <v>1</v>
      </c>
    </row>
    <row r="43" spans="1:29" ht="15">
      <c r="A43" s="606" t="s">
        <v>556</v>
      </c>
      <c r="B43" s="607" t="s">
        <v>2935</v>
      </c>
      <c r="C43" s="608" t="s">
        <v>1</v>
      </c>
      <c r="D43" s="609"/>
      <c r="E43" s="610"/>
      <c r="F43" s="611"/>
      <c r="G43" s="612"/>
      <c r="H43" s="613"/>
      <c r="I43" s="610"/>
      <c r="J43" s="613"/>
      <c r="K43" s="1335"/>
      <c r="L43" s="2129"/>
      <c r="M43" s="2119"/>
      <c r="N43" s="2119"/>
      <c r="O43" s="2130"/>
      <c r="P43" s="3373" t="str">
        <f>A43</f>
        <v>成交单价</v>
      </c>
      <c r="Q43" s="3373"/>
      <c r="R43" s="3374">
        <f>E43</f>
        <v>0</v>
      </c>
      <c r="S43" s="3374"/>
      <c r="T43" s="3374">
        <f>G43</f>
        <v>0</v>
      </c>
      <c r="U43" s="3374"/>
      <c r="V43" s="3374">
        <f>I43</f>
        <v>0</v>
      </c>
      <c r="W43" s="3374"/>
      <c r="X43" s="1545"/>
      <c r="Y43" s="1567"/>
      <c r="Z43" s="1545"/>
      <c r="AA43" s="1545"/>
      <c r="AB43" s="1545"/>
      <c r="AC43" s="1545"/>
    </row>
    <row r="44" spans="1:29" ht="15.75" thickBot="1">
      <c r="A44" s="614" t="s">
        <v>2692</v>
      </c>
      <c r="B44" s="615"/>
      <c r="C44" s="616" t="e">
        <f>R45</f>
        <v>#DIV/0!</v>
      </c>
      <c r="D44" s="617"/>
      <c r="E44" s="616" t="e">
        <f>R44</f>
        <v>#DIV/0!</v>
      </c>
      <c r="F44" s="618"/>
      <c r="G44" s="619" t="e">
        <f>T44</f>
        <v>#DIV/0!</v>
      </c>
      <c r="H44" s="617"/>
      <c r="I44" s="616" t="e">
        <f>V44</f>
        <v>#DIV/0!</v>
      </c>
      <c r="J44" s="617"/>
      <c r="K44" s="1336"/>
      <c r="L44" s="2129"/>
      <c r="M44" s="2119"/>
      <c r="N44" s="2119"/>
      <c r="O44" s="2130"/>
      <c r="P44" s="3373" t="str">
        <f>A44</f>
        <v>比较价格（元/平方米）</v>
      </c>
      <c r="Q44" s="3373"/>
      <c r="R44" s="3375" t="e">
        <f>ROUND(PRODUCT(R43,AA9:AA42),0)</f>
        <v>#DIV/0!</v>
      </c>
      <c r="S44" s="3375"/>
      <c r="T44" s="3375" t="e">
        <f>ROUND(PRODUCT(T43,AB9:AB42),0)</f>
        <v>#DIV/0!</v>
      </c>
      <c r="U44" s="3375"/>
      <c r="V44" s="3375" t="e">
        <f>ROUND(PRODUCT(V43,AC9:AC42),0)</f>
        <v>#DIV/0!</v>
      </c>
      <c r="W44" s="3375"/>
      <c r="X44" s="1545"/>
      <c r="Y44" s="1545"/>
      <c r="Z44" s="1545"/>
      <c r="AA44" s="1545"/>
      <c r="AB44" s="1545"/>
      <c r="AC44" s="1545"/>
    </row>
    <row r="45" spans="1:29" ht="15.75" thickBot="1">
      <c r="A45" s="620" t="s">
        <v>2936</v>
      </c>
      <c r="B45" s="621"/>
      <c r="C45" s="622" t="e">
        <f>R45</f>
        <v>#DIV/0!</v>
      </c>
      <c r="D45" s="622"/>
      <c r="E45" s="622"/>
      <c r="F45" s="622"/>
      <c r="G45" s="622"/>
      <c r="H45" s="622"/>
      <c r="I45" s="622"/>
      <c r="J45" s="622"/>
      <c r="K45" s="1337"/>
      <c r="L45" s="2129"/>
      <c r="M45" s="2119"/>
      <c r="N45" s="2119"/>
      <c r="O45" s="2130"/>
      <c r="P45" s="3370" t="str">
        <f>A45</f>
        <v>估价对象XX用房的比较价格（楼面单价，元/平方米）</v>
      </c>
      <c r="Q45" s="3371"/>
      <c r="R45" s="3372" t="e">
        <f>ROUND(AVERAGE(R44:V44),0)</f>
        <v>#DIV/0!</v>
      </c>
      <c r="S45" s="3372"/>
      <c r="T45" s="3372"/>
      <c r="U45" s="3372"/>
      <c r="V45" s="3372"/>
      <c r="W45" s="3372"/>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560</v>
      </c>
      <c r="B52" s="629" t="s">
        <v>561</v>
      </c>
      <c r="C52" s="1546" t="s">
        <v>1723</v>
      </c>
      <c r="D52" s="2212" t="s">
        <v>2292</v>
      </c>
      <c r="E52" s="630" t="s">
        <v>562</v>
      </c>
      <c r="F52" s="1936" t="s">
        <v>563</v>
      </c>
      <c r="G52" s="3417" t="s">
        <v>2283</v>
      </c>
      <c r="H52" s="3418"/>
      <c r="I52" s="1937" t="s">
        <v>1944</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564</v>
      </c>
      <c r="B53" s="633" t="e">
        <f>C45</f>
        <v>#DIV/0!</v>
      </c>
      <c r="C53" s="634">
        <v>1</v>
      </c>
      <c r="D53" s="2213">
        <v>1</v>
      </c>
      <c r="E53" s="634">
        <f>'数据-汇总表'!E8+'数据-汇总表'!E9</f>
        <v>92723.37</v>
      </c>
      <c r="F53" s="1935" t="e">
        <f t="shared" ref="F53:F62" si="15">ROUND(B53*E53/10000,0)</f>
        <v>#DIV/0!</v>
      </c>
      <c r="G53" s="3419"/>
      <c r="H53" s="3420"/>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565</v>
      </c>
      <c r="B54" s="637" t="e">
        <f>ROUND($C$45*C54*D54,0)</f>
        <v>#DIV/0!</v>
      </c>
      <c r="C54" s="377">
        <f t="shared" ref="C54:C62" si="16">IF($C$52="北京市系数",I54,J54)</f>
        <v>0</v>
      </c>
      <c r="D54" s="2214">
        <v>0.25</v>
      </c>
      <c r="E54" s="638"/>
      <c r="F54" s="1935" t="e">
        <f t="shared" si="15"/>
        <v>#DIV/0!</v>
      </c>
      <c r="G54" s="3421"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566</v>
      </c>
      <c r="B55" s="637" t="e">
        <f t="shared" ref="B55:B62" si="17">ROUND($C$45*C55*D55,0)</f>
        <v>#DIV/0!</v>
      </c>
      <c r="C55" s="377">
        <f t="shared" si="16"/>
        <v>0</v>
      </c>
      <c r="D55" s="2214">
        <v>0.25</v>
      </c>
      <c r="E55" s="638"/>
      <c r="F55" s="1935" t="e">
        <f t="shared" si="15"/>
        <v>#DIV/0!</v>
      </c>
      <c r="G55" s="3421"/>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567</v>
      </c>
      <c r="B56" s="637" t="e">
        <f t="shared" si="17"/>
        <v>#DIV/0!</v>
      </c>
      <c r="C56" s="377">
        <f t="shared" si="16"/>
        <v>0</v>
      </c>
      <c r="D56" s="2214">
        <v>0.25</v>
      </c>
      <c r="E56" s="638"/>
      <c r="F56" s="1935" t="e">
        <f t="shared" si="15"/>
        <v>#DIV/0!</v>
      </c>
      <c r="G56" s="3421"/>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568</v>
      </c>
      <c r="B57" s="637" t="e">
        <f t="shared" si="17"/>
        <v>#DIV/0!</v>
      </c>
      <c r="C57" s="377">
        <f t="shared" si="16"/>
        <v>0</v>
      </c>
      <c r="D57" s="2214">
        <v>0.25</v>
      </c>
      <c r="E57" s="638"/>
      <c r="F57" s="1935" t="e">
        <f t="shared" si="15"/>
        <v>#DIV/0!</v>
      </c>
      <c r="G57" s="3421"/>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2327</v>
      </c>
      <c r="B58" s="637" t="e">
        <f t="shared" si="17"/>
        <v>#DIV/0!</v>
      </c>
      <c r="C58" s="377">
        <f t="shared" si="16"/>
        <v>0</v>
      </c>
      <c r="D58" s="2214">
        <v>0.25</v>
      </c>
      <c r="E58" s="640">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569</v>
      </c>
      <c r="B59" s="637" t="e">
        <f t="shared" si="17"/>
        <v>#DIV/0!</v>
      </c>
      <c r="C59" s="377">
        <f t="shared" si="16"/>
        <v>0</v>
      </c>
      <c r="D59" s="2214">
        <v>0.25</v>
      </c>
      <c r="E59" s="640">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570</v>
      </c>
      <c r="B60" s="637" t="e">
        <f t="shared" si="17"/>
        <v>#DIV/0!</v>
      </c>
      <c r="C60" s="377">
        <f t="shared" si="16"/>
        <v>0</v>
      </c>
      <c r="D60" s="2214">
        <v>0.25</v>
      </c>
      <c r="E60" s="640">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571</v>
      </c>
      <c r="B61" s="637" t="e">
        <f t="shared" si="17"/>
        <v>#DIV/0!</v>
      </c>
      <c r="C61" s="377">
        <f t="shared" si="16"/>
        <v>0</v>
      </c>
      <c r="D61" s="2214">
        <v>0.25</v>
      </c>
      <c r="E61" s="640">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572</v>
      </c>
      <c r="B62" s="637" t="e">
        <f t="shared" si="17"/>
        <v>#DIV/0!</v>
      </c>
      <c r="C62" s="377">
        <f t="shared" si="16"/>
        <v>0</v>
      </c>
      <c r="D62" s="2214">
        <v>0.25</v>
      </c>
      <c r="E62" s="640">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573</v>
      </c>
      <c r="B63" s="642" t="s">
        <v>17</v>
      </c>
      <c r="C63" s="642" t="s">
        <v>18</v>
      </c>
      <c r="D63" s="642" t="s">
        <v>2293</v>
      </c>
      <c r="E63" s="642">
        <f>IF(B43="楼面地价",SUM(E53:E62),'数据-汇总表'!D3)</f>
        <v>61815.58</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2019-9-1</v>
      </c>
      <c r="D65" s="2754">
        <f>EDATE(C65,-3)</f>
        <v>43617</v>
      </c>
      <c r="E65" s="2754">
        <f t="shared" ref="E65:N65" si="18">EDATE(D65,-3)</f>
        <v>43525</v>
      </c>
      <c r="F65" s="2754">
        <f t="shared" si="18"/>
        <v>43435</v>
      </c>
      <c r="G65" s="2754">
        <f t="shared" si="18"/>
        <v>43344</v>
      </c>
      <c r="H65" s="2754">
        <f t="shared" si="18"/>
        <v>43252</v>
      </c>
      <c r="I65" s="2754">
        <f t="shared" si="18"/>
        <v>43160</v>
      </c>
      <c r="J65" s="2754">
        <f t="shared" si="18"/>
        <v>43070</v>
      </c>
      <c r="K65" s="2754">
        <f t="shared" si="18"/>
        <v>42979</v>
      </c>
      <c r="L65" s="2754">
        <f t="shared" si="18"/>
        <v>42887</v>
      </c>
      <c r="M65" s="2754">
        <f t="shared" si="18"/>
        <v>42795</v>
      </c>
      <c r="N65" s="2754">
        <f t="shared" si="18"/>
        <v>42705</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2532</v>
      </c>
      <c r="B67" s="645"/>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2648</v>
      </c>
      <c r="B68" s="478" t="str">
        <f>"北京市平均增长率"&amp;TEXT(基准地价!P24,"0.00%")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575</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531</v>
      </c>
      <c r="B70" s="647"/>
      <c r="C70" s="659" t="s">
        <v>576</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577</v>
      </c>
      <c r="B72" s="664" t="s">
        <v>534</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537</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539</v>
      </c>
      <c r="B85" s="664" t="s">
        <v>602</v>
      </c>
      <c r="C85" s="702" t="s">
        <v>579</v>
      </c>
      <c r="D85" s="702" t="s">
        <v>580</v>
      </c>
      <c r="E85" s="702" t="s">
        <v>581</v>
      </c>
      <c r="F85" s="702" t="s">
        <v>582</v>
      </c>
      <c r="G85" s="702" t="s">
        <v>583</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586</v>
      </c>
      <c r="C87" s="707" t="s">
        <v>579</v>
      </c>
      <c r="D87" s="707" t="s">
        <v>580</v>
      </c>
      <c r="E87" s="707" t="s">
        <v>581</v>
      </c>
      <c r="F87" s="707" t="s">
        <v>582</v>
      </c>
      <c r="G87" s="707" t="s">
        <v>583</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2547</v>
      </c>
      <c r="C93" s="702" t="s">
        <v>579</v>
      </c>
      <c r="D93" s="702" t="s">
        <v>580</v>
      </c>
      <c r="E93" s="702" t="s">
        <v>581</v>
      </c>
      <c r="F93" s="702" t="s">
        <v>582</v>
      </c>
      <c r="G93" s="702" t="s">
        <v>583</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2549</v>
      </c>
      <c r="C95" s="2562" t="s">
        <v>2550</v>
      </c>
      <c r="D95" s="2562" t="s">
        <v>2551</v>
      </c>
      <c r="E95" s="2562" t="s">
        <v>2552</v>
      </c>
      <c r="F95" s="2562" t="s">
        <v>2553</v>
      </c>
      <c r="G95" s="2562" t="s">
        <v>2554</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589</v>
      </c>
      <c r="D97" s="673" t="s">
        <v>590</v>
      </c>
      <c r="E97" s="673" t="s">
        <v>591</v>
      </c>
      <c r="F97" s="673" t="s">
        <v>592</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548</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549</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594</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2424</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596</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2425</v>
      </c>
      <c r="D1" s="1508">
        <f>SUM(D29:D30,D33:D39)</f>
        <v>0</v>
      </c>
      <c r="E1" s="1402" t="s">
        <v>2426</v>
      </c>
      <c r="F1" s="2416"/>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1" t="s">
        <v>2761</v>
      </c>
      <c r="S1" s="2891" t="s">
        <v>2762</v>
      </c>
      <c r="T1" s="2891" t="s">
        <v>2783</v>
      </c>
      <c r="U1" s="2891" t="s">
        <v>2784</v>
      </c>
      <c r="V1" s="2891" t="s">
        <v>2785</v>
      </c>
      <c r="W1" s="2174"/>
      <c r="X1" s="2174"/>
      <c r="Y1" s="2174"/>
      <c r="Z1" s="2174"/>
      <c r="AA1" s="2174"/>
      <c r="AB1" s="2174"/>
      <c r="AC1" s="2175"/>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1686</v>
      </c>
      <c r="B3" s="1037" t="e">
        <f>ROUND(B2*10000/D1,0)</f>
        <v>#DIV/0!</v>
      </c>
      <c r="C3" s="1403" t="s">
        <v>926</v>
      </c>
      <c r="D3" s="1404" t="s">
        <v>927</v>
      </c>
      <c r="E3" s="1408"/>
      <c r="F3" s="1409"/>
      <c r="G3" s="1038">
        <f>IF(F3="宗地容积率",'数据-汇总表'!I4,IF(F3="估价对象容积率",'数据-汇总表'!I6,'数据-汇总表'!I7))</f>
        <v>0</v>
      </c>
      <c r="H3" s="1410" t="s">
        <v>928</v>
      </c>
      <c r="I3" s="1039">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2279</v>
      </c>
      <c r="B4" s="2417" t="e">
        <f>ROUND(B2*10000/F1,0)</f>
        <v>#DIV/0!</v>
      </c>
      <c r="C4" s="1879" t="s">
        <v>2253</v>
      </c>
      <c r="D4" s="1879" t="e">
        <f>ROUND(B2/(F1/666.67),0)</f>
        <v>#DIV/0!</v>
      </c>
      <c r="E4" s="1879" t="s">
        <v>2254</v>
      </c>
      <c r="F4" s="1877"/>
      <c r="G4" s="1877"/>
      <c r="H4" s="1877"/>
      <c r="I4" s="1877"/>
      <c r="J4" s="1878"/>
      <c r="K4" s="3148"/>
      <c r="L4" s="1870" t="s">
        <v>2240</v>
      </c>
      <c r="M4" s="1871">
        <f>SUMPRODUCT((区片价!B49:B75=I2)*(区片价!C3:F3=E2)*(区片价!C49:F75))</f>
        <v>0</v>
      </c>
      <c r="N4" s="1872">
        <f>SUMPRODUCT((因素修正幅度!B49:B75=I2)*(因素修正幅度!C3:F3=E2)*(因素修正幅度!C49:F75))</f>
        <v>0</v>
      </c>
      <c r="O4" s="3148"/>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1822</v>
      </c>
      <c r="B5" s="1411" t="s">
        <v>930</v>
      </c>
      <c r="C5" s="1040" t="e">
        <f>ROUND(IF(E2="商业",C6*C7+C16,(IF(E2="住宅",C6*C12+C16,C6+C16))),0)</f>
        <v>#DIV/0!</v>
      </c>
      <c r="D5" s="3072" t="e">
        <f>ROUND(C6+C16,0)</f>
        <v>#DIV/0!</v>
      </c>
      <c r="E5" s="3072"/>
      <c r="F5" s="1412"/>
      <c r="G5" s="1413"/>
      <c r="H5" s="1413"/>
      <c r="I5" s="1413"/>
      <c r="J5" s="1414"/>
      <c r="K5" s="3149"/>
      <c r="L5" s="1870" t="s">
        <v>2241</v>
      </c>
      <c r="M5" s="1871">
        <f>SUMPRODUCT((区片价!B76:B109=I2)*(区片价!C3:F3=E2)*(区片价!C76:F109))</f>
        <v>0</v>
      </c>
      <c r="N5" s="1872">
        <f>SUMPRODUCT((因素修正幅度!B76:B109=I2)*(因素修正幅度!C3:F3=E2)*(因素修正幅度!C76:F109))</f>
        <v>0</v>
      </c>
      <c r="O5" s="3149"/>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33" t="str">
        <f>IF(E2="商业",IF(C8="不临58条商业街","",2),"")</f>
        <v/>
      </c>
      <c r="B7" s="1423" t="s">
        <v>931</v>
      </c>
      <c r="C7" s="1042" t="e">
        <f>IF(C8="不临58条商业街",1,ROUND(1+(1.6*E8+1.2*E9+0.8*E10+0.4*E11)*C9,4))</f>
        <v>#DIV/0!</v>
      </c>
      <c r="D7" s="1424" t="s">
        <v>932</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2764</v>
      </c>
      <c r="X7" s="2882">
        <f>G2</f>
        <v>0</v>
      </c>
      <c r="Y7" s="2882" t="s">
        <v>2765</v>
      </c>
      <c r="Z7" s="2883">
        <f>G3</f>
        <v>0</v>
      </c>
      <c r="AA7" s="2177"/>
      <c r="AB7" s="2177"/>
      <c r="AC7" s="2178"/>
      <c r="AD7" s="2884"/>
      <c r="AE7" s="2884"/>
      <c r="AF7" s="2884"/>
      <c r="AG7" s="2884"/>
      <c r="AH7" s="2884"/>
      <c r="AI7" s="2884"/>
      <c r="AJ7" s="2885"/>
    </row>
    <row r="8" spans="1:39" ht="15">
      <c r="A8" s="3434"/>
      <c r="B8" s="1410" t="s">
        <v>933</v>
      </c>
      <c r="C8" s="1516"/>
      <c r="D8" s="1044" t="s">
        <v>934</v>
      </c>
      <c r="E8" s="1045"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3" t="s">
        <v>2782</v>
      </c>
      <c r="X8" s="3424"/>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34"/>
      <c r="B9" s="1410" t="s">
        <v>936</v>
      </c>
      <c r="C9" s="1046">
        <f>SUMIF(修正!C59:C119,C8,修正!E59:E119)</f>
        <v>0</v>
      </c>
      <c r="D9" s="1047" t="s">
        <v>937</v>
      </c>
      <c r="E9" s="1047"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2" t="s">
        <v>2778</v>
      </c>
      <c r="X9" s="2886" t="s">
        <v>2779</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4"/>
      <c r="B10" s="1410" t="s">
        <v>939</v>
      </c>
      <c r="C10" s="1047">
        <f>SUMIF(修正!C59:C119,C8,修正!F59:F119)</f>
        <v>0</v>
      </c>
      <c r="D10" s="1047" t="s">
        <v>940</v>
      </c>
      <c r="E10" s="1047"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2"/>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4"/>
      <c r="B11" s="1431" t="s">
        <v>942</v>
      </c>
      <c r="C11" s="1048">
        <f>C10/4</f>
        <v>0</v>
      </c>
      <c r="D11" s="1048" t="s">
        <v>943</v>
      </c>
      <c r="E11" s="1048"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2" t="s">
        <v>2780</v>
      </c>
      <c r="X11" s="1047" t="s">
        <v>2765</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3" t="s">
        <v>1870</v>
      </c>
      <c r="B12" s="1435" t="s">
        <v>945</v>
      </c>
      <c r="C12" s="1042">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2"/>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5"/>
      <c r="B13" s="1440" t="s">
        <v>1695</v>
      </c>
      <c r="C13" s="1441" t="s">
        <v>1696</v>
      </c>
      <c r="D13" s="1084" t="s">
        <v>1697</v>
      </c>
      <c r="E13" s="1084" t="s">
        <v>1698</v>
      </c>
      <c r="F13" s="1442" t="s">
        <v>947</v>
      </c>
      <c r="G13" s="1443" t="s">
        <v>1641</v>
      </c>
      <c r="H13" s="1444" t="s">
        <v>1641</v>
      </c>
      <c r="I13" s="1445" t="s">
        <v>1641</v>
      </c>
      <c r="J13" s="1446" t="s">
        <v>1641</v>
      </c>
      <c r="K13" s="3164"/>
      <c r="L13" s="3164"/>
      <c r="M13" s="3164"/>
      <c r="N13" s="3164"/>
      <c r="O13" s="3164"/>
      <c r="P13" s="1397"/>
      <c r="Q13" s="2174"/>
      <c r="R13" s="2892">
        <v>12</v>
      </c>
      <c r="S13" s="2881"/>
      <c r="T13" s="2892" t="e">
        <f t="shared" si="0"/>
        <v>#DIV/0!</v>
      </c>
      <c r="U13" s="2881"/>
      <c r="V13" s="2892" t="e">
        <f t="shared" si="1"/>
        <v>#DIV/0!</v>
      </c>
      <c r="W13" s="3422"/>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35"/>
      <c r="B14" s="1447"/>
      <c r="C14" s="1448"/>
      <c r="D14" s="1449"/>
      <c r="E14" s="1449"/>
      <c r="F14" s="1450"/>
      <c r="G14" s="1451" t="s">
        <v>948</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6"/>
      <c r="B15" s="3169" t="s">
        <v>1699</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3" t="s">
        <v>1837</v>
      </c>
      <c r="B16" s="1423" t="s">
        <v>949</v>
      </c>
      <c r="C16" s="1051" t="e">
        <f>ROUND(IF(F17="与级别开发程度一致",0,(G17-E17)/C17),0)</f>
        <v>#DIV/0!</v>
      </c>
      <c r="D16" s="3430" t="s">
        <v>953</v>
      </c>
      <c r="E16" s="3431"/>
      <c r="F16" s="3430" t="s">
        <v>950</v>
      </c>
      <c r="G16" s="3431"/>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7"/>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1828</v>
      </c>
      <c r="B18" s="3170" t="s">
        <v>954</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2">
        <f>ROUND(IF(H19="按公示增长率计算",SUMPRODUCT((地价!A3:A27=YEAR(G19)&amp;"-"&amp;ROUNDUP(MONTH(G19)/3,0))*(地价!X2:AB2=E2)*(地价!X3:AB27)),IF(H19="地价指数",M20/M19,(1+I19)^O19)),4)</f>
        <v>0</v>
      </c>
      <c r="D19" s="1462" t="s">
        <v>956</v>
      </c>
      <c r="E19" s="1053">
        <v>41640</v>
      </c>
      <c r="F19" s="1462" t="s">
        <v>957</v>
      </c>
      <c r="G19" s="1054">
        <f>'数据-取费表'!B2</f>
        <v>43734</v>
      </c>
      <c r="H19" s="1463" t="s">
        <v>2996</v>
      </c>
      <c r="I19" s="2740" t="str">
        <f>IF(H19="季度增幅（自定义）",SUMIF(N21:N24,E2,O21:O24),"")</f>
        <v/>
      </c>
      <c r="J19" s="1459"/>
      <c r="K19" s="3149"/>
      <c r="L19" s="2992" t="s">
        <v>2840</v>
      </c>
      <c r="M19" s="2993">
        <f>ROUND(SUMIF(地价!B2:F2,E2,地价!B27:F27),0)</f>
        <v>0</v>
      </c>
      <c r="N19" s="2742" t="s">
        <v>1675</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1835</v>
      </c>
      <c r="B20" s="2735" t="s">
        <v>970</v>
      </c>
      <c r="C20" s="2736" t="e">
        <f>ROUND(POWER(1+G20,J20-I20)*(POWER(1+G20,I20)-1)/(POWER(1+G20,J20)-1),4)</f>
        <v>#DIV/0!</v>
      </c>
      <c r="D20" s="2737" t="s">
        <v>971</v>
      </c>
      <c r="E20" s="3047">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1"/>
      <c r="L20" s="2994" t="s">
        <v>2841</v>
      </c>
      <c r="M20" s="3158">
        <f>ROUND(SUMPRODUCT((地价!A4:A27=YEAR(G19)&amp;"-"&amp;ROUNDUP(MONTH(G19)/3,0))*(地价!B2:F2=E2)*(地价!B4:F27)),0)</f>
        <v>0</v>
      </c>
      <c r="N20" s="2745" t="s">
        <v>2644</v>
      </c>
      <c r="O20" s="2743" t="s">
        <v>2643</v>
      </c>
      <c r="P20" s="2744" t="s">
        <v>2649</v>
      </c>
      <c r="Q20" s="2880"/>
      <c r="R20" s="2180"/>
      <c r="S20" s="2180"/>
      <c r="T20" s="2180"/>
      <c r="U20" s="2180"/>
      <c r="V20" s="2180"/>
      <c r="W20" s="2180"/>
      <c r="X20" s="2180"/>
      <c r="Y20" s="1460"/>
      <c r="Z20" s="1460"/>
      <c r="AA20" s="1460"/>
      <c r="AB20" s="1460"/>
      <c r="AC20" s="1460"/>
      <c r="AD20" s="1460"/>
    </row>
    <row r="21" spans="1:40" s="1417" customFormat="1" ht="14.25">
      <c r="A21" s="1627" t="s">
        <v>1836</v>
      </c>
      <c r="B21" s="1468" t="s">
        <v>2760</v>
      </c>
      <c r="C21" s="1153">
        <f>IF(B21="容积率修正",IF(G3&lt;=10,D22,J22),C23)</f>
        <v>0</v>
      </c>
      <c r="D21" s="1469"/>
      <c r="E21" s="1469"/>
      <c r="F21" s="1469"/>
      <c r="G21" s="1469"/>
      <c r="H21" s="1469"/>
      <c r="I21" s="1469"/>
      <c r="J21" s="1470"/>
      <c r="K21" s="3149"/>
      <c r="L21" s="1469"/>
      <c r="M21" s="1469"/>
      <c r="N21" s="1466" t="s">
        <v>974</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2"/>
      <c r="L22" s="1469"/>
      <c r="M22" s="1469"/>
      <c r="N22" s="1466" t="s">
        <v>977</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922</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53"/>
      <c r="L24" s="1469"/>
      <c r="M24" s="1469"/>
      <c r="N24" s="1466" t="s">
        <v>980</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9" t="s">
        <v>2647</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992</v>
      </c>
      <c r="C29" s="1058" t="e">
        <f>ROUND(C5*C18*C19*C20*C21*C24,0)</f>
        <v>#DIV/0!</v>
      </c>
      <c r="D29" s="1491"/>
      <c r="E29" s="1834" t="e">
        <f>ROUND(C29*D29/10000,0)</f>
        <v>#DIV/0!</v>
      </c>
      <c r="F29" s="1492" t="s">
        <v>1700</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40" t="s">
        <v>2961</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41"/>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41"/>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2"/>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2988</v>
      </c>
      <c r="C41" s="838" t="e">
        <f>ROUND(POWER(1+E41,H41-G41)*(POWER(1+E41,G41)-1)/(POWER(1+E41,H41)-1),4)</f>
        <v>#DIV/0!</v>
      </c>
      <c r="D41" s="377" t="s">
        <v>2986</v>
      </c>
      <c r="E41" s="3146">
        <f>G20</f>
        <v>0</v>
      </c>
      <c r="F41" s="377" t="s">
        <v>2987</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1019</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1020</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3049" t="s">
        <v>2938</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3048" t="s">
        <v>2937</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1029</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1020</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3049" t="s">
        <v>2939</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3048" t="s">
        <v>2937</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1031</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1032</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3048" t="s">
        <v>2937</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1024</v>
      </c>
      <c r="B86" s="3048" t="s">
        <v>2937</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8" t="s">
        <v>1632</v>
      </c>
      <c r="B90" s="3438"/>
      <c r="C90" s="3438"/>
      <c r="D90" s="3438"/>
      <c r="E90" s="3438"/>
      <c r="F90" s="3438"/>
      <c r="G90" s="3438"/>
      <c r="H90" s="3438"/>
      <c r="I90" s="3438"/>
      <c r="J90" s="3438"/>
      <c r="K90" s="2414"/>
      <c r="L90" s="2414"/>
      <c r="M90" s="2414"/>
      <c r="N90" s="2414"/>
    </row>
    <row r="91" spans="1:40">
      <c r="A91" s="3439" t="s">
        <v>1442</v>
      </c>
      <c r="B91" s="3439" t="s">
        <v>1633</v>
      </c>
      <c r="C91" s="1135" t="s">
        <v>1634</v>
      </c>
      <c r="D91" s="1136"/>
      <c r="E91" s="1136"/>
      <c r="F91" s="1136"/>
      <c r="G91" s="1136"/>
      <c r="H91" s="1136"/>
      <c r="I91" s="1136"/>
      <c r="J91" s="1137"/>
      <c r="K91" s="1129"/>
      <c r="L91" s="1129"/>
      <c r="M91" s="1129"/>
      <c r="N91" s="1129"/>
    </row>
    <row r="92" spans="1:40">
      <c r="A92" s="3439"/>
      <c r="B92" s="3439"/>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25"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6"/>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5"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6"/>
      <c r="B108" s="3428"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7"/>
      <c r="B109" s="342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2" t="s">
        <v>1638</v>
      </c>
      <c r="B110" s="3432"/>
      <c r="C110" s="3432"/>
      <c r="D110" s="3432"/>
      <c r="E110" s="3432"/>
      <c r="F110" s="3432"/>
      <c r="G110" s="3432"/>
      <c r="H110" s="3432"/>
      <c r="I110" s="3432"/>
      <c r="J110" s="3432"/>
      <c r="K110" s="2412"/>
      <c r="L110" s="2412"/>
      <c r="M110" s="2412"/>
      <c r="N110" s="2412"/>
    </row>
    <row r="112" spans="1:14" ht="12.75" thickBot="1"/>
    <row r="113" spans="1:13" ht="25.5" thickBot="1">
      <c r="A113" s="1015" t="s">
        <v>895</v>
      </c>
      <c r="B113" s="2415">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6" t="s">
        <v>2991</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39" t="s">
        <v>1006</v>
      </c>
      <c r="B18" s="1149" t="s">
        <v>1445</v>
      </c>
      <c r="C18" s="1126" t="s">
        <v>1446</v>
      </c>
      <c r="D18" s="1127"/>
      <c r="E18" s="1149">
        <v>1</v>
      </c>
      <c r="F18" s="1128" t="s">
        <v>1447</v>
      </c>
      <c r="G18" s="1129"/>
      <c r="H18" s="1100"/>
      <c r="I18" s="1100"/>
    </row>
    <row r="19" spans="1:9" s="1584" customFormat="1" ht="19.5" customHeight="1">
      <c r="A19" s="3439"/>
      <c r="B19" s="3439" t="s">
        <v>1448</v>
      </c>
      <c r="C19" s="1126" t="s">
        <v>1449</v>
      </c>
      <c r="D19" s="1127"/>
      <c r="E19" s="1149">
        <v>0.9</v>
      </c>
      <c r="F19" s="1128" t="s">
        <v>1450</v>
      </c>
      <c r="G19" s="1129"/>
      <c r="H19" s="1100"/>
      <c r="I19" s="1100"/>
    </row>
    <row r="20" spans="1:9" s="1584" customFormat="1" ht="19.5" customHeight="1">
      <c r="A20" s="3439"/>
      <c r="B20" s="3439"/>
      <c r="C20" s="1126" t="s">
        <v>1451</v>
      </c>
      <c r="D20" s="1127"/>
      <c r="E20" s="1149">
        <v>1.1000000000000001</v>
      </c>
      <c r="F20" s="1128" t="s">
        <v>1452</v>
      </c>
      <c r="G20" s="1129"/>
      <c r="H20" s="1100"/>
      <c r="I20" s="1100"/>
    </row>
    <row r="21" spans="1:9" s="1584" customFormat="1" ht="19.5" customHeight="1">
      <c r="A21" s="3439"/>
      <c r="B21" s="3439"/>
      <c r="C21" s="1126" t="s">
        <v>1453</v>
      </c>
      <c r="D21" s="1127"/>
      <c r="E21" s="1149">
        <v>0.8</v>
      </c>
      <c r="F21" s="1128" t="s">
        <v>1454</v>
      </c>
      <c r="G21" s="1129"/>
      <c r="H21" s="1100"/>
      <c r="I21" s="1100"/>
    </row>
    <row r="22" spans="1:9" s="1584" customFormat="1" ht="19.5" customHeight="1">
      <c r="A22" s="3439"/>
      <c r="B22" s="3439"/>
      <c r="C22" s="1126" t="s">
        <v>1455</v>
      </c>
      <c r="D22" s="1127"/>
      <c r="E22" s="1149">
        <v>0.5</v>
      </c>
      <c r="F22" s="1128"/>
      <c r="G22" s="1129"/>
      <c r="H22" s="1100"/>
      <c r="I22" s="1100"/>
    </row>
    <row r="23" spans="1:9" s="1584" customFormat="1" ht="19.5" customHeight="1">
      <c r="A23" s="3439" t="s">
        <v>1028</v>
      </c>
      <c r="B23" s="1149" t="s">
        <v>1445</v>
      </c>
      <c r="C23" s="1126" t="s">
        <v>1456</v>
      </c>
      <c r="D23" s="1127"/>
      <c r="E23" s="1149">
        <v>1</v>
      </c>
      <c r="F23" s="1128" t="s">
        <v>1457</v>
      </c>
      <c r="G23" s="1129"/>
      <c r="H23" s="1100"/>
      <c r="I23" s="1100"/>
    </row>
    <row r="24" spans="1:9" s="1584" customFormat="1" ht="19.5" customHeight="1">
      <c r="A24" s="3439"/>
      <c r="B24" s="3439" t="s">
        <v>1448</v>
      </c>
      <c r="C24" s="1126" t="s">
        <v>1458</v>
      </c>
      <c r="D24" s="1127"/>
      <c r="E24" s="1149">
        <v>0.5</v>
      </c>
      <c r="F24" s="1128"/>
      <c r="G24" s="1129"/>
      <c r="H24" s="1100"/>
      <c r="I24" s="1100"/>
    </row>
    <row r="25" spans="1:9" s="1584" customFormat="1" ht="19.5" customHeight="1">
      <c r="A25" s="3439"/>
      <c r="B25" s="3439"/>
      <c r="C25" s="1126" t="s">
        <v>1459</v>
      </c>
      <c r="D25" s="1127"/>
      <c r="E25" s="1149">
        <v>1.1000000000000001</v>
      </c>
      <c r="F25" s="1128"/>
      <c r="G25" s="1129"/>
      <c r="H25" s="1100"/>
      <c r="I25" s="1100"/>
    </row>
    <row r="26" spans="1:9" s="1584" customFormat="1" ht="19.5" customHeight="1">
      <c r="A26" s="3439"/>
      <c r="B26" s="3439"/>
      <c r="C26" s="1126" t="s">
        <v>1460</v>
      </c>
      <c r="D26" s="1127"/>
      <c r="E26" s="1149">
        <v>1.1000000000000001</v>
      </c>
      <c r="F26" s="1128"/>
      <c r="G26" s="1129"/>
      <c r="H26" s="1100"/>
      <c r="I26" s="1100"/>
    </row>
    <row r="27" spans="1:9" s="1584" customFormat="1" ht="19.5" customHeight="1">
      <c r="A27" s="3439"/>
      <c r="B27" s="3439"/>
      <c r="C27" s="1126" t="s">
        <v>1461</v>
      </c>
      <c r="D27" s="1127"/>
      <c r="E27" s="1149">
        <v>0.9</v>
      </c>
      <c r="F27" s="1128" t="s">
        <v>1462</v>
      </c>
      <c r="G27" s="1129"/>
      <c r="H27" s="1100"/>
      <c r="I27" s="1100"/>
    </row>
    <row r="28" spans="1:9" s="1584" customFormat="1" ht="19.5" customHeight="1">
      <c r="A28" s="3439"/>
      <c r="B28" s="3439"/>
      <c r="C28" s="1126" t="s">
        <v>1463</v>
      </c>
      <c r="D28" s="1127"/>
      <c r="E28" s="1149">
        <v>0.9</v>
      </c>
      <c r="F28" s="1128" t="s">
        <v>1464</v>
      </c>
      <c r="G28" s="1129"/>
      <c r="H28" s="1100"/>
      <c r="I28" s="1100"/>
    </row>
    <row r="29" spans="1:9" s="1584" customFormat="1" ht="19.5" customHeight="1">
      <c r="A29" s="3439"/>
      <c r="B29" s="3439"/>
      <c r="C29" s="1126" t="s">
        <v>1465</v>
      </c>
      <c r="D29" s="1127"/>
      <c r="E29" s="1149">
        <v>0.9</v>
      </c>
      <c r="F29" s="1128" t="s">
        <v>1466</v>
      </c>
      <c r="G29" s="1129"/>
      <c r="H29" s="1100"/>
      <c r="I29" s="1100"/>
    </row>
    <row r="30" spans="1:9" s="1584" customFormat="1" ht="19.5" customHeight="1">
      <c r="A30" s="3439"/>
      <c r="B30" s="3439"/>
      <c r="C30" s="1126" t="s">
        <v>1467</v>
      </c>
      <c r="D30" s="1127"/>
      <c r="E30" s="1149">
        <v>0.9</v>
      </c>
      <c r="F30" s="1128" t="s">
        <v>1468</v>
      </c>
      <c r="G30" s="1129"/>
      <c r="H30" s="1100"/>
      <c r="I30" s="1100"/>
    </row>
    <row r="31" spans="1:9" s="1584" customFormat="1" ht="19.5" customHeight="1">
      <c r="A31" s="3439"/>
      <c r="B31" s="3439"/>
      <c r="C31" s="1126" t="s">
        <v>1469</v>
      </c>
      <c r="D31" s="1127"/>
      <c r="E31" s="1149">
        <v>0.8</v>
      </c>
      <c r="F31" s="1128" t="s">
        <v>1470</v>
      </c>
      <c r="G31" s="1129"/>
      <c r="H31" s="1100"/>
      <c r="I31" s="1100"/>
    </row>
    <row r="32" spans="1:9" s="1584" customFormat="1" ht="19.5" customHeight="1">
      <c r="A32" s="3439"/>
      <c r="B32" s="3439"/>
      <c r="C32" s="1126" t="s">
        <v>1471</v>
      </c>
      <c r="D32" s="1127"/>
      <c r="E32" s="1149">
        <v>0.8</v>
      </c>
      <c r="F32" s="1128" t="s">
        <v>1472</v>
      </c>
      <c r="G32" s="1129"/>
      <c r="H32" s="1100"/>
      <c r="I32" s="1100"/>
    </row>
    <row r="33" spans="1:9" s="1584" customFormat="1" ht="19.5" customHeight="1">
      <c r="A33" s="3439" t="s">
        <v>1473</v>
      </c>
      <c r="B33" s="1149" t="s">
        <v>1445</v>
      </c>
      <c r="C33" s="1126" t="s">
        <v>1474</v>
      </c>
      <c r="D33" s="1127"/>
      <c r="E33" s="1149">
        <v>1</v>
      </c>
      <c r="F33" s="1128" t="s">
        <v>1475</v>
      </c>
      <c r="G33" s="1129"/>
      <c r="H33" s="1100"/>
      <c r="I33" s="1100"/>
    </row>
    <row r="34" spans="1:9" s="1584" customFormat="1" ht="19.5" customHeight="1">
      <c r="A34" s="3439"/>
      <c r="B34" s="1149" t="s">
        <v>1448</v>
      </c>
      <c r="C34" s="1126" t="s">
        <v>1476</v>
      </c>
      <c r="D34" s="1127"/>
      <c r="E34" s="1149">
        <v>1.5</v>
      </c>
      <c r="F34" s="1128" t="s">
        <v>1477</v>
      </c>
      <c r="G34" s="1129"/>
      <c r="H34" s="1100"/>
      <c r="I34" s="1100"/>
    </row>
    <row r="35" spans="1:9" s="1584" customFormat="1" ht="19.5" customHeight="1">
      <c r="A35" s="3439" t="s">
        <v>1431</v>
      </c>
      <c r="B35" s="1149" t="s">
        <v>1445</v>
      </c>
      <c r="C35" s="1126" t="s">
        <v>1478</v>
      </c>
      <c r="D35" s="1127"/>
      <c r="E35" s="1149">
        <v>1</v>
      </c>
      <c r="F35" s="1128" t="s">
        <v>1479</v>
      </c>
      <c r="G35" s="1129"/>
      <c r="H35" s="1100"/>
      <c r="I35" s="1100"/>
    </row>
    <row r="36" spans="1:9" s="1584" customFormat="1" ht="19.5" customHeight="1">
      <c r="A36" s="3439"/>
      <c r="B36" s="3439" t="s">
        <v>1448</v>
      </c>
      <c r="C36" s="1126" t="s">
        <v>1480</v>
      </c>
      <c r="D36" s="1127"/>
      <c r="E36" s="1149">
        <v>1</v>
      </c>
      <c r="F36" s="1128" t="s">
        <v>1481</v>
      </c>
      <c r="G36" s="1129"/>
      <c r="H36" s="1100"/>
      <c r="I36" s="1100"/>
    </row>
    <row r="37" spans="1:9" s="1584" customFormat="1" ht="19.5" customHeight="1">
      <c r="A37" s="3439"/>
      <c r="B37" s="3439"/>
      <c r="C37" s="1126" t="s">
        <v>1482</v>
      </c>
      <c r="D37" s="1127"/>
      <c r="E37" s="1149">
        <v>1.5</v>
      </c>
      <c r="F37" s="1128" t="s">
        <v>1483</v>
      </c>
      <c r="G37" s="1129"/>
      <c r="H37" s="1100"/>
      <c r="I37" s="1100"/>
    </row>
    <row r="38" spans="1:9" s="1584" customFormat="1" ht="19.5" customHeight="1">
      <c r="A38" s="3439"/>
      <c r="B38" s="3439"/>
      <c r="C38" s="1126" t="s">
        <v>1484</v>
      </c>
      <c r="D38" s="1127"/>
      <c r="E38" s="1149">
        <v>1</v>
      </c>
      <c r="F38" s="1128" t="s">
        <v>1485</v>
      </c>
      <c r="G38" s="1129"/>
      <c r="H38" s="1100"/>
      <c r="I38" s="1100"/>
    </row>
    <row r="39" spans="1:9" s="1584" customFormat="1" ht="19.5" customHeight="1">
      <c r="A39" s="3439"/>
      <c r="B39" s="3439"/>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39" t="s">
        <v>1500</v>
      </c>
      <c r="C61" s="1063" t="s">
        <v>1501</v>
      </c>
      <c r="D61" s="1063" t="s">
        <v>1502</v>
      </c>
      <c r="E61" s="1134">
        <v>0.5</v>
      </c>
      <c r="F61" s="1149">
        <v>80</v>
      </c>
      <c r="H61" s="1100">
        <f>SUMIF(C59:C119,基准地价!C8,E59:E119)</f>
        <v>0</v>
      </c>
    </row>
    <row r="62" spans="1:8" s="1100" customFormat="1" ht="24">
      <c r="A62" s="1149">
        <v>2</v>
      </c>
      <c r="B62" s="3439"/>
      <c r="C62" s="1063" t="s">
        <v>1503</v>
      </c>
      <c r="D62" s="1063" t="s">
        <v>1504</v>
      </c>
      <c r="E62" s="1134">
        <v>0.5</v>
      </c>
      <c r="F62" s="1149">
        <v>80</v>
      </c>
    </row>
    <row r="63" spans="1:8" s="1100" customFormat="1" ht="36">
      <c r="A63" s="1149">
        <v>3</v>
      </c>
      <c r="B63" s="3439"/>
      <c r="C63" s="1063" t="s">
        <v>1505</v>
      </c>
      <c r="D63" s="1063" t="s">
        <v>1506</v>
      </c>
      <c r="E63" s="1134">
        <v>0.5</v>
      </c>
      <c r="F63" s="1149">
        <v>80</v>
      </c>
    </row>
    <row r="64" spans="1:8" s="1100" customFormat="1" ht="36">
      <c r="A64" s="1149">
        <v>4</v>
      </c>
      <c r="B64" s="3439"/>
      <c r="C64" s="1063" t="s">
        <v>1507</v>
      </c>
      <c r="D64" s="1063" t="s">
        <v>1508</v>
      </c>
      <c r="E64" s="1134">
        <v>0.4</v>
      </c>
      <c r="F64" s="1149">
        <v>60</v>
      </c>
    </row>
    <row r="65" spans="1:6" s="1100" customFormat="1" ht="36">
      <c r="A65" s="1149">
        <v>5</v>
      </c>
      <c r="B65" s="3439"/>
      <c r="C65" s="1063" t="s">
        <v>1509</v>
      </c>
      <c r="D65" s="1063" t="s">
        <v>1510</v>
      </c>
      <c r="E65" s="1134">
        <v>0.2</v>
      </c>
      <c r="F65" s="1149">
        <v>30</v>
      </c>
    </row>
    <row r="66" spans="1:6" s="1100" customFormat="1" ht="36">
      <c r="A66" s="1149">
        <v>6</v>
      </c>
      <c r="B66" s="3439"/>
      <c r="C66" s="1063" t="s">
        <v>1511</v>
      </c>
      <c r="D66" s="1063" t="s">
        <v>1512</v>
      </c>
      <c r="E66" s="1134">
        <v>0.3</v>
      </c>
      <c r="F66" s="1149">
        <v>50</v>
      </c>
    </row>
    <row r="67" spans="1:6" s="1100" customFormat="1" ht="36">
      <c r="A67" s="1149">
        <v>7</v>
      </c>
      <c r="B67" s="3439"/>
      <c r="C67" s="1063" t="s">
        <v>1513</v>
      </c>
      <c r="D67" s="1063" t="s">
        <v>1514</v>
      </c>
      <c r="E67" s="1134">
        <v>0.2</v>
      </c>
      <c r="F67" s="1149">
        <v>30</v>
      </c>
    </row>
    <row r="68" spans="1:6" s="1100" customFormat="1" ht="36">
      <c r="A68" s="1149">
        <v>8</v>
      </c>
      <c r="B68" s="3439"/>
      <c r="C68" s="1063" t="s">
        <v>1515</v>
      </c>
      <c r="D68" s="1063" t="s">
        <v>1516</v>
      </c>
      <c r="E68" s="1134">
        <v>0.2</v>
      </c>
      <c r="F68" s="1149">
        <v>30</v>
      </c>
    </row>
    <row r="69" spans="1:6" s="1100" customFormat="1" ht="36">
      <c r="A69" s="1149">
        <v>9</v>
      </c>
      <c r="B69" s="3439"/>
      <c r="C69" s="1063" t="s">
        <v>1517</v>
      </c>
      <c r="D69" s="1063" t="s">
        <v>1518</v>
      </c>
      <c r="E69" s="1134">
        <v>0.2</v>
      </c>
      <c r="F69" s="1149">
        <v>30</v>
      </c>
    </row>
    <row r="70" spans="1:6" s="1100" customFormat="1" ht="48">
      <c r="A70" s="1149">
        <v>10</v>
      </c>
      <c r="B70" s="3439"/>
      <c r="C70" s="1063" t="s">
        <v>1519</v>
      </c>
      <c r="D70" s="1063" t="s">
        <v>1520</v>
      </c>
      <c r="E70" s="1134">
        <v>0.2</v>
      </c>
      <c r="F70" s="1149">
        <v>30</v>
      </c>
    </row>
    <row r="71" spans="1:6" s="1100" customFormat="1" ht="48">
      <c r="A71" s="1149">
        <v>11</v>
      </c>
      <c r="B71" s="3439"/>
      <c r="C71" s="1063" t="s">
        <v>1521</v>
      </c>
      <c r="D71" s="1063" t="s">
        <v>1522</v>
      </c>
      <c r="E71" s="1134">
        <v>0.2</v>
      </c>
      <c r="F71" s="1149">
        <v>30</v>
      </c>
    </row>
    <row r="72" spans="1:6" s="1100" customFormat="1" ht="36">
      <c r="A72" s="1149">
        <v>12</v>
      </c>
      <c r="B72" s="3439"/>
      <c r="C72" s="1063" t="s">
        <v>1523</v>
      </c>
      <c r="D72" s="1063" t="s">
        <v>1524</v>
      </c>
      <c r="E72" s="1134">
        <v>0.5</v>
      </c>
      <c r="F72" s="1149">
        <v>80</v>
      </c>
    </row>
    <row r="73" spans="1:6" s="1100" customFormat="1" ht="24">
      <c r="A73" s="1149">
        <v>13</v>
      </c>
      <c r="B73" s="3439"/>
      <c r="C73" s="1063" t="s">
        <v>1525</v>
      </c>
      <c r="D73" s="1063" t="s">
        <v>1526</v>
      </c>
      <c r="E73" s="1134">
        <v>0.4</v>
      </c>
      <c r="F73" s="1149">
        <v>60</v>
      </c>
    </row>
    <row r="74" spans="1:6" s="1100" customFormat="1" ht="24">
      <c r="A74" s="1149">
        <v>14</v>
      </c>
      <c r="B74" s="3439"/>
      <c r="C74" s="1063" t="s">
        <v>1527</v>
      </c>
      <c r="D74" s="1063" t="s">
        <v>1528</v>
      </c>
      <c r="E74" s="1134">
        <v>0.2</v>
      </c>
      <c r="F74" s="1149">
        <v>30</v>
      </c>
    </row>
    <row r="75" spans="1:6" s="1100" customFormat="1" ht="24">
      <c r="A75" s="1149">
        <v>15</v>
      </c>
      <c r="B75" s="3439"/>
      <c r="C75" s="1063" t="s">
        <v>1529</v>
      </c>
      <c r="D75" s="1063" t="s">
        <v>1530</v>
      </c>
      <c r="E75" s="1134">
        <v>0.2</v>
      </c>
      <c r="F75" s="1149">
        <v>30</v>
      </c>
    </row>
    <row r="76" spans="1:6" s="1100" customFormat="1" ht="24">
      <c r="A76" s="1149">
        <v>16</v>
      </c>
      <c r="B76" s="3439" t="s">
        <v>1531</v>
      </c>
      <c r="C76" s="1063" t="s">
        <v>1532</v>
      </c>
      <c r="D76" s="1063" t="s">
        <v>1533</v>
      </c>
      <c r="E76" s="1134">
        <v>0.5</v>
      </c>
      <c r="F76" s="1149">
        <v>80</v>
      </c>
    </row>
    <row r="77" spans="1:6" s="1100" customFormat="1" ht="24">
      <c r="A77" s="1149">
        <v>17</v>
      </c>
      <c r="B77" s="3439"/>
      <c r="C77" s="1063" t="s">
        <v>1534</v>
      </c>
      <c r="D77" s="1063" t="s">
        <v>1535</v>
      </c>
      <c r="E77" s="1134">
        <v>0.5</v>
      </c>
      <c r="F77" s="1149">
        <v>80</v>
      </c>
    </row>
    <row r="78" spans="1:6" s="1100" customFormat="1" ht="24">
      <c r="A78" s="1149">
        <v>18</v>
      </c>
      <c r="B78" s="3439"/>
      <c r="C78" s="1063" t="s">
        <v>1536</v>
      </c>
      <c r="D78" s="1063" t="s">
        <v>1537</v>
      </c>
      <c r="E78" s="1134">
        <v>0.2</v>
      </c>
      <c r="F78" s="1149">
        <v>30</v>
      </c>
    </row>
    <row r="79" spans="1:6" s="1100" customFormat="1" ht="24">
      <c r="A79" s="1149">
        <v>19</v>
      </c>
      <c r="B79" s="3439"/>
      <c r="C79" s="1063" t="s">
        <v>1538</v>
      </c>
      <c r="D79" s="1063" t="s">
        <v>1539</v>
      </c>
      <c r="E79" s="1134">
        <v>0.5</v>
      </c>
      <c r="F79" s="1149">
        <v>80</v>
      </c>
    </row>
    <row r="80" spans="1:6" s="1100" customFormat="1" ht="36">
      <c r="A80" s="1149">
        <v>20</v>
      </c>
      <c r="B80" s="3439"/>
      <c r="C80" s="1063" t="s">
        <v>1540</v>
      </c>
      <c r="D80" s="1063" t="s">
        <v>1541</v>
      </c>
      <c r="E80" s="1134">
        <v>0.2</v>
      </c>
      <c r="F80" s="1149">
        <v>30</v>
      </c>
    </row>
    <row r="81" spans="1:6" s="1100" customFormat="1" ht="36">
      <c r="A81" s="1149">
        <v>21</v>
      </c>
      <c r="B81" s="3439"/>
      <c r="C81" s="1063" t="s">
        <v>1542</v>
      </c>
      <c r="D81" s="1063" t="s">
        <v>1543</v>
      </c>
      <c r="E81" s="1134">
        <v>0.2</v>
      </c>
      <c r="F81" s="1149">
        <v>30</v>
      </c>
    </row>
    <row r="82" spans="1:6" s="1100" customFormat="1" ht="48">
      <c r="A82" s="1149">
        <v>22</v>
      </c>
      <c r="B82" s="3439"/>
      <c r="C82" s="1063" t="s">
        <v>1544</v>
      </c>
      <c r="D82" s="1063" t="s">
        <v>1545</v>
      </c>
      <c r="E82" s="1134">
        <v>0.2</v>
      </c>
      <c r="F82" s="1149">
        <v>30</v>
      </c>
    </row>
    <row r="83" spans="1:6" s="1100" customFormat="1" ht="48">
      <c r="A83" s="1149">
        <v>23</v>
      </c>
      <c r="B83" s="3439"/>
      <c r="C83" s="1063" t="s">
        <v>1546</v>
      </c>
      <c r="D83" s="1063" t="s">
        <v>1547</v>
      </c>
      <c r="E83" s="1134">
        <v>0.2</v>
      </c>
      <c r="F83" s="1149">
        <v>30</v>
      </c>
    </row>
    <row r="84" spans="1:6" s="1100" customFormat="1" ht="36">
      <c r="A84" s="1149">
        <v>24</v>
      </c>
      <c r="B84" s="3439"/>
      <c r="C84" s="1063" t="s">
        <v>1548</v>
      </c>
      <c r="D84" s="1063" t="s">
        <v>1549</v>
      </c>
      <c r="E84" s="1134">
        <v>0.2</v>
      </c>
      <c r="F84" s="1149">
        <v>30</v>
      </c>
    </row>
    <row r="85" spans="1:6" s="1100" customFormat="1" ht="36">
      <c r="A85" s="1149">
        <v>25</v>
      </c>
      <c r="B85" s="3439"/>
      <c r="C85" s="1063" t="s">
        <v>1550</v>
      </c>
      <c r="D85" s="1063" t="s">
        <v>1551</v>
      </c>
      <c r="E85" s="1134">
        <v>0.5</v>
      </c>
      <c r="F85" s="1149">
        <v>80</v>
      </c>
    </row>
    <row r="86" spans="1:6" s="1100" customFormat="1" ht="36">
      <c r="A86" s="1149">
        <v>26</v>
      </c>
      <c r="B86" s="3439"/>
      <c r="C86" s="1063" t="s">
        <v>1552</v>
      </c>
      <c r="D86" s="1063" t="s">
        <v>1553</v>
      </c>
      <c r="E86" s="1134">
        <v>0.2</v>
      </c>
      <c r="F86" s="1149">
        <v>30</v>
      </c>
    </row>
    <row r="87" spans="1:6" s="1100" customFormat="1" ht="36">
      <c r="A87" s="1149">
        <v>27</v>
      </c>
      <c r="B87" s="3439"/>
      <c r="C87" s="1063" t="s">
        <v>1554</v>
      </c>
      <c r="D87" s="1063" t="s">
        <v>1555</v>
      </c>
      <c r="E87" s="1134">
        <v>0.2</v>
      </c>
      <c r="F87" s="1149">
        <v>30</v>
      </c>
    </row>
    <row r="88" spans="1:6" s="1100" customFormat="1" ht="36">
      <c r="A88" s="1149">
        <v>28</v>
      </c>
      <c r="B88" s="3439"/>
      <c r="C88" s="1063" t="s">
        <v>1556</v>
      </c>
      <c r="D88" s="1063" t="s">
        <v>1557</v>
      </c>
      <c r="E88" s="1134">
        <v>0.2</v>
      </c>
      <c r="F88" s="1149">
        <v>30</v>
      </c>
    </row>
    <row r="89" spans="1:6" s="1100" customFormat="1" ht="24">
      <c r="A89" s="1149">
        <v>29</v>
      </c>
      <c r="B89" s="3439"/>
      <c r="C89" s="1063" t="s">
        <v>1558</v>
      </c>
      <c r="D89" s="1063" t="s">
        <v>1559</v>
      </c>
      <c r="E89" s="1134">
        <v>0.2</v>
      </c>
      <c r="F89" s="1149">
        <v>30</v>
      </c>
    </row>
    <row r="90" spans="1:6" s="1100" customFormat="1" ht="24">
      <c r="A90" s="1149">
        <v>30</v>
      </c>
      <c r="B90" s="3439"/>
      <c r="C90" s="1063" t="s">
        <v>1560</v>
      </c>
      <c r="D90" s="1063" t="s">
        <v>1561</v>
      </c>
      <c r="E90" s="1134">
        <v>0.2</v>
      </c>
      <c r="F90" s="1149">
        <v>30</v>
      </c>
    </row>
    <row r="91" spans="1:6" s="1100" customFormat="1" ht="36">
      <c r="A91" s="1149">
        <v>31</v>
      </c>
      <c r="B91" s="3439"/>
      <c r="C91" s="1063" t="s">
        <v>1562</v>
      </c>
      <c r="D91" s="1063" t="s">
        <v>1563</v>
      </c>
      <c r="E91" s="1134">
        <v>0.2</v>
      </c>
      <c r="F91" s="1149">
        <v>30</v>
      </c>
    </row>
    <row r="92" spans="1:6" s="1100" customFormat="1" ht="24">
      <c r="A92" s="1149">
        <v>32</v>
      </c>
      <c r="B92" s="3439" t="s">
        <v>1564</v>
      </c>
      <c r="C92" s="1149" t="s">
        <v>1565</v>
      </c>
      <c r="D92" s="1063" t="s">
        <v>1566</v>
      </c>
      <c r="E92" s="1134">
        <v>0.2</v>
      </c>
      <c r="F92" s="1149">
        <v>30</v>
      </c>
    </row>
    <row r="93" spans="1:6" s="1100" customFormat="1" ht="36">
      <c r="A93" s="1149">
        <v>33</v>
      </c>
      <c r="B93" s="3439"/>
      <c r="C93" s="1149" t="s">
        <v>1567</v>
      </c>
      <c r="D93" s="1063" t="s">
        <v>1568</v>
      </c>
      <c r="E93" s="1134">
        <v>0.2</v>
      </c>
      <c r="F93" s="1149">
        <v>30</v>
      </c>
    </row>
    <row r="94" spans="1:6" s="1100" customFormat="1" ht="48">
      <c r="A94" s="1149">
        <v>34</v>
      </c>
      <c r="B94" s="3439"/>
      <c r="C94" s="1149" t="s">
        <v>1569</v>
      </c>
      <c r="D94" s="1063" t="s">
        <v>1570</v>
      </c>
      <c r="E94" s="1134">
        <v>0.2</v>
      </c>
      <c r="F94" s="1149">
        <v>30</v>
      </c>
    </row>
    <row r="95" spans="1:6" s="1100" customFormat="1" ht="36">
      <c r="A95" s="1149">
        <v>35</v>
      </c>
      <c r="B95" s="3439"/>
      <c r="C95" s="1149" t="s">
        <v>1571</v>
      </c>
      <c r="D95" s="1063" t="s">
        <v>1572</v>
      </c>
      <c r="E95" s="1134">
        <v>0.2</v>
      </c>
      <c r="F95" s="1149">
        <v>30</v>
      </c>
    </row>
    <row r="96" spans="1:6" s="1100" customFormat="1" ht="48">
      <c r="A96" s="1149">
        <v>36</v>
      </c>
      <c r="B96" s="3439"/>
      <c r="C96" s="1063" t="s">
        <v>1573</v>
      </c>
      <c r="D96" s="1063" t="s">
        <v>1574</v>
      </c>
      <c r="E96" s="1134">
        <v>0.2</v>
      </c>
      <c r="F96" s="1149">
        <v>30</v>
      </c>
    </row>
    <row r="97" spans="1:6" s="1100" customFormat="1" ht="36">
      <c r="A97" s="1149">
        <v>37</v>
      </c>
      <c r="B97" s="3439"/>
      <c r="C97" s="1149" t="s">
        <v>1575</v>
      </c>
      <c r="D97" s="1063" t="s">
        <v>1576</v>
      </c>
      <c r="E97" s="1134">
        <v>0.2</v>
      </c>
      <c r="F97" s="1149">
        <v>30</v>
      </c>
    </row>
    <row r="98" spans="1:6" s="1100" customFormat="1" ht="36">
      <c r="A98" s="1149">
        <v>38</v>
      </c>
      <c r="B98" s="3439"/>
      <c r="C98" s="1149" t="s">
        <v>1577</v>
      </c>
      <c r="D98" s="1063" t="s">
        <v>1578</v>
      </c>
      <c r="E98" s="1134">
        <v>0.2</v>
      </c>
      <c r="F98" s="1149">
        <v>30</v>
      </c>
    </row>
    <row r="99" spans="1:6" s="1100" customFormat="1" ht="36">
      <c r="A99" s="1149">
        <v>39</v>
      </c>
      <c r="B99" s="3439" t="s">
        <v>1579</v>
      </c>
      <c r="C99" s="1149" t="s">
        <v>1580</v>
      </c>
      <c r="D99" s="1063" t="s">
        <v>1581</v>
      </c>
      <c r="E99" s="1134">
        <v>0.3</v>
      </c>
      <c r="F99" s="1149">
        <v>50</v>
      </c>
    </row>
    <row r="100" spans="1:6" s="1100" customFormat="1" ht="24">
      <c r="A100" s="1149">
        <v>40</v>
      </c>
      <c r="B100" s="3439"/>
      <c r="C100" s="1149" t="s">
        <v>1582</v>
      </c>
      <c r="D100" s="1063" t="s">
        <v>1583</v>
      </c>
      <c r="E100" s="1134">
        <v>0.2</v>
      </c>
      <c r="F100" s="1149">
        <v>30</v>
      </c>
    </row>
    <row r="101" spans="1:6" s="1100" customFormat="1" ht="36">
      <c r="A101" s="1149">
        <v>41</v>
      </c>
      <c r="B101" s="3439"/>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39" t="s">
        <v>1594</v>
      </c>
      <c r="C105" s="1149" t="s">
        <v>1595</v>
      </c>
      <c r="D105" s="1063" t="s">
        <v>1596</v>
      </c>
      <c r="E105" s="1134">
        <v>0.2</v>
      </c>
      <c r="F105" s="1149">
        <v>30</v>
      </c>
    </row>
    <row r="106" spans="1:6" s="1100" customFormat="1" ht="36">
      <c r="A106" s="1149">
        <v>46</v>
      </c>
      <c r="B106" s="3439"/>
      <c r="C106" s="1149" t="s">
        <v>1597</v>
      </c>
      <c r="D106" s="1063" t="s">
        <v>1598</v>
      </c>
      <c r="E106" s="1134">
        <v>0.2</v>
      </c>
      <c r="F106" s="1149">
        <v>30</v>
      </c>
    </row>
    <row r="107" spans="1:6" s="1100" customFormat="1" ht="36">
      <c r="A107" s="1149">
        <v>47</v>
      </c>
      <c r="B107" s="3439" t="s">
        <v>1599</v>
      </c>
      <c r="C107" s="1149" t="s">
        <v>1600</v>
      </c>
      <c r="D107" s="1063" t="s">
        <v>1601</v>
      </c>
      <c r="E107" s="1134">
        <v>0.3</v>
      </c>
      <c r="F107" s="1149">
        <v>50</v>
      </c>
    </row>
    <row r="108" spans="1:6" s="1100" customFormat="1" ht="36">
      <c r="A108" s="1149">
        <v>48</v>
      </c>
      <c r="B108" s="3439"/>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39" t="s">
        <v>1610</v>
      </c>
      <c r="C111" s="1149" t="s">
        <v>1611</v>
      </c>
      <c r="D111" s="1063" t="s">
        <v>1612</v>
      </c>
      <c r="E111" s="1134">
        <v>0.2</v>
      </c>
      <c r="F111" s="1149">
        <v>30</v>
      </c>
    </row>
    <row r="112" spans="1:6" s="1100" customFormat="1" ht="24">
      <c r="A112" s="1149">
        <v>52</v>
      </c>
      <c r="B112" s="3439"/>
      <c r="C112" s="1149" t="s">
        <v>1613</v>
      </c>
      <c r="D112" s="1063" t="s">
        <v>1614</v>
      </c>
      <c r="E112" s="1134">
        <v>0.2</v>
      </c>
      <c r="F112" s="1149">
        <v>30</v>
      </c>
    </row>
    <row r="113" spans="1:14" s="1100" customFormat="1" ht="24">
      <c r="A113" s="1149">
        <v>53</v>
      </c>
      <c r="B113" s="3439"/>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39" t="s">
        <v>1623</v>
      </c>
      <c r="C116" s="1149" t="s">
        <v>1624</v>
      </c>
      <c r="D116" s="1063" t="s">
        <v>1625</v>
      </c>
      <c r="E116" s="1134">
        <v>0.2</v>
      </c>
      <c r="F116" s="1149">
        <v>30</v>
      </c>
    </row>
    <row r="117" spans="1:14" ht="36">
      <c r="A117" s="1149">
        <v>57</v>
      </c>
      <c r="B117" s="3439"/>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38" t="s">
        <v>1632</v>
      </c>
      <c r="B121" s="3438"/>
      <c r="C121" s="3438"/>
      <c r="D121" s="3438"/>
      <c r="E121" s="3438"/>
      <c r="F121" s="3438"/>
      <c r="G121" s="3438"/>
      <c r="H121" s="3438"/>
      <c r="I121" s="3438"/>
      <c r="J121" s="343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3" t="s">
        <v>1038</v>
      </c>
      <c r="B1" s="3443"/>
      <c r="C1" s="3443"/>
      <c r="D1" s="3443"/>
      <c r="E1" s="3443"/>
      <c r="F1" s="3443"/>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44" t="s">
        <v>1051</v>
      </c>
      <c r="B2" s="3444"/>
      <c r="C2" s="3444"/>
      <c r="D2" s="3444"/>
      <c r="E2" s="3444"/>
      <c r="F2" s="3444"/>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5"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46"/>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2421</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2422</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7" t="s">
        <v>2078</v>
      </c>
      <c r="B1" s="3447"/>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1095</v>
      </c>
      <c r="B6" s="1844" t="s">
        <v>2087</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2088</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2089</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2090</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2091</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2092</v>
      </c>
      <c r="C72" s="1854"/>
      <c r="D72" s="1854"/>
      <c r="E72" s="1854"/>
      <c r="F72" s="1846">
        <v>0.05</v>
      </c>
    </row>
    <row r="73" spans="1:6" ht="14.25" thickBot="1">
      <c r="A73" s="1840" t="s">
        <v>924</v>
      </c>
      <c r="B73" s="1844" t="s">
        <v>2093</v>
      </c>
      <c r="C73" s="1854"/>
      <c r="D73" s="1854"/>
      <c r="E73" s="1854"/>
      <c r="F73" s="1846">
        <v>0.05</v>
      </c>
    </row>
    <row r="74" spans="1:6" ht="14.25" thickBot="1">
      <c r="A74" s="1840" t="s">
        <v>924</v>
      </c>
      <c r="B74" s="1844" t="s">
        <v>2094</v>
      </c>
      <c r="C74" s="1854"/>
      <c r="D74" s="1854"/>
      <c r="E74" s="1854"/>
      <c r="F74" s="1846">
        <v>0.05</v>
      </c>
    </row>
    <row r="75" spans="1:6" ht="14.25" thickBot="1">
      <c r="A75" s="1848" t="s">
        <v>924</v>
      </c>
      <c r="B75" s="1855" t="s">
        <v>2095</v>
      </c>
      <c r="C75" s="1851"/>
      <c r="D75" s="1851"/>
      <c r="E75" s="1851"/>
      <c r="F75" s="1856">
        <v>0.05</v>
      </c>
    </row>
    <row r="76" spans="1:6" ht="14.25" thickBot="1">
      <c r="A76" s="1840" t="s">
        <v>1406</v>
      </c>
      <c r="B76" s="1841" t="s">
        <v>2096</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2097</v>
      </c>
      <c r="C102" s="1854"/>
      <c r="D102" s="1854"/>
      <c r="E102" s="1854"/>
      <c r="F102" s="1846">
        <v>0.05</v>
      </c>
    </row>
    <row r="103" spans="1:6" ht="24.75" thickBot="1">
      <c r="A103" s="1840" t="s">
        <v>1406</v>
      </c>
      <c r="B103" s="1844" t="s">
        <v>2098</v>
      </c>
      <c r="C103" s="1854"/>
      <c r="D103" s="1854"/>
      <c r="E103" s="1854"/>
      <c r="F103" s="1846">
        <v>0.05</v>
      </c>
    </row>
    <row r="104" spans="1:6" ht="14.25" thickBot="1">
      <c r="A104" s="1840" t="s">
        <v>1406</v>
      </c>
      <c r="B104" s="1844" t="s">
        <v>2099</v>
      </c>
      <c r="C104" s="1854"/>
      <c r="D104" s="1854"/>
      <c r="E104" s="1854"/>
      <c r="F104" s="1846">
        <v>0.05</v>
      </c>
    </row>
    <row r="105" spans="1:6" ht="14.25" thickBot="1">
      <c r="A105" s="1840" t="s">
        <v>1406</v>
      </c>
      <c r="B105" s="1844" t="s">
        <v>2100</v>
      </c>
      <c r="C105" s="1854"/>
      <c r="D105" s="1854"/>
      <c r="E105" s="1854"/>
      <c r="F105" s="1846">
        <v>0.05</v>
      </c>
    </row>
    <row r="106" spans="1:6" ht="14.25" thickBot="1">
      <c r="A106" s="1840" t="s">
        <v>1406</v>
      </c>
      <c r="B106" s="1844" t="s">
        <v>2101</v>
      </c>
      <c r="C106" s="1854"/>
      <c r="D106" s="1854"/>
      <c r="E106" s="1854"/>
      <c r="F106" s="1846">
        <v>0.05</v>
      </c>
    </row>
    <row r="107" spans="1:6" ht="24.75" thickBot="1">
      <c r="A107" s="1840" t="s">
        <v>1406</v>
      </c>
      <c r="B107" s="1844" t="s">
        <v>2102</v>
      </c>
      <c r="C107" s="1854"/>
      <c r="D107" s="1854"/>
      <c r="E107" s="1854"/>
      <c r="F107" s="1846">
        <v>0.05</v>
      </c>
    </row>
    <row r="108" spans="1:6" ht="24.75" thickBot="1">
      <c r="A108" s="1840" t="s">
        <v>1406</v>
      </c>
      <c r="B108" s="1844" t="s">
        <v>2103</v>
      </c>
      <c r="C108" s="1854"/>
      <c r="D108" s="1854"/>
      <c r="E108" s="1854"/>
      <c r="F108" s="1846">
        <v>0.05</v>
      </c>
    </row>
    <row r="109" spans="1:6" ht="24.75" thickBot="1">
      <c r="A109" s="1848" t="s">
        <v>1406</v>
      </c>
      <c r="B109" s="1855" t="s">
        <v>2104</v>
      </c>
      <c r="C109" s="1851"/>
      <c r="D109" s="1851"/>
      <c r="E109" s="1851"/>
      <c r="F109" s="1856">
        <v>0.05</v>
      </c>
    </row>
    <row r="110" spans="1:6" ht="14.25" thickBot="1">
      <c r="A110" s="1840" t="s">
        <v>1408</v>
      </c>
      <c r="B110" s="1841" t="s">
        <v>2105</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2106</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2107</v>
      </c>
      <c r="C138" s="1845">
        <v>0.105</v>
      </c>
      <c r="D138" s="1845">
        <v>0.125</v>
      </c>
      <c r="E138" s="1845">
        <v>0.112</v>
      </c>
      <c r="F138" s="1853"/>
    </row>
    <row r="139" spans="1:6" ht="14.25" thickBot="1">
      <c r="A139" s="1840" t="s">
        <v>1408</v>
      </c>
      <c r="B139" s="1844" t="s">
        <v>2108</v>
      </c>
      <c r="C139" s="1845">
        <v>0.127</v>
      </c>
      <c r="D139" s="1845">
        <v>0.127</v>
      </c>
      <c r="E139" s="1845">
        <v>0.122</v>
      </c>
      <c r="F139" s="1846">
        <v>0.13</v>
      </c>
    </row>
    <row r="140" spans="1:6" ht="14.25" thickBot="1">
      <c r="A140" s="1840" t="s">
        <v>1408</v>
      </c>
      <c r="B140" s="1844" t="s">
        <v>2109</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2110</v>
      </c>
      <c r="C144" s="1858">
        <v>0.126</v>
      </c>
      <c r="D144" s="1858">
        <v>0.126</v>
      </c>
      <c r="E144" s="1858">
        <v>0.121</v>
      </c>
      <c r="F144" s="1853"/>
    </row>
    <row r="145" spans="1:6" ht="14.25" thickBot="1">
      <c r="A145" s="1848" t="s">
        <v>1408</v>
      </c>
      <c r="B145" s="1859" t="s">
        <v>2111</v>
      </c>
      <c r="C145" s="1860"/>
      <c r="D145" s="1860"/>
      <c r="E145" s="1860"/>
      <c r="F145" s="1861">
        <v>0.05</v>
      </c>
    </row>
    <row r="146" spans="1:6" ht="24.75" thickBot="1">
      <c r="A146" s="1862" t="s">
        <v>1408</v>
      </c>
      <c r="B146" s="1847" t="s">
        <v>2112</v>
      </c>
      <c r="C146" s="1854"/>
      <c r="D146" s="1854"/>
      <c r="E146" s="1854"/>
      <c r="F146" s="1863">
        <v>0.05</v>
      </c>
    </row>
    <row r="147" spans="1:6" ht="24.75" thickBot="1">
      <c r="A147" s="1840" t="s">
        <v>1408</v>
      </c>
      <c r="B147" s="1844" t="s">
        <v>2113</v>
      </c>
      <c r="C147" s="1854"/>
      <c r="D147" s="1854"/>
      <c r="E147" s="1854"/>
      <c r="F147" s="1846">
        <v>0.05</v>
      </c>
    </row>
    <row r="148" spans="1:6" ht="24.75" thickBot="1">
      <c r="A148" s="1840" t="s">
        <v>1408</v>
      </c>
      <c r="B148" s="1844" t="s">
        <v>2114</v>
      </c>
      <c r="C148" s="1854"/>
      <c r="D148" s="1854"/>
      <c r="E148" s="1854"/>
      <c r="F148" s="1846">
        <v>0.05</v>
      </c>
    </row>
    <row r="149" spans="1:6" ht="24.75" thickBot="1">
      <c r="A149" s="1840" t="s">
        <v>1408</v>
      </c>
      <c r="B149" s="1844" t="s">
        <v>2115</v>
      </c>
      <c r="C149" s="1854"/>
      <c r="D149" s="1854"/>
      <c r="E149" s="1854"/>
      <c r="F149" s="1846">
        <v>0.05</v>
      </c>
    </row>
    <row r="150" spans="1:6" ht="24.75" thickBot="1">
      <c r="A150" s="1840" t="s">
        <v>1408</v>
      </c>
      <c r="B150" s="1844" t="s">
        <v>2116</v>
      </c>
      <c r="C150" s="1854"/>
      <c r="D150" s="1854"/>
      <c r="E150" s="1854"/>
      <c r="F150" s="1846">
        <v>0.05</v>
      </c>
    </row>
    <row r="151" spans="1:6" ht="24.75" thickBot="1">
      <c r="A151" s="1840" t="s">
        <v>1408</v>
      </c>
      <c r="B151" s="1844" t="s">
        <v>2117</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2118</v>
      </c>
      <c r="C153" s="1854"/>
      <c r="D153" s="1854"/>
      <c r="E153" s="1854"/>
      <c r="F153" s="1846">
        <v>0.05</v>
      </c>
    </row>
    <row r="154" spans="1:6" ht="14.25" thickBot="1">
      <c r="A154" s="1840" t="s">
        <v>1408</v>
      </c>
      <c r="B154" s="1844" t="s">
        <v>2119</v>
      </c>
      <c r="C154" s="1854"/>
      <c r="D154" s="1854"/>
      <c r="E154" s="1854"/>
      <c r="F154" s="1846">
        <v>0.05</v>
      </c>
    </row>
    <row r="155" spans="1:6" ht="24.75" thickBot="1">
      <c r="A155" s="1840" t="s">
        <v>1408</v>
      </c>
      <c r="B155" s="1844" t="s">
        <v>2120</v>
      </c>
      <c r="C155" s="1854"/>
      <c r="D155" s="1854"/>
      <c r="E155" s="1854"/>
      <c r="F155" s="1846">
        <v>0.05</v>
      </c>
    </row>
    <row r="156" spans="1:6" ht="24.75" thickBot="1">
      <c r="A156" s="1840" t="s">
        <v>1408</v>
      </c>
      <c r="B156" s="1844" t="s">
        <v>2121</v>
      </c>
      <c r="C156" s="1854"/>
      <c r="D156" s="1854"/>
      <c r="E156" s="1854"/>
      <c r="F156" s="1846">
        <v>0.05</v>
      </c>
    </row>
    <row r="157" spans="1:6" ht="14.25" thickBot="1">
      <c r="A157" s="1848" t="s">
        <v>1408</v>
      </c>
      <c r="B157" s="1855" t="s">
        <v>2122</v>
      </c>
      <c r="C157" s="1851"/>
      <c r="D157" s="1851"/>
      <c r="E157" s="1851"/>
      <c r="F157" s="1856">
        <v>0.05</v>
      </c>
    </row>
    <row r="158" spans="1:6" ht="14.25" thickBot="1">
      <c r="A158" s="1840" t="s">
        <v>1410</v>
      </c>
      <c r="B158" s="1841" t="s">
        <v>2123</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2124</v>
      </c>
      <c r="C171" s="1845">
        <v>0.127</v>
      </c>
      <c r="D171" s="1845">
        <v>0.126</v>
      </c>
      <c r="E171" s="1845">
        <v>0.126</v>
      </c>
      <c r="F171" s="1846">
        <v>0.11799999999999999</v>
      </c>
    </row>
    <row r="172" spans="1:6" ht="14.25" thickBot="1">
      <c r="A172" s="1840" t="s">
        <v>1410</v>
      </c>
      <c r="B172" s="1844" t="s">
        <v>2125</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2126</v>
      </c>
      <c r="C174" s="1845">
        <v>0.13</v>
      </c>
      <c r="D174" s="1845">
        <v>0.13</v>
      </c>
      <c r="E174" s="1845">
        <v>0.13</v>
      </c>
      <c r="F174" s="1846">
        <v>0.13</v>
      </c>
    </row>
    <row r="175" spans="1:6" ht="14.25" thickBot="1">
      <c r="A175" s="1840" t="s">
        <v>1410</v>
      </c>
      <c r="B175" s="1844" t="s">
        <v>2127</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2128</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2129</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2130</v>
      </c>
      <c r="C185" s="1845">
        <v>0.127</v>
      </c>
      <c r="D185" s="1845">
        <v>0.127</v>
      </c>
      <c r="E185" s="1845">
        <v>0.128</v>
      </c>
      <c r="F185" s="1846">
        <v>0.13</v>
      </c>
    </row>
    <row r="186" spans="1:6" ht="24.75" thickBot="1">
      <c r="A186" s="1840" t="s">
        <v>1410</v>
      </c>
      <c r="B186" s="1844" t="s">
        <v>2131</v>
      </c>
      <c r="C186" s="1854"/>
      <c r="D186" s="1854"/>
      <c r="E186" s="1854"/>
      <c r="F186" s="1846">
        <v>0.05</v>
      </c>
    </row>
    <row r="187" spans="1:6" ht="14.25" thickBot="1">
      <c r="A187" s="1840" t="s">
        <v>1410</v>
      </c>
      <c r="B187" s="1844" t="s">
        <v>2132</v>
      </c>
      <c r="C187" s="1854"/>
      <c r="D187" s="1854"/>
      <c r="E187" s="1854"/>
      <c r="F187" s="1846">
        <v>0.05</v>
      </c>
    </row>
    <row r="188" spans="1:6" ht="14.25" thickBot="1">
      <c r="A188" s="1840" t="s">
        <v>1410</v>
      </c>
      <c r="B188" s="1844" t="s">
        <v>2133</v>
      </c>
      <c r="C188" s="1854"/>
      <c r="D188" s="1854"/>
      <c r="E188" s="1854"/>
      <c r="F188" s="1846">
        <v>0.05</v>
      </c>
    </row>
    <row r="189" spans="1:6" ht="24.75" thickBot="1">
      <c r="A189" s="1840" t="s">
        <v>1410</v>
      </c>
      <c r="B189" s="1844" t="s">
        <v>2134</v>
      </c>
      <c r="C189" s="1854"/>
      <c r="D189" s="1854"/>
      <c r="E189" s="1854"/>
      <c r="F189" s="1846">
        <v>0.05</v>
      </c>
    </row>
    <row r="190" spans="1:6" ht="24.75" thickBot="1">
      <c r="A190" s="1840" t="s">
        <v>1410</v>
      </c>
      <c r="B190" s="1844" t="s">
        <v>2135</v>
      </c>
      <c r="C190" s="1854"/>
      <c r="D190" s="1854"/>
      <c r="E190" s="1854"/>
      <c r="F190" s="1846">
        <v>0.05</v>
      </c>
    </row>
    <row r="191" spans="1:6" ht="24.75" thickBot="1">
      <c r="A191" s="1840" t="s">
        <v>1410</v>
      </c>
      <c r="B191" s="1844" t="s">
        <v>2136</v>
      </c>
      <c r="C191" s="1854"/>
      <c r="D191" s="1854"/>
      <c r="E191" s="1854"/>
      <c r="F191" s="1846">
        <v>0.05</v>
      </c>
    </row>
    <row r="192" spans="1:6" ht="24.75" thickBot="1">
      <c r="A192" s="1840" t="s">
        <v>1410</v>
      </c>
      <c r="B192" s="1844" t="s">
        <v>2137</v>
      </c>
      <c r="C192" s="1854"/>
      <c r="D192" s="1854"/>
      <c r="E192" s="1854"/>
      <c r="F192" s="1846">
        <v>0.05</v>
      </c>
    </row>
    <row r="193" spans="1:6" ht="24.75" thickBot="1">
      <c r="A193" s="1840" t="s">
        <v>1410</v>
      </c>
      <c r="B193" s="1844" t="s">
        <v>2138</v>
      </c>
      <c r="C193" s="1854"/>
      <c r="D193" s="1854"/>
      <c r="E193" s="1854"/>
      <c r="F193" s="1846">
        <v>0.05</v>
      </c>
    </row>
    <row r="194" spans="1:6" ht="24.75" thickBot="1">
      <c r="A194" s="1840" t="s">
        <v>1410</v>
      </c>
      <c r="B194" s="1844" t="s">
        <v>2139</v>
      </c>
      <c r="C194" s="1854"/>
      <c r="D194" s="1854"/>
      <c r="E194" s="1854"/>
      <c r="F194" s="1846">
        <v>0.05</v>
      </c>
    </row>
    <row r="195" spans="1:6" ht="14.25" thickBot="1">
      <c r="A195" s="1840" t="s">
        <v>1410</v>
      </c>
      <c r="B195" s="1844" t="s">
        <v>2140</v>
      </c>
      <c r="C195" s="1854"/>
      <c r="D195" s="1854"/>
      <c r="E195" s="1854"/>
      <c r="F195" s="1846">
        <v>0.05</v>
      </c>
    </row>
    <row r="196" spans="1:6" ht="24.75" thickBot="1">
      <c r="A196" s="1840" t="s">
        <v>1410</v>
      </c>
      <c r="B196" s="1844" t="s">
        <v>2141</v>
      </c>
      <c r="C196" s="1854"/>
      <c r="D196" s="1854"/>
      <c r="E196" s="1854"/>
      <c r="F196" s="1846">
        <v>0.05</v>
      </c>
    </row>
    <row r="197" spans="1:6" ht="24.75" thickBot="1">
      <c r="A197" s="1840" t="s">
        <v>1410</v>
      </c>
      <c r="B197" s="1844" t="s">
        <v>2142</v>
      </c>
      <c r="C197" s="1854"/>
      <c r="D197" s="1854"/>
      <c r="E197" s="1854"/>
      <c r="F197" s="1846">
        <v>0.05</v>
      </c>
    </row>
    <row r="198" spans="1:6" ht="24.75" thickBot="1">
      <c r="A198" s="1840" t="s">
        <v>1410</v>
      </c>
      <c r="B198" s="1844" t="s">
        <v>2143</v>
      </c>
      <c r="C198" s="1854"/>
      <c r="D198" s="1854"/>
      <c r="E198" s="1854"/>
      <c r="F198" s="1846">
        <v>0.05</v>
      </c>
    </row>
    <row r="199" spans="1:6" ht="24.75" thickBot="1">
      <c r="A199" s="1840" t="s">
        <v>1410</v>
      </c>
      <c r="B199" s="1844" t="s">
        <v>2144</v>
      </c>
      <c r="C199" s="1854"/>
      <c r="D199" s="1854"/>
      <c r="E199" s="1854"/>
      <c r="F199" s="1846">
        <v>0.05</v>
      </c>
    </row>
    <row r="200" spans="1:6" ht="24.75" thickBot="1">
      <c r="A200" s="1840" t="s">
        <v>1410</v>
      </c>
      <c r="B200" s="1844" t="s">
        <v>2145</v>
      </c>
      <c r="C200" s="1854"/>
      <c r="D200" s="1854"/>
      <c r="E200" s="1854"/>
      <c r="F200" s="1846">
        <v>0.05</v>
      </c>
    </row>
    <row r="201" spans="1:6" ht="24.75" thickBot="1">
      <c r="A201" s="1840" t="s">
        <v>1410</v>
      </c>
      <c r="B201" s="1844" t="s">
        <v>2146</v>
      </c>
      <c r="C201" s="1854"/>
      <c r="D201" s="1854"/>
      <c r="E201" s="1854"/>
      <c r="F201" s="1846">
        <v>0.05</v>
      </c>
    </row>
    <row r="202" spans="1:6" ht="24.75" thickBot="1">
      <c r="A202" s="1840" t="s">
        <v>1410</v>
      </c>
      <c r="B202" s="1844" t="s">
        <v>2147</v>
      </c>
      <c r="C202" s="1854"/>
      <c r="D202" s="1854"/>
      <c r="E202" s="1854"/>
      <c r="F202" s="1846">
        <v>0.05</v>
      </c>
    </row>
    <row r="203" spans="1:6" ht="24.75" thickBot="1">
      <c r="A203" s="1840" t="s">
        <v>1410</v>
      </c>
      <c r="B203" s="1844" t="s">
        <v>2148</v>
      </c>
      <c r="C203" s="1854"/>
      <c r="D203" s="1854"/>
      <c r="E203" s="1854"/>
      <c r="F203" s="1846">
        <v>0.05</v>
      </c>
    </row>
    <row r="204" spans="1:6" ht="14.25" thickBot="1">
      <c r="A204" s="1840" t="s">
        <v>1410</v>
      </c>
      <c r="B204" s="1844" t="s">
        <v>2149</v>
      </c>
      <c r="C204" s="1854"/>
      <c r="D204" s="1854"/>
      <c r="E204" s="1854"/>
      <c r="F204" s="1846">
        <v>0.05</v>
      </c>
    </row>
    <row r="205" spans="1:6" ht="14.25" thickBot="1">
      <c r="A205" s="1848" t="s">
        <v>1410</v>
      </c>
      <c r="B205" s="1855" t="s">
        <v>2150</v>
      </c>
      <c r="C205" s="1851"/>
      <c r="D205" s="1851"/>
      <c r="E205" s="1851"/>
      <c r="F205" s="1856">
        <v>0.05</v>
      </c>
    </row>
    <row r="206" spans="1:6" ht="14.25" thickBot="1">
      <c r="A206" s="1840" t="s">
        <v>1412</v>
      </c>
      <c r="B206" s="1841" t="s">
        <v>2151</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2152</v>
      </c>
      <c r="C210" s="1845">
        <v>0.15</v>
      </c>
      <c r="D210" s="1845">
        <v>0.15</v>
      </c>
      <c r="E210" s="1845">
        <v>0.15</v>
      </c>
      <c r="F210" s="1846">
        <v>0.13800000000000001</v>
      </c>
    </row>
    <row r="211" spans="1:6" ht="14.25" thickBot="1">
      <c r="A211" s="1840" t="s">
        <v>1412</v>
      </c>
      <c r="B211" s="1844" t="s">
        <v>2153</v>
      </c>
      <c r="C211" s="1845">
        <v>0.13700000000000001</v>
      </c>
      <c r="D211" s="1845">
        <v>0.13500000000000001</v>
      </c>
      <c r="E211" s="1845">
        <v>0.13600000000000001</v>
      </c>
      <c r="F211" s="1846">
        <v>0.1</v>
      </c>
    </row>
    <row r="212" spans="1:6" ht="14.25" thickBot="1">
      <c r="A212" s="1840" t="s">
        <v>1412</v>
      </c>
      <c r="B212" s="1844" t="s">
        <v>2154</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2155</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2156</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2157</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2158</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2159</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2160</v>
      </c>
      <c r="C231" s="1845">
        <v>0.128</v>
      </c>
      <c r="D231" s="1845">
        <v>0.125</v>
      </c>
      <c r="E231" s="1845">
        <v>0.13200000000000001</v>
      </c>
      <c r="F231" s="1853"/>
    </row>
    <row r="232" spans="1:6" ht="14.25" thickBot="1">
      <c r="A232" s="1840" t="s">
        <v>1412</v>
      </c>
      <c r="B232" s="1844" t="s">
        <v>2161</v>
      </c>
      <c r="C232" s="1845">
        <v>0.14499999999999999</v>
      </c>
      <c r="D232" s="1845">
        <v>0.14399999999999999</v>
      </c>
      <c r="E232" s="1845">
        <v>0.14599999999999999</v>
      </c>
      <c r="F232" s="1846">
        <v>0.13800000000000001</v>
      </c>
    </row>
    <row r="233" spans="1:6" ht="14.25" thickBot="1">
      <c r="A233" s="1840" t="s">
        <v>1412</v>
      </c>
      <c r="B233" s="1844" t="s">
        <v>2162</v>
      </c>
      <c r="C233" s="1845">
        <v>0.14499999999999999</v>
      </c>
      <c r="D233" s="1845">
        <v>0.14299999999999999</v>
      </c>
      <c r="E233" s="1845">
        <v>0.14199999999999999</v>
      </c>
      <c r="F233" s="1853"/>
    </row>
    <row r="234" spans="1:6" ht="14.25" thickBot="1">
      <c r="A234" s="1840" t="s">
        <v>1412</v>
      </c>
      <c r="B234" s="1844" t="s">
        <v>2163</v>
      </c>
      <c r="C234" s="1845">
        <v>0.14000000000000001</v>
      </c>
      <c r="D234" s="1845">
        <v>0.14000000000000001</v>
      </c>
      <c r="E234" s="1845">
        <v>0.14399999999999999</v>
      </c>
      <c r="F234" s="1853"/>
    </row>
    <row r="235" spans="1:6" ht="14.25" thickBot="1">
      <c r="A235" s="1840" t="s">
        <v>1412</v>
      </c>
      <c r="B235" s="1844" t="s">
        <v>2164</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2165</v>
      </c>
      <c r="C237" s="1854"/>
      <c r="D237" s="1854"/>
      <c r="E237" s="1854"/>
      <c r="F237" s="1846">
        <v>0.05</v>
      </c>
    </row>
    <row r="238" spans="1:6" ht="24.75" thickBot="1">
      <c r="A238" s="1840" t="s">
        <v>1412</v>
      </c>
      <c r="B238" s="1844" t="s">
        <v>2166</v>
      </c>
      <c r="C238" s="1854"/>
      <c r="D238" s="1854"/>
      <c r="E238" s="1854"/>
      <c r="F238" s="1846">
        <v>0.05</v>
      </c>
    </row>
    <row r="239" spans="1:6" ht="24.75" thickBot="1">
      <c r="A239" s="1840" t="s">
        <v>1412</v>
      </c>
      <c r="B239" s="1844" t="s">
        <v>2167</v>
      </c>
      <c r="C239" s="1854"/>
      <c r="D239" s="1854"/>
      <c r="E239" s="1854"/>
      <c r="F239" s="1846">
        <v>0.05</v>
      </c>
    </row>
    <row r="240" spans="1:6" ht="24.75" thickBot="1">
      <c r="A240" s="1840" t="s">
        <v>1412</v>
      </c>
      <c r="B240" s="1844" t="s">
        <v>2168</v>
      </c>
      <c r="C240" s="1854"/>
      <c r="D240" s="1854"/>
      <c r="E240" s="1854"/>
      <c r="F240" s="1846">
        <v>0.05</v>
      </c>
    </row>
    <row r="241" spans="1:6" ht="24.75" thickBot="1">
      <c r="A241" s="1840" t="s">
        <v>1412</v>
      </c>
      <c r="B241" s="1844" t="s">
        <v>2169</v>
      </c>
      <c r="C241" s="1854"/>
      <c r="D241" s="1854"/>
      <c r="E241" s="1854"/>
      <c r="F241" s="1846">
        <v>0.05</v>
      </c>
    </row>
    <row r="242" spans="1:6" ht="24.75" thickBot="1">
      <c r="A242" s="1840" t="s">
        <v>1412</v>
      </c>
      <c r="B242" s="1844" t="s">
        <v>2170</v>
      </c>
      <c r="C242" s="1854"/>
      <c r="D242" s="1854"/>
      <c r="E242" s="1854"/>
      <c r="F242" s="1846">
        <v>0.05</v>
      </c>
    </row>
    <row r="243" spans="1:6" ht="24.75" thickBot="1">
      <c r="A243" s="1840" t="s">
        <v>1412</v>
      </c>
      <c r="B243" s="1844" t="s">
        <v>2171</v>
      </c>
      <c r="C243" s="1854"/>
      <c r="D243" s="1854"/>
      <c r="E243" s="1854"/>
      <c r="F243" s="1846">
        <v>0.05</v>
      </c>
    </row>
    <row r="244" spans="1:6" ht="24.75" thickBot="1">
      <c r="A244" s="1848" t="s">
        <v>1412</v>
      </c>
      <c r="B244" s="1855" t="s">
        <v>2172</v>
      </c>
      <c r="C244" s="1851"/>
      <c r="D244" s="1851"/>
      <c r="E244" s="1851"/>
      <c r="F244" s="1856">
        <v>0.05</v>
      </c>
    </row>
    <row r="245" spans="1:6" ht="14.25" thickBot="1">
      <c r="A245" s="1840" t="s">
        <v>1414</v>
      </c>
      <c r="B245" s="1841" t="s">
        <v>2173</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2174</v>
      </c>
      <c r="C247" s="1845">
        <v>0.15</v>
      </c>
      <c r="D247" s="1845">
        <v>0.15</v>
      </c>
      <c r="E247" s="1845">
        <v>0.15</v>
      </c>
      <c r="F247" s="1846">
        <v>0.15</v>
      </c>
    </row>
    <row r="248" spans="1:6" ht="14.25" thickBot="1">
      <c r="A248" s="1840" t="s">
        <v>1414</v>
      </c>
      <c r="B248" s="1844" t="s">
        <v>2175</v>
      </c>
      <c r="C248" s="1845">
        <v>0.15</v>
      </c>
      <c r="D248" s="1845">
        <v>0.15</v>
      </c>
      <c r="E248" s="1845">
        <v>0.15</v>
      </c>
      <c r="F248" s="1846">
        <v>0.14000000000000001</v>
      </c>
    </row>
    <row r="249" spans="1:6" ht="14.25" thickBot="1">
      <c r="A249" s="1840" t="s">
        <v>1414</v>
      </c>
      <c r="B249" s="1844" t="s">
        <v>2176</v>
      </c>
      <c r="C249" s="1845">
        <v>0.15</v>
      </c>
      <c r="D249" s="1845">
        <v>0.14899999999999999</v>
      </c>
      <c r="E249" s="1845">
        <v>0.15</v>
      </c>
      <c r="F249" s="1846">
        <v>0.1</v>
      </c>
    </row>
    <row r="250" spans="1:6" ht="14.25" thickBot="1">
      <c r="A250" s="1840" t="s">
        <v>1414</v>
      </c>
      <c r="B250" s="1844" t="s">
        <v>2177</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2178</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2179</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2180</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2181</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2182</v>
      </c>
      <c r="C273" s="1845">
        <v>0.14199999999999999</v>
      </c>
      <c r="D273" s="1845">
        <v>0.14299999999999999</v>
      </c>
      <c r="E273" s="1845">
        <v>0.15</v>
      </c>
      <c r="F273" s="1846">
        <v>0.1</v>
      </c>
    </row>
    <row r="274" spans="1:6" ht="14.25" thickBot="1">
      <c r="A274" s="1840" t="s">
        <v>1414</v>
      </c>
      <c r="B274" s="1844" t="s">
        <v>2183</v>
      </c>
      <c r="C274" s="1845">
        <v>0.14799999999999999</v>
      </c>
      <c r="D274" s="1845">
        <v>0.14799999999999999</v>
      </c>
      <c r="E274" s="1845">
        <v>0.15</v>
      </c>
      <c r="F274" s="1846">
        <v>6.7000000000000004E-2</v>
      </c>
    </row>
    <row r="275" spans="1:6" ht="14.25" thickBot="1">
      <c r="A275" s="1840" t="s">
        <v>1414</v>
      </c>
      <c r="B275" s="1844" t="s">
        <v>2184</v>
      </c>
      <c r="C275" s="1845">
        <v>0.15</v>
      </c>
      <c r="D275" s="1845">
        <v>0.15</v>
      </c>
      <c r="E275" s="1845">
        <v>0.15</v>
      </c>
      <c r="F275" s="1846">
        <v>0.15</v>
      </c>
    </row>
    <row r="276" spans="1:6" ht="14.25" thickBot="1">
      <c r="A276" s="1840" t="s">
        <v>1414</v>
      </c>
      <c r="B276" s="1844" t="s">
        <v>2185</v>
      </c>
      <c r="C276" s="1845">
        <v>0.14499999999999999</v>
      </c>
      <c r="D276" s="1845">
        <v>0.14299999999999999</v>
      </c>
      <c r="E276" s="1845">
        <v>0.15</v>
      </c>
      <c r="F276" s="1846">
        <v>5.8999999999999997E-2</v>
      </c>
    </row>
    <row r="277" spans="1:6" ht="14.25" thickBot="1">
      <c r="A277" s="1840" t="s">
        <v>1414</v>
      </c>
      <c r="B277" s="1844" t="s">
        <v>2186</v>
      </c>
      <c r="C277" s="1845">
        <v>0.15</v>
      </c>
      <c r="D277" s="1845">
        <v>0.15</v>
      </c>
      <c r="E277" s="1845">
        <v>0.15</v>
      </c>
      <c r="F277" s="1846">
        <v>0.121</v>
      </c>
    </row>
    <row r="278" spans="1:6" ht="14.25" thickBot="1">
      <c r="A278" s="1840" t="s">
        <v>1414</v>
      </c>
      <c r="B278" s="1844" t="s">
        <v>2187</v>
      </c>
      <c r="C278" s="1845">
        <v>0.15</v>
      </c>
      <c r="D278" s="1845">
        <v>0.15</v>
      </c>
      <c r="E278" s="1845">
        <v>0.15</v>
      </c>
      <c r="F278" s="1846">
        <v>0.13800000000000001</v>
      </c>
    </row>
    <row r="279" spans="1:6" ht="24.75" thickBot="1">
      <c r="A279" s="1840" t="s">
        <v>1414</v>
      </c>
      <c r="B279" s="1844" t="s">
        <v>2188</v>
      </c>
      <c r="C279" s="1854"/>
      <c r="D279" s="1854"/>
      <c r="E279" s="1854"/>
      <c r="F279" s="1846">
        <v>0.05</v>
      </c>
    </row>
    <row r="280" spans="1:6" ht="24.75" thickBot="1">
      <c r="A280" s="1840" t="s">
        <v>1414</v>
      </c>
      <c r="B280" s="1844" t="s">
        <v>2189</v>
      </c>
      <c r="C280" s="1854"/>
      <c r="D280" s="1854"/>
      <c r="E280" s="1854"/>
      <c r="F280" s="1846">
        <v>0.05</v>
      </c>
    </row>
    <row r="281" spans="1:6" ht="24.75" thickBot="1">
      <c r="A281" s="1840" t="s">
        <v>1414</v>
      </c>
      <c r="B281" s="1844" t="s">
        <v>2190</v>
      </c>
      <c r="C281" s="1854"/>
      <c r="D281" s="1854"/>
      <c r="E281" s="1854"/>
      <c r="F281" s="1846">
        <v>0.05</v>
      </c>
    </row>
    <row r="282" spans="1:6" ht="24.75" thickBot="1">
      <c r="A282" s="1840" t="s">
        <v>1414</v>
      </c>
      <c r="B282" s="1844" t="s">
        <v>2191</v>
      </c>
      <c r="C282" s="1854"/>
      <c r="D282" s="1854"/>
      <c r="E282" s="1854"/>
      <c r="F282" s="1846">
        <v>0.05</v>
      </c>
    </row>
    <row r="283" spans="1:6" ht="24.75" thickBot="1">
      <c r="A283" s="1840" t="s">
        <v>1414</v>
      </c>
      <c r="B283" s="1844" t="s">
        <v>2192</v>
      </c>
      <c r="C283" s="1854"/>
      <c r="D283" s="1854"/>
      <c r="E283" s="1854"/>
      <c r="F283" s="1846">
        <v>0.05</v>
      </c>
    </row>
    <row r="284" spans="1:6" ht="24.75" thickBot="1">
      <c r="A284" s="1840" t="s">
        <v>1414</v>
      </c>
      <c r="B284" s="1844" t="s">
        <v>2193</v>
      </c>
      <c r="C284" s="1854"/>
      <c r="D284" s="1854"/>
      <c r="E284" s="1854"/>
      <c r="F284" s="1846">
        <v>0.05</v>
      </c>
    </row>
    <row r="285" spans="1:6" ht="24.75" thickBot="1">
      <c r="A285" s="1840" t="s">
        <v>1414</v>
      </c>
      <c r="B285" s="1844" t="s">
        <v>2194</v>
      </c>
      <c r="C285" s="1854"/>
      <c r="D285" s="1854"/>
      <c r="E285" s="1854"/>
      <c r="F285" s="1846">
        <v>0.05</v>
      </c>
    </row>
    <row r="286" spans="1:6" ht="24.75" thickBot="1">
      <c r="A286" s="1840" t="s">
        <v>1414</v>
      </c>
      <c r="B286" s="1844" t="s">
        <v>2195</v>
      </c>
      <c r="C286" s="1854"/>
      <c r="D286" s="1854"/>
      <c r="E286" s="1854"/>
      <c r="F286" s="1846">
        <v>0.05</v>
      </c>
    </row>
    <row r="287" spans="1:6" ht="24.75" thickBot="1">
      <c r="A287" s="1840" t="s">
        <v>1414</v>
      </c>
      <c r="B287" s="1844" t="s">
        <v>2196</v>
      </c>
      <c r="C287" s="1854"/>
      <c r="D287" s="1854"/>
      <c r="E287" s="1854"/>
      <c r="F287" s="1846">
        <v>0.05</v>
      </c>
    </row>
    <row r="288" spans="1:6" ht="24.75" thickBot="1">
      <c r="A288" s="1840" t="s">
        <v>1414</v>
      </c>
      <c r="B288" s="1844" t="s">
        <v>2197</v>
      </c>
      <c r="C288" s="1854"/>
      <c r="D288" s="1854"/>
      <c r="E288" s="1854"/>
      <c r="F288" s="1846">
        <v>0.05</v>
      </c>
    </row>
    <row r="289" spans="1:6" ht="24.75" thickBot="1">
      <c r="A289" s="1848" t="s">
        <v>1414</v>
      </c>
      <c r="B289" s="1855" t="s">
        <v>2198</v>
      </c>
      <c r="C289" s="1851"/>
      <c r="D289" s="1851"/>
      <c r="E289" s="1851"/>
      <c r="F289" s="1856">
        <v>0.05</v>
      </c>
    </row>
    <row r="290" spans="1:6" ht="14.25" thickBot="1">
      <c r="A290" s="1840" t="s">
        <v>1418</v>
      </c>
      <c r="B290" s="1841" t="s">
        <v>2199</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2200</v>
      </c>
      <c r="C292" s="1845">
        <v>0.15</v>
      </c>
      <c r="D292" s="1845">
        <v>0.15</v>
      </c>
      <c r="E292" s="1845">
        <v>0.15</v>
      </c>
      <c r="F292" s="1846">
        <v>0.14699999999999999</v>
      </c>
    </row>
    <row r="293" spans="1:6" ht="14.25" thickBot="1">
      <c r="A293" s="1840" t="s">
        <v>1418</v>
      </c>
      <c r="B293" s="1844" t="s">
        <v>2201</v>
      </c>
      <c r="C293" s="1854"/>
      <c r="D293" s="1854"/>
      <c r="E293" s="1854"/>
      <c r="F293" s="1846">
        <v>0.1</v>
      </c>
    </row>
    <row r="294" spans="1:6" ht="14.25" thickBot="1">
      <c r="A294" s="1840" t="s">
        <v>1418</v>
      </c>
      <c r="B294" s="1844" t="s">
        <v>2202</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2203</v>
      </c>
      <c r="C296" s="1845">
        <v>0.15</v>
      </c>
      <c r="D296" s="1845">
        <v>0.15</v>
      </c>
      <c r="E296" s="1845">
        <v>0.15</v>
      </c>
      <c r="F296" s="1846">
        <v>0.15</v>
      </c>
    </row>
    <row r="297" spans="1:6" ht="14.25" thickBot="1">
      <c r="A297" s="1840" t="s">
        <v>1418</v>
      </c>
      <c r="B297" s="1844" t="s">
        <v>2204</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2205</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2206</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2207</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2208</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2209</v>
      </c>
      <c r="C310" s="1845">
        <v>0.15</v>
      </c>
      <c r="D310" s="1845">
        <v>0.15</v>
      </c>
      <c r="E310" s="1845">
        <v>0.15</v>
      </c>
      <c r="F310" s="1846">
        <v>0.13700000000000001</v>
      </c>
    </row>
    <row r="311" spans="1:6" ht="14.25" thickBot="1">
      <c r="A311" s="1840" t="s">
        <v>1418</v>
      </c>
      <c r="B311" s="1844" t="s">
        <v>2210</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2211</v>
      </c>
      <c r="C313" s="1845">
        <v>0.15</v>
      </c>
      <c r="D313" s="1845">
        <v>0.15</v>
      </c>
      <c r="E313" s="1845">
        <v>0.15</v>
      </c>
      <c r="F313" s="1846">
        <v>0.15</v>
      </c>
    </row>
    <row r="314" spans="1:6" ht="24.75" thickBot="1">
      <c r="A314" s="1840" t="s">
        <v>1418</v>
      </c>
      <c r="B314" s="1844" t="s">
        <v>2212</v>
      </c>
      <c r="C314" s="1854"/>
      <c r="D314" s="1854"/>
      <c r="E314" s="1854"/>
      <c r="F314" s="1846">
        <v>0.05</v>
      </c>
    </row>
    <row r="315" spans="1:6" ht="24.75" thickBot="1">
      <c r="A315" s="1840" t="s">
        <v>1418</v>
      </c>
      <c r="B315" s="1844" t="s">
        <v>2213</v>
      </c>
      <c r="C315" s="1854"/>
      <c r="D315" s="1854"/>
      <c r="E315" s="1854"/>
      <c r="F315" s="1846">
        <v>0.05</v>
      </c>
    </row>
    <row r="316" spans="1:6" ht="24.75" thickBot="1">
      <c r="A316" s="1848" t="s">
        <v>1418</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1106</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1175</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1195</v>
      </c>
      <c r="C328" s="1845">
        <v>0.15</v>
      </c>
      <c r="D328" s="1845">
        <v>0.15</v>
      </c>
      <c r="E328" s="1845">
        <v>0.15</v>
      </c>
      <c r="F328" s="1846">
        <v>0.14099999999999999</v>
      </c>
    </row>
    <row r="329" spans="1:6" ht="14.25" thickBot="1">
      <c r="A329" s="1840" t="s">
        <v>2215</v>
      </c>
      <c r="B329" s="1844" t="s">
        <v>1205</v>
      </c>
      <c r="C329" s="1845">
        <v>0.15</v>
      </c>
      <c r="D329" s="1845">
        <v>0.15</v>
      </c>
      <c r="E329" s="1845">
        <v>0.15</v>
      </c>
      <c r="F329" s="1846">
        <v>0.15</v>
      </c>
    </row>
    <row r="330" spans="1:6" ht="14.25" thickBot="1">
      <c r="A330" s="1840" t="s">
        <v>2215</v>
      </c>
      <c r="B330" s="1844" t="s">
        <v>1215</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1235</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1255</v>
      </c>
      <c r="C334" s="1845">
        <v>0.15</v>
      </c>
      <c r="D334" s="1845">
        <v>0.15</v>
      </c>
      <c r="E334" s="1845">
        <v>0.15</v>
      </c>
      <c r="F334" s="1846">
        <v>0.15</v>
      </c>
    </row>
    <row r="335" spans="1:6" ht="14.25" thickBot="1">
      <c r="A335" s="1840" t="s">
        <v>2215</v>
      </c>
      <c r="B335" s="1844" t="s">
        <v>1265</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1283</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5" t="s">
        <v>2575</v>
      </c>
      <c r="C1" s="3455"/>
      <c r="D1" s="3455"/>
      <c r="E1" s="3455"/>
      <c r="F1" s="3455"/>
      <c r="G1" s="3454" t="s">
        <v>2576</v>
      </c>
      <c r="H1" s="3454"/>
      <c r="I1" s="3454"/>
      <c r="J1" s="3454"/>
      <c r="K1" s="3454"/>
      <c r="L1" s="3454"/>
      <c r="N1" s="3454" t="s">
        <v>2577</v>
      </c>
      <c r="O1" s="3454"/>
      <c r="P1" s="3454"/>
      <c r="Q1" s="3454"/>
      <c r="R1" s="2618"/>
      <c r="S1" s="3454" t="s">
        <v>2578</v>
      </c>
      <c r="T1" s="3454"/>
      <c r="U1" s="3454"/>
      <c r="V1" s="3454"/>
      <c r="X1" s="3453" t="s">
        <v>2638</v>
      </c>
      <c r="Y1" s="3454"/>
      <c r="Z1" s="3454"/>
      <c r="AA1" s="3454"/>
      <c r="AB1" s="3454"/>
      <c r="AD1" s="3453" t="s">
        <v>2642</v>
      </c>
      <c r="AE1" s="3454"/>
      <c r="AF1" s="3454"/>
      <c r="AG1" s="3454"/>
      <c r="AH1" s="3454"/>
    </row>
    <row r="2" spans="1:34" s="2719" customFormat="1" ht="14.25" thickBot="1">
      <c r="B2" s="2727" t="s">
        <v>2579</v>
      </c>
      <c r="C2" s="2727" t="s">
        <v>2640</v>
      </c>
      <c r="D2" s="2720" t="s">
        <v>1643</v>
      </c>
      <c r="E2" s="2720" t="s">
        <v>1948</v>
      </c>
      <c r="F2" s="2727" t="s">
        <v>2641</v>
      </c>
      <c r="G2" s="2723"/>
      <c r="H2" s="2722"/>
      <c r="I2" s="2727" t="s">
        <v>2956</v>
      </c>
      <c r="J2" s="2720" t="s">
        <v>2958</v>
      </c>
      <c r="K2" s="2720" t="s">
        <v>2959</v>
      </c>
      <c r="L2" s="2727" t="s">
        <v>2960</v>
      </c>
      <c r="N2" s="2727" t="s">
        <v>2579</v>
      </c>
      <c r="O2" s="2720" t="s">
        <v>2957</v>
      </c>
      <c r="P2" s="2720" t="s">
        <v>1948</v>
      </c>
      <c r="Q2" s="2727" t="s">
        <v>2641</v>
      </c>
      <c r="R2" s="2721"/>
      <c r="S2" s="2727" t="s">
        <v>2579</v>
      </c>
      <c r="T2" s="2720" t="s">
        <v>2957</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3" customFormat="1" ht="14.25">
      <c r="A3" s="3095" t="s">
        <v>2969</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2995</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2970</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2994</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2992</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2989</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49">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2979</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9"/>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2980</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9"/>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2976</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50"/>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2967</v>
      </c>
      <c r="B12" s="3097">
        <v>439</v>
      </c>
      <c r="C12" s="3097">
        <v>327</v>
      </c>
      <c r="D12" s="3097">
        <f t="shared" si="65"/>
        <v>327</v>
      </c>
      <c r="E12" s="3097">
        <v>627</v>
      </c>
      <c r="F12" s="3098">
        <v>283</v>
      </c>
      <c r="G12" s="3448">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2971</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9"/>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49"/>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50"/>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48">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9"/>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49"/>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52"/>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966</v>
      </c>
      <c r="B20" s="2624">
        <v>333</v>
      </c>
      <c r="C20" s="2624">
        <v>277</v>
      </c>
      <c r="D20" s="2624">
        <f t="shared" si="87"/>
        <v>277</v>
      </c>
      <c r="E20" s="2624">
        <v>459</v>
      </c>
      <c r="F20" s="2625">
        <v>249</v>
      </c>
      <c r="G20" s="3451">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9"/>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49"/>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52"/>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962</v>
      </c>
      <c r="B24" s="2646">
        <v>318</v>
      </c>
      <c r="C24" s="2646">
        <v>268</v>
      </c>
      <c r="D24" s="2646">
        <f t="shared" si="87"/>
        <v>268</v>
      </c>
      <c r="E24" s="2646">
        <v>437</v>
      </c>
      <c r="F24" s="2647">
        <v>237</v>
      </c>
      <c r="G24" s="3451">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9"/>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49"/>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52"/>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2582</v>
      </c>
      <c r="B28" s="2624">
        <v>299</v>
      </c>
      <c r="C28" s="2624">
        <v>252</v>
      </c>
      <c r="D28" s="2624">
        <f t="shared" si="87"/>
        <v>252</v>
      </c>
      <c r="E28" s="2624">
        <v>409</v>
      </c>
      <c r="F28" s="2625">
        <v>227</v>
      </c>
      <c r="G28" s="3456">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57"/>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57"/>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58"/>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2586</v>
      </c>
      <c r="B32" s="2662">
        <v>278</v>
      </c>
      <c r="C32" s="2662">
        <v>234</v>
      </c>
      <c r="D32" s="2662">
        <f t="shared" si="87"/>
        <v>234</v>
      </c>
      <c r="E32" s="2662">
        <v>379</v>
      </c>
      <c r="F32" s="2663">
        <v>220</v>
      </c>
      <c r="G32" s="3451">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49"/>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49"/>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2589</v>
      </c>
      <c r="B35" s="2632">
        <f>B34/(1+N34)</f>
        <v>275.19025476197027</v>
      </c>
      <c r="C35" s="2664">
        <v>232</v>
      </c>
      <c r="D35" s="2664">
        <f t="shared" si="87"/>
        <v>232</v>
      </c>
      <c r="E35" s="2632">
        <f t="shared" si="98"/>
        <v>375.65990977608692</v>
      </c>
      <c r="F35" s="2632">
        <f t="shared" si="98"/>
        <v>214.12518283971252</v>
      </c>
      <c r="G35" s="3452"/>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2590</v>
      </c>
      <c r="B36" s="2624">
        <v>275</v>
      </c>
      <c r="C36" s="2624">
        <v>232</v>
      </c>
      <c r="D36" s="2624">
        <f t="shared" si="87"/>
        <v>232</v>
      </c>
      <c r="E36" s="2624">
        <v>376</v>
      </c>
      <c r="F36" s="2625">
        <v>213</v>
      </c>
      <c r="G36" s="3451">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9">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49">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52">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2594</v>
      </c>
      <c r="B40" s="2624">
        <v>269</v>
      </c>
      <c r="C40" s="2624">
        <v>221</v>
      </c>
      <c r="D40" s="2624">
        <f t="shared" si="87"/>
        <v>221</v>
      </c>
      <c r="E40" s="2624">
        <v>373</v>
      </c>
      <c r="F40" s="2625">
        <v>196</v>
      </c>
      <c r="G40" s="3451">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9">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49">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52">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2598</v>
      </c>
      <c r="B44" s="2624">
        <v>220</v>
      </c>
      <c r="C44" s="2624">
        <v>187</v>
      </c>
      <c r="D44" s="2624">
        <f t="shared" si="87"/>
        <v>187</v>
      </c>
      <c r="E44" s="2624">
        <v>301</v>
      </c>
      <c r="F44" s="2625">
        <v>168</v>
      </c>
      <c r="G44" s="3451">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9">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49">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52">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2602</v>
      </c>
      <c r="B48" s="2662">
        <v>214</v>
      </c>
      <c r="C48" s="2662">
        <v>188</v>
      </c>
      <c r="D48" s="2662">
        <f t="shared" si="87"/>
        <v>188</v>
      </c>
      <c r="E48" s="2662">
        <v>289</v>
      </c>
      <c r="F48" s="2663">
        <v>166</v>
      </c>
      <c r="G48" s="3451">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9">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49">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52">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2606</v>
      </c>
      <c r="B52" s="2624">
        <v>188</v>
      </c>
      <c r="C52" s="2624">
        <v>165</v>
      </c>
      <c r="D52" s="2624">
        <f t="shared" si="87"/>
        <v>165</v>
      </c>
      <c r="E52" s="2624">
        <v>254</v>
      </c>
      <c r="F52" s="2625">
        <v>148</v>
      </c>
      <c r="G52" s="3451">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9">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49">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52">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2610</v>
      </c>
      <c r="B56" s="2646">
        <v>159</v>
      </c>
      <c r="C56" s="2646">
        <v>141</v>
      </c>
      <c r="D56" s="2646">
        <f t="shared" si="87"/>
        <v>141</v>
      </c>
      <c r="E56" s="2646">
        <v>195</v>
      </c>
      <c r="F56" s="2647">
        <v>122</v>
      </c>
      <c r="G56" s="3451">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9">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49">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52">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2614</v>
      </c>
      <c r="B60" s="2646">
        <v>138</v>
      </c>
      <c r="C60" s="2646">
        <v>131</v>
      </c>
      <c r="D60" s="2646">
        <f t="shared" si="87"/>
        <v>131</v>
      </c>
      <c r="E60" s="2646">
        <v>155</v>
      </c>
      <c r="F60" s="2647">
        <v>114</v>
      </c>
      <c r="G60" s="3451">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9">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49">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52">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2618</v>
      </c>
      <c r="B64" s="2662">
        <v>121</v>
      </c>
      <c r="C64" s="2662">
        <v>122</v>
      </c>
      <c r="D64" s="2662">
        <f t="shared" si="87"/>
        <v>122</v>
      </c>
      <c r="E64" s="2662">
        <v>124</v>
      </c>
      <c r="F64" s="2663">
        <v>107</v>
      </c>
      <c r="G64" s="3451">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9">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49">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52">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2622</v>
      </c>
      <c r="B68" s="2683">
        <v>111</v>
      </c>
      <c r="C68" s="2683">
        <v>114</v>
      </c>
      <c r="D68" s="2683">
        <f t="shared" si="87"/>
        <v>114</v>
      </c>
      <c r="E68" s="2683">
        <v>108</v>
      </c>
      <c r="F68" s="2684">
        <v>104</v>
      </c>
      <c r="G68" s="3451">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49">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49">
        <v>2003</v>
      </c>
      <c r="H70" s="2623">
        <v>2</v>
      </c>
      <c r="I70" s="2685"/>
      <c r="J70" s="2685"/>
      <c r="K70" s="2685"/>
      <c r="L70" s="2685"/>
      <c r="X70" s="2677"/>
      <c r="Y70" s="2677"/>
      <c r="Z70" s="2677"/>
    </row>
    <row r="71" spans="1:26" ht="13.5" thickBot="1">
      <c r="A71" s="2619" t="s">
        <v>2625</v>
      </c>
      <c r="B71" s="2687">
        <f t="shared" si="123"/>
        <v>107.25</v>
      </c>
      <c r="C71" s="2687">
        <f t="shared" si="123"/>
        <v>108.75</v>
      </c>
      <c r="D71" s="2687">
        <f t="shared" si="87"/>
        <v>108.75</v>
      </c>
      <c r="E71" s="2687">
        <f t="shared" si="124"/>
        <v>105.75</v>
      </c>
      <c r="F71" s="2687">
        <f t="shared" si="124"/>
        <v>102.5</v>
      </c>
      <c r="G71" s="3452">
        <v>2003</v>
      </c>
      <c r="H71" s="2688">
        <v>1</v>
      </c>
      <c r="I71" s="2685"/>
      <c r="J71" s="2685"/>
      <c r="K71" s="2685"/>
      <c r="L71" s="2685"/>
      <c r="S71" s="2627"/>
      <c r="T71" s="2628"/>
      <c r="U71" s="2628"/>
      <c r="X71" s="2677"/>
      <c r="Y71" s="2677"/>
      <c r="Z71" s="2677"/>
    </row>
    <row r="72" spans="1:26" ht="13.5" thickBot="1">
      <c r="A72" s="2619" t="s">
        <v>2626</v>
      </c>
      <c r="B72" s="2689">
        <v>106</v>
      </c>
      <c r="C72" s="2689">
        <v>107</v>
      </c>
      <c r="D72" s="2689">
        <f t="shared" si="87"/>
        <v>107</v>
      </c>
      <c r="E72" s="2689">
        <v>105</v>
      </c>
      <c r="F72" s="2690">
        <v>102</v>
      </c>
      <c r="G72" s="3451">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49">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49">
        <v>2002</v>
      </c>
      <c r="H74" s="2623">
        <v>2</v>
      </c>
      <c r="I74" s="2685"/>
      <c r="J74" s="2685"/>
      <c r="K74" s="2685"/>
      <c r="L74" s="2685"/>
      <c r="X74" s="2677"/>
      <c r="Y74" s="2677"/>
      <c r="Z74" s="2677"/>
    </row>
    <row r="75" spans="1:26" s="2654" customFormat="1" ht="13.5" thickBot="1">
      <c r="A75" s="2650" t="s">
        <v>2629</v>
      </c>
      <c r="B75" s="2691">
        <f t="shared" si="125"/>
        <v>103</v>
      </c>
      <c r="C75" s="2691">
        <f t="shared" si="125"/>
        <v>104</v>
      </c>
      <c r="D75" s="2691">
        <f t="shared" si="87"/>
        <v>104</v>
      </c>
      <c r="E75" s="2691">
        <f t="shared" si="126"/>
        <v>103.5</v>
      </c>
      <c r="F75" s="2691">
        <f t="shared" si="126"/>
        <v>100.5</v>
      </c>
      <c r="G75" s="3452">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5"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2949</v>
      </c>
      <c r="B1" s="3057"/>
      <c r="C1" s="3057"/>
      <c r="D1" s="3057"/>
      <c r="E1" s="3057"/>
      <c r="F1" s="3057"/>
    </row>
    <row r="2" spans="1:6" ht="14.25">
      <c r="A2" s="3058" t="s">
        <v>2944</v>
      </c>
      <c r="B2" s="3059" t="e">
        <f ca="1">SUMIF(B7:B14,"&lt;&gt;#ref!",B7:B14)</f>
        <v>#DIV/0!</v>
      </c>
      <c r="C2" s="3058" t="s">
        <v>2945</v>
      </c>
      <c r="D2" s="3057"/>
      <c r="E2" s="3057"/>
      <c r="F2" s="3057"/>
    </row>
    <row r="3" spans="1:6" ht="14.25">
      <c r="A3" s="3058" t="s">
        <v>2977</v>
      </c>
      <c r="B3" s="3059" t="e">
        <f ca="1">ROUND(B2*10000/E3,0)</f>
        <v>#DIV/0!</v>
      </c>
      <c r="C3" s="3058" t="s">
        <v>2077</v>
      </c>
      <c r="D3" s="3058" t="s">
        <v>2946</v>
      </c>
      <c r="E3" s="3059">
        <f ca="1">SUMIF(E7:E14,"&lt;&gt;#ref!",E7:E14)</f>
        <v>0</v>
      </c>
      <c r="F3" s="3057"/>
    </row>
    <row r="4" spans="1:6" ht="14.25">
      <c r="A4" s="3058" t="s">
        <v>2953</v>
      </c>
      <c r="B4" s="3059" t="e">
        <f ca="1">ROUND(B2*10000/E4,0)</f>
        <v>#DIV/0!</v>
      </c>
      <c r="C4" s="3058" t="s">
        <v>2077</v>
      </c>
      <c r="D4" s="3058" t="s">
        <v>2954</v>
      </c>
      <c r="E4" s="3059">
        <f ca="1">SUMIF(F7:F14,"&lt;&gt;#ref!",F7:F14)</f>
        <v>0</v>
      </c>
      <c r="F4" s="3057"/>
    </row>
    <row r="5" spans="1:6" ht="14.25">
      <c r="A5" s="3060"/>
      <c r="B5" s="1866"/>
      <c r="C5" s="1866"/>
      <c r="D5" s="1866"/>
      <c r="E5" s="1866"/>
      <c r="F5" s="3057"/>
    </row>
    <row r="6" spans="1:6" ht="28.5">
      <c r="A6" s="3061" t="s">
        <v>2950</v>
      </c>
      <c r="B6" s="3058" t="s">
        <v>2947</v>
      </c>
      <c r="C6" s="3059"/>
      <c r="D6" s="1866"/>
      <c r="E6" s="3058" t="s">
        <v>2948</v>
      </c>
      <c r="F6" s="3058" t="s">
        <v>2952</v>
      </c>
    </row>
    <row r="7" spans="1:6" ht="14.25">
      <c r="A7" s="259" t="s">
        <v>2951</v>
      </c>
      <c r="B7" s="3062" t="e">
        <f ca="1">SUMIF(INDIRECT("'"&amp;A7&amp;"'"&amp;"!A:A"),"总价",INDIRECT("'"&amp;A7&amp;"'"&amp;"!B:B"))</f>
        <v>#DIV/0!</v>
      </c>
      <c r="C7" s="3058" t="s">
        <v>2945</v>
      </c>
      <c r="D7" s="1866"/>
      <c r="E7" s="3063">
        <f ca="1">SUMIF(INDIRECT("'"&amp;A7&amp;"'"&amp;"!C:C"),"建筑面积",INDIRECT("'"&amp;A7&amp;"'"&amp;"!D:D"))</f>
        <v>0</v>
      </c>
      <c r="F7" s="3063">
        <f ca="1">SUMIF(INDIRECT("'"&amp;A7&amp;"'"&amp;"!E:E"),"土地面积",INDIRECT("'"&amp;A7&amp;"'"&amp;"!F:F"))</f>
        <v>0</v>
      </c>
    </row>
    <row r="8" spans="1:6" ht="14.25">
      <c r="A8" s="259"/>
      <c r="B8" s="3062" t="e">
        <f t="shared" ref="B8:B14" ca="1" si="0">SUMIF(INDIRECT("'"&amp;A8&amp;"'"&amp;"!A:A"),"总价",INDIRECT("'"&amp;A8&amp;"'"&amp;"!B:B"))</f>
        <v>#REF!</v>
      </c>
      <c r="C8" s="3058" t="s">
        <v>2945</v>
      </c>
      <c r="D8" s="1866"/>
      <c r="E8" s="3063" t="e">
        <f t="shared" ref="E8:E14" ca="1" si="1">SUMIF(INDIRECT("'"&amp;A8&amp;"'"&amp;"!C:C"),"建筑面积",INDIRECT("'"&amp;A8&amp;"'"&amp;"!D:D"))</f>
        <v>#REF!</v>
      </c>
      <c r="F8" s="3063" t="e">
        <f t="shared" ref="F8:F14" ca="1" si="2">SUMIF(INDIRECT("'"&amp;A8&amp;"'"&amp;"!E:E"),"土地面积",INDIRECT("'"&amp;A8&amp;"'"&amp;"!F:F"))</f>
        <v>#REF!</v>
      </c>
    </row>
    <row r="9" spans="1:6" ht="14.25">
      <c r="A9" s="259"/>
      <c r="B9" s="3062" t="e">
        <f t="shared" ca="1" si="0"/>
        <v>#REF!</v>
      </c>
      <c r="C9" s="3058" t="s">
        <v>2945</v>
      </c>
      <c r="D9" s="1866"/>
      <c r="E9" s="3063" t="e">
        <f t="shared" ca="1" si="1"/>
        <v>#REF!</v>
      </c>
      <c r="F9" s="3063" t="e">
        <f t="shared" ca="1" si="2"/>
        <v>#REF!</v>
      </c>
    </row>
    <row r="10" spans="1:6" ht="14.25">
      <c r="A10" s="259"/>
      <c r="B10" s="3062" t="e">
        <f t="shared" ca="1" si="0"/>
        <v>#REF!</v>
      </c>
      <c r="C10" s="3058" t="s">
        <v>2945</v>
      </c>
      <c r="D10" s="1866"/>
      <c r="E10" s="3063" t="e">
        <f t="shared" ca="1" si="1"/>
        <v>#REF!</v>
      </c>
      <c r="F10" s="3063" t="e">
        <f t="shared" ca="1" si="2"/>
        <v>#REF!</v>
      </c>
    </row>
    <row r="11" spans="1:6" ht="14.25">
      <c r="A11" s="259"/>
      <c r="B11" s="3062" t="e">
        <f t="shared" ca="1" si="0"/>
        <v>#REF!</v>
      </c>
      <c r="C11" s="3058" t="s">
        <v>2945</v>
      </c>
      <c r="D11" s="1866"/>
      <c r="E11" s="3063" t="e">
        <f t="shared" ca="1" si="1"/>
        <v>#REF!</v>
      </c>
      <c r="F11" s="3063" t="e">
        <f t="shared" ca="1" si="2"/>
        <v>#REF!</v>
      </c>
    </row>
    <row r="12" spans="1:6" ht="14.25">
      <c r="A12" s="259"/>
      <c r="B12" s="3062" t="e">
        <f t="shared" ca="1" si="0"/>
        <v>#REF!</v>
      </c>
      <c r="C12" s="3058" t="s">
        <v>2945</v>
      </c>
      <c r="D12" s="1866"/>
      <c r="E12" s="3063" t="e">
        <f t="shared" ca="1" si="1"/>
        <v>#REF!</v>
      </c>
      <c r="F12" s="3063" t="e">
        <f t="shared" ca="1" si="2"/>
        <v>#REF!</v>
      </c>
    </row>
    <row r="13" spans="1:6" ht="14.25">
      <c r="A13" s="259"/>
      <c r="B13" s="3062" t="e">
        <f t="shared" ca="1" si="0"/>
        <v>#REF!</v>
      </c>
      <c r="C13" s="3058" t="s">
        <v>2945</v>
      </c>
      <c r="D13" s="1866"/>
      <c r="E13" s="3063" t="e">
        <f t="shared" ca="1" si="1"/>
        <v>#REF!</v>
      </c>
      <c r="F13" s="3063" t="e">
        <f t="shared" ca="1" si="2"/>
        <v>#REF!</v>
      </c>
    </row>
    <row r="14" spans="1:6" ht="14.25">
      <c r="A14" s="3056"/>
      <c r="B14" s="3062" t="e">
        <f t="shared" ca="1" si="0"/>
        <v>#REF!</v>
      </c>
      <c r="C14" s="3058" t="s">
        <v>2945</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61815.58平方米。根据《建设工程规划许可证》[]、《出让合同》[]，估价对象规划建筑面积为92723.37平方米。</v>
      </c>
    </row>
    <row r="7" spans="1:4" ht="56.25">
      <c r="A7" s="1780" t="s">
        <v>2746</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2019年9月26日（评估专业人员勘察现场之日）</v>
      </c>
    </row>
    <row r="12" spans="1:4" ht="18.75">
      <c r="A12" s="1782" t="s">
        <v>2024</v>
      </c>
    </row>
    <row r="13" spans="1:4" ht="18.75">
      <c r="A13" s="1776" t="s">
        <v>2942</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根据《国有土地使用证》[]，估价对象（分摊）出让国有建设用地使用权面积为61815.58平方米。根据《建设工程规划许可证》[]、《出让合同》[]，估价对象规划建筑面积为92723.37平方米。</v>
      </c>
    </row>
    <row r="21" spans="1:1" ht="18.75">
      <c r="A21" s="1776" t="s">
        <v>2073</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3月31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628</v>
      </c>
      <c r="B1" s="737"/>
      <c r="C1" s="772"/>
      <c r="D1" s="2035"/>
      <c r="E1" s="2351" t="s">
        <v>2373</v>
      </c>
      <c r="F1" s="2352">
        <f ca="1">J54</f>
        <v>-2.5</v>
      </c>
      <c r="G1" s="773">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2457</v>
      </c>
      <c r="C7" s="53">
        <f ca="1">C8+C12+C14</f>
        <v>0</v>
      </c>
      <c r="D7" s="2460" t="s">
        <v>2460</v>
      </c>
      <c r="E7" s="2454"/>
      <c r="F7" s="2455"/>
      <c r="G7" s="1578"/>
      <c r="H7" s="780">
        <v>1</v>
      </c>
      <c r="I7" s="781" t="s">
        <v>2457</v>
      </c>
      <c r="J7" s="53">
        <f ca="1">J8+J12+J14</f>
        <v>0</v>
      </c>
      <c r="K7" s="2460" t="s">
        <v>2460</v>
      </c>
      <c r="L7" s="2454"/>
      <c r="M7" s="2455"/>
    </row>
    <row r="8" spans="1:25" ht="18" customHeight="1">
      <c r="A8" s="1815" t="s">
        <v>1823</v>
      </c>
      <c r="B8" s="3460" t="s">
        <v>2462</v>
      </c>
      <c r="C8" s="1810">
        <f ca="1">ROUND(F8*F10*F9*(1-F11)/10000,0)</f>
        <v>0</v>
      </c>
      <c r="D8" s="1807" t="s">
        <v>2533</v>
      </c>
      <c r="E8" s="61" t="s">
        <v>637</v>
      </c>
      <c r="F8" s="784">
        <f ca="1">INDIRECT("'数据-取费表'!u"&amp;$G$1)</f>
        <v>0</v>
      </c>
      <c r="G8" s="1578"/>
      <c r="H8" s="2468" t="s">
        <v>1823</v>
      </c>
      <c r="I8" s="3460" t="s">
        <v>2462</v>
      </c>
      <c r="J8" s="782">
        <f ca="1">ROUND(M8*M10*M9*(1-M11)/10000,0)</f>
        <v>0</v>
      </c>
      <c r="K8" s="340" t="s">
        <v>2533</v>
      </c>
      <c r="L8" s="783" t="s">
        <v>1737</v>
      </c>
      <c r="M8" s="784">
        <f ca="1">INDIRECT("'数据-取费表'!z"&amp;$G$1)</f>
        <v>0</v>
      </c>
    </row>
    <row r="9" spans="1:25" ht="18" customHeight="1">
      <c r="A9" s="2464"/>
      <c r="B9" s="3461"/>
      <c r="C9" s="1811"/>
      <c r="D9" s="1808"/>
      <c r="E9" s="61" t="s">
        <v>638</v>
      </c>
      <c r="F9" s="784">
        <f ca="1">IF(INDIRECT("'数据-取费表'!ah"&amp;$G$1)="",INDIRECT("'数据-取费表'!k"&amp;$G$1),INDIRECT("'数据-取费表'!ah"&amp;$G$1))</f>
        <v>0</v>
      </c>
      <c r="G9" s="1578"/>
      <c r="H9" s="2453"/>
      <c r="I9" s="3461"/>
      <c r="J9" s="787"/>
      <c r="K9" s="788"/>
      <c r="L9" s="783" t="s">
        <v>1738</v>
      </c>
      <c r="M9" s="784">
        <f ca="1">F9</f>
        <v>0</v>
      </c>
    </row>
    <row r="10" spans="1:25" ht="18" customHeight="1">
      <c r="A10" s="2457"/>
      <c r="B10" s="3462"/>
      <c r="C10" s="1811"/>
      <c r="D10" s="1808"/>
      <c r="E10" s="61" t="s">
        <v>639</v>
      </c>
      <c r="F10" s="784">
        <f ca="1">INDIRECT("'数据-取费表'!ai"&amp;$G$1)</f>
        <v>0</v>
      </c>
      <c r="G10" s="1578"/>
      <c r="H10" s="2453"/>
      <c r="I10" s="3462"/>
      <c r="J10" s="787"/>
      <c r="K10" s="788"/>
      <c r="L10" s="783" t="s">
        <v>1739</v>
      </c>
      <c r="M10" s="784">
        <f ca="1">INDIRECT("'数据-取费表'!ai"&amp;$G$1)</f>
        <v>0</v>
      </c>
    </row>
    <row r="11" spans="1:25" ht="18" customHeight="1">
      <c r="A11" s="785"/>
      <c r="B11" s="3463"/>
      <c r="C11" s="1811"/>
      <c r="D11" s="1808"/>
      <c r="E11" s="61" t="s">
        <v>640</v>
      </c>
      <c r="F11" s="793">
        <f ca="1">INDIRECT("'数据-取费表'!w"&amp;$G$1)</f>
        <v>0</v>
      </c>
      <c r="G11" s="1578"/>
      <c r="H11" s="2469"/>
      <c r="I11" s="3462"/>
      <c r="J11" s="787"/>
      <c r="K11" s="788"/>
      <c r="L11" s="794" t="s">
        <v>1740</v>
      </c>
      <c r="M11" s="795">
        <f ca="1">INDIRECT("'数据-取费表'!ab"&amp;$G$1)</f>
        <v>0</v>
      </c>
    </row>
    <row r="12" spans="1:25" ht="18" customHeight="1">
      <c r="A12" s="1815" t="s">
        <v>1824</v>
      </c>
      <c r="B12" s="2458" t="s">
        <v>2458</v>
      </c>
      <c r="C12" s="798">
        <f ca="1">ROUND(IF(F12="押一",C8/12*F13,IF(F12="押二",C8/12*2*F13,IF(F12="押三",C8/12*3*F13,C13*F13))),0)</f>
        <v>0</v>
      </c>
      <c r="D12" s="2465" t="s">
        <v>2974</v>
      </c>
      <c r="E12" s="2462" t="s">
        <v>2463</v>
      </c>
      <c r="F12" s="2585"/>
      <c r="G12" s="1578"/>
      <c r="H12" s="2525" t="s">
        <v>1824</v>
      </c>
      <c r="I12" s="2530" t="s">
        <v>2458</v>
      </c>
      <c r="J12" s="782">
        <f ca="1">ROUND(IF(M12="押一",J8/12*M13,IF(M12="押二",J8/12*2*M13,IF(M12="押三",J8/12*3*M13,J13*M13))),0)</f>
        <v>0</v>
      </c>
      <c r="K12" s="2465" t="s">
        <v>2974</v>
      </c>
      <c r="L12" s="2462" t="s">
        <v>2463</v>
      </c>
      <c r="M12" s="2585"/>
    </row>
    <row r="13" spans="1:25" ht="18" customHeight="1">
      <c r="A13" s="789"/>
      <c r="B13" s="2459" t="s">
        <v>2572</v>
      </c>
      <c r="C13" s="2463"/>
      <c r="D13" s="788"/>
      <c r="E13" s="2462" t="s">
        <v>2455</v>
      </c>
      <c r="F13" s="795">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1873</v>
      </c>
      <c r="B15" s="1812" t="s">
        <v>641</v>
      </c>
      <c r="C15" s="791">
        <f ca="1">ROUND(C31*F15,0)</f>
        <v>0</v>
      </c>
      <c r="D15" s="1819" t="s">
        <v>642</v>
      </c>
      <c r="E15" s="794" t="s">
        <v>643</v>
      </c>
      <c r="F15" s="799">
        <f ca="1">INDIRECT("'数据-取费表'!y"&amp;$G$1)</f>
        <v>0</v>
      </c>
      <c r="G15" s="1578"/>
      <c r="H15" s="1814" t="s">
        <v>1825</v>
      </c>
      <c r="I15" s="1812" t="s">
        <v>644</v>
      </c>
      <c r="J15" s="1804">
        <f ca="1">ROUND(J16*J17,0)</f>
        <v>0</v>
      </c>
      <c r="K15" s="1806" t="s">
        <v>642</v>
      </c>
      <c r="L15" s="800"/>
      <c r="M15" s="801"/>
    </row>
    <row r="16" spans="1:25" ht="18" customHeight="1">
      <c r="A16" s="802" t="s">
        <v>1874</v>
      </c>
      <c r="B16" s="783" t="s">
        <v>645</v>
      </c>
      <c r="C16" s="803">
        <f ca="1">INDIRECT("'数据-取费表'!m"&amp;$G$1)+INDIRECT("'数据-取费表'!t"&amp;$G$1)</f>
        <v>0</v>
      </c>
      <c r="D16" s="1964" t="s">
        <v>646</v>
      </c>
      <c r="E16" s="1965"/>
      <c r="F16" s="804"/>
      <c r="G16" s="1578"/>
      <c r="H16" s="802" t="s">
        <v>2068</v>
      </c>
      <c r="I16" s="2216" t="s">
        <v>2824</v>
      </c>
      <c r="J16" s="53">
        <f ca="1">C31</f>
        <v>0</v>
      </c>
      <c r="K16" s="26"/>
      <c r="L16" s="800"/>
      <c r="M16" s="801"/>
    </row>
    <row r="17" spans="1:25" s="2049" customFormat="1" ht="18" customHeight="1">
      <c r="A17" s="802" t="s">
        <v>1848</v>
      </c>
      <c r="B17" s="783" t="s">
        <v>647</v>
      </c>
      <c r="C17" s="53">
        <f ca="1">ROUND(C16*F17,0)</f>
        <v>0</v>
      </c>
      <c r="D17" s="805" t="s">
        <v>648</v>
      </c>
      <c r="E17" s="805" t="s">
        <v>649</v>
      </c>
      <c r="F17" s="806">
        <f>'数据-取费表'!B33</f>
        <v>0.05</v>
      </c>
      <c r="G17" s="1579"/>
      <c r="H17" s="802" t="s">
        <v>2069</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78"/>
      <c r="H18" s="796" t="s">
        <v>1826</v>
      </c>
      <c r="I18" s="797" t="s">
        <v>651</v>
      </c>
      <c r="J18" s="798">
        <f ca="1">ROUND(J19+J24+J25+J26,0)</f>
        <v>0</v>
      </c>
      <c r="K18" s="26" t="s">
        <v>652</v>
      </c>
      <c r="L18" s="1967"/>
      <c r="M18" s="56"/>
    </row>
    <row r="19" spans="1:25" s="2049" customFormat="1" ht="18" customHeight="1">
      <c r="A19" s="802" t="s">
        <v>1850</v>
      </c>
      <c r="B19" s="783" t="s">
        <v>653</v>
      </c>
      <c r="C19" s="53">
        <f ca="1">ROUND(F19*(INDIRECT("'数据-取费表'!k"&amp;$G$1)+INDIRECT("'数据-取费表'!S"&amp;$G$1))/10000,0)</f>
        <v>0</v>
      </c>
      <c r="D19" s="783" t="s">
        <v>654</v>
      </c>
      <c r="E19" s="783" t="s">
        <v>655</v>
      </c>
      <c r="F19" s="56">
        <f>'数据-取费表'!B35</f>
        <v>200</v>
      </c>
      <c r="G19" s="1579"/>
      <c r="H19" s="802" t="s">
        <v>2068</v>
      </c>
      <c r="I19" s="783" t="s">
        <v>656</v>
      </c>
      <c r="J19" s="53">
        <f ca="1">ROUND(IF(项目基本情况!B11="自然人",J8*M19/(1+'数据-取费表'!C42),J20+J21+J22),0)</f>
        <v>0</v>
      </c>
      <c r="K19" s="1964" t="s">
        <v>657</v>
      </c>
      <c r="L19" s="1962" t="s">
        <v>658</v>
      </c>
      <c r="M19" s="809">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2" t="s">
        <v>1851</v>
      </c>
      <c r="B20" s="783" t="s">
        <v>659</v>
      </c>
      <c r="C20" s="53">
        <f ca="1">ROUND(C16*F20,0)</f>
        <v>0</v>
      </c>
      <c r="D20" s="783" t="s">
        <v>648</v>
      </c>
      <c r="E20" s="783" t="s">
        <v>649</v>
      </c>
      <c r="F20" s="808">
        <f>'数据-取费表'!B36</f>
        <v>1.4999999999999999E-2</v>
      </c>
      <c r="G20" s="1579"/>
      <c r="H20" s="802" t="s">
        <v>1830</v>
      </c>
      <c r="I20" s="783" t="s">
        <v>660</v>
      </c>
      <c r="J20" s="53">
        <f ca="1">ROUND(J8*M20/(1+'数据-取费表'!C42),1)</f>
        <v>0</v>
      </c>
      <c r="K20" s="1962" t="s">
        <v>661</v>
      </c>
      <c r="L20" s="783" t="s">
        <v>649</v>
      </c>
      <c r="M20" s="808">
        <f>'数据-取费表'!B41</f>
        <v>5.5000000000000007E-2</v>
      </c>
      <c r="N20" s="2048"/>
      <c r="O20" s="2048"/>
      <c r="P20" s="2048"/>
      <c r="Q20" s="2048"/>
      <c r="R20" s="2048"/>
      <c r="S20" s="2048"/>
      <c r="T20" s="2048"/>
      <c r="U20" s="2048"/>
      <c r="V20" s="2048"/>
      <c r="W20" s="2048"/>
      <c r="X20" s="2048"/>
      <c r="Y20" s="2048"/>
    </row>
    <row r="21" spans="1:25" ht="18" customHeight="1">
      <c r="A21" s="802" t="s">
        <v>1875</v>
      </c>
      <c r="B21" s="783" t="s">
        <v>662</v>
      </c>
      <c r="C21" s="53">
        <f ca="1">SUM(C16:C20)</f>
        <v>0</v>
      </c>
      <c r="D21" s="260" t="s">
        <v>663</v>
      </c>
      <c r="E21" s="1967"/>
      <c r="F21" s="56"/>
      <c r="G21" s="1578"/>
      <c r="H21" s="1815" t="s">
        <v>1848</v>
      </c>
      <c r="I21" s="783" t="s">
        <v>664</v>
      </c>
      <c r="J21" s="53">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1876</v>
      </c>
      <c r="B22" s="783" t="s">
        <v>666</v>
      </c>
      <c r="C22" s="53">
        <f ca="1">ROUND(C21*F22,0)</f>
        <v>0</v>
      </c>
      <c r="D22" s="811" t="s">
        <v>667</v>
      </c>
      <c r="E22" s="783" t="s">
        <v>649</v>
      </c>
      <c r="F22" s="808">
        <f>'数据-取费表'!B37</f>
        <v>1.4999999999999999E-2</v>
      </c>
      <c r="G22" s="1579"/>
      <c r="H22" s="1817" t="s">
        <v>1849</v>
      </c>
      <c r="I22" s="1807" t="s">
        <v>668</v>
      </c>
      <c r="J22" s="54">
        <f ca="1">ROUND(M22*M23/10000,0)</f>
        <v>0</v>
      </c>
      <c r="K22" s="813" t="s">
        <v>669</v>
      </c>
      <c r="L22" s="783" t="s">
        <v>670</v>
      </c>
      <c r="M22" s="639">
        <f>'数据-取费表'!B52</f>
        <v>5</v>
      </c>
      <c r="N22" s="2048"/>
      <c r="O22" s="2048"/>
      <c r="P22" s="2048"/>
      <c r="Q22" s="2048"/>
      <c r="R22" s="2048"/>
      <c r="S22" s="2048"/>
      <c r="T22" s="2048"/>
      <c r="U22" s="2048"/>
      <c r="V22" s="2048"/>
      <c r="W22" s="2048"/>
      <c r="X22" s="2048"/>
      <c r="Y22" s="2048"/>
    </row>
    <row r="23" spans="1:25" s="2049" customFormat="1" ht="18" customHeight="1">
      <c r="A23" s="802" t="s">
        <v>1877</v>
      </c>
      <c r="B23" s="783" t="s">
        <v>671</v>
      </c>
      <c r="C23" s="53" t="s">
        <v>1</v>
      </c>
      <c r="D23" s="811" t="s">
        <v>672</v>
      </c>
      <c r="E23" s="783" t="s">
        <v>673</v>
      </c>
      <c r="F23" s="808">
        <f>'数据-取费表'!B38</f>
        <v>2.5000000000000001E-2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1878</v>
      </c>
      <c r="B24" s="783" t="s">
        <v>675</v>
      </c>
      <c r="C24" s="53"/>
      <c r="D24" s="2536" t="str">
        <f>IF(F25&lt;=1,"单利计息。","复利计息。")&amp;"建造成本、管理费用、销售费用产生的利息。"</f>
        <v>复利计息。建造成本、管理费用、销售费用产生的利息。</v>
      </c>
      <c r="E24" s="1967"/>
      <c r="F24" s="56"/>
      <c r="G24" s="1578"/>
      <c r="H24" s="1816" t="s">
        <v>2069</v>
      </c>
      <c r="I24" s="783" t="s">
        <v>676</v>
      </c>
      <c r="J24" s="53">
        <f ca="1">ROUND(J16*M24,0)</f>
        <v>0</v>
      </c>
      <c r="K24" s="1962" t="s">
        <v>677</v>
      </c>
      <c r="L24" s="783" t="s">
        <v>649</v>
      </c>
      <c r="M24" s="816">
        <f ca="1">INDIRECT("'数据-取费表'!Ak"&amp;$G$1)</f>
        <v>0</v>
      </c>
    </row>
    <row r="25" spans="1:25" s="2049" customFormat="1" ht="18" customHeight="1">
      <c r="A25" s="802" t="s">
        <v>1874</v>
      </c>
      <c r="B25" s="783" t="s">
        <v>2436</v>
      </c>
      <c r="C25" s="53">
        <f ca="1">ROUND(IF('数据-取费表'!B22&lt;=1,(C21+C22)*F26*F25/2,(C21+C22)*(POWER((1+F26),F25/2)-1)),0)</f>
        <v>0</v>
      </c>
      <c r="D25" s="2535" t="str">
        <f>IF(F25&lt;=1,"(建造成本+管理费用)×利率×(建设周期÷2)","(建造成本+管理费用)×((1+利率)^(建设周期÷2)-1)")</f>
        <v>(建造成本+管理费用)×((1+利率)^(建设周期÷2)-1)</v>
      </c>
      <c r="E25" s="783" t="s">
        <v>678</v>
      </c>
      <c r="F25" s="639">
        <f>'数据-取费表'!B20</f>
        <v>2.5</v>
      </c>
      <c r="G25" s="1579"/>
      <c r="H25" s="802" t="s">
        <v>1877</v>
      </c>
      <c r="I25" s="783" t="s">
        <v>679</v>
      </c>
      <c r="J25" s="53">
        <f ca="1">ROUND(J15*M25,0)</f>
        <v>0</v>
      </c>
      <c r="K25" s="1962" t="s">
        <v>680</v>
      </c>
      <c r="L25" s="783" t="s">
        <v>649</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1848</v>
      </c>
      <c r="B26" s="783" t="s">
        <v>681</v>
      </c>
      <c r="C26" s="53">
        <f ca="1">ROUND(IF('数据-取费表'!B22&lt;=1,F23*F26*F25/2,F23*(POWER((1+F26),F25/2)-1)),4)</f>
        <v>1.5E-3</v>
      </c>
      <c r="D26" s="2535" t="str">
        <f>IF(F25&lt;=1,"销售费用×利率×(建设周期÷2)","销售费用×((1+利率)^(建设周期÷2)-1)")</f>
        <v>销售费用×((1+利率)^(建设周期÷2)-1)</v>
      </c>
      <c r="E26" s="783" t="s">
        <v>682</v>
      </c>
      <c r="F26" s="818">
        <f ca="1">'数据-取费表'!B40</f>
        <v>4.7500000000000001E-2</v>
      </c>
      <c r="G26" s="1579"/>
      <c r="H26" s="802" t="s">
        <v>1878</v>
      </c>
      <c r="I26" s="783" t="s">
        <v>666</v>
      </c>
      <c r="J26" s="53">
        <f ca="1">ROUND(J7*M26,0)</f>
        <v>0</v>
      </c>
      <c r="K26" s="1962" t="s">
        <v>683</v>
      </c>
      <c r="L26" s="783" t="s">
        <v>649</v>
      </c>
      <c r="M26" s="793">
        <f ca="1">INDIRECT("'数据-取费表'!Am"&amp;$G$1)</f>
        <v>0</v>
      </c>
      <c r="N26" s="2048"/>
      <c r="O26" s="2048"/>
      <c r="P26" s="2048"/>
      <c r="Q26" s="2048"/>
      <c r="R26" s="2048"/>
      <c r="S26" s="2048"/>
      <c r="T26" s="2048"/>
      <c r="U26" s="2048"/>
      <c r="V26" s="2048"/>
      <c r="W26" s="2048"/>
      <c r="X26" s="2048"/>
      <c r="Y26" s="2048"/>
    </row>
    <row r="27" spans="1:25" ht="18" customHeight="1">
      <c r="A27" s="802" t="s">
        <v>1880</v>
      </c>
      <c r="B27" s="783" t="s">
        <v>684</v>
      </c>
      <c r="C27" s="53"/>
      <c r="D27" s="260" t="s">
        <v>685</v>
      </c>
      <c r="E27" s="1967"/>
      <c r="F27" s="56"/>
      <c r="G27" s="1578"/>
      <c r="H27" s="796" t="s">
        <v>1827</v>
      </c>
      <c r="I27" s="2963" t="s">
        <v>2821</v>
      </c>
      <c r="J27" s="798">
        <f ca="1">J7-J18</f>
        <v>0</v>
      </c>
      <c r="K27" s="1964" t="s">
        <v>700</v>
      </c>
      <c r="L27" s="1966"/>
      <c r="M27" s="819"/>
    </row>
    <row r="28" spans="1:25" ht="18" customHeight="1">
      <c r="A28" s="802" t="s">
        <v>1874</v>
      </c>
      <c r="B28" s="783" t="s">
        <v>2437</v>
      </c>
      <c r="C28" s="53">
        <f ca="1">ROUND((C21+C22)*F28,0)</f>
        <v>0</v>
      </c>
      <c r="D28" s="811" t="s">
        <v>701</v>
      </c>
      <c r="E28" s="794" t="s">
        <v>702</v>
      </c>
      <c r="F28" s="793">
        <f ca="1">INDIRECT("'数据-取费表'!q"&amp;$G$1)</f>
        <v>0</v>
      </c>
      <c r="G28" s="1578"/>
      <c r="H28" s="780" t="s">
        <v>1836</v>
      </c>
      <c r="I28" s="781" t="s">
        <v>703</v>
      </c>
      <c r="J28" s="782">
        <f ca="1">IF(J7&lt;&gt;0,ROUND(J27*(1-((1+M30)/(1+M28))^M29)/(M28-M30),0),0)</f>
        <v>0</v>
      </c>
      <c r="K28" s="813" t="s">
        <v>704</v>
      </c>
      <c r="L28" s="783" t="s">
        <v>705</v>
      </c>
      <c r="M28" s="793">
        <f ca="1">INDIRECT("'数据-取费表'!I"&amp;$G$1)</f>
        <v>0</v>
      </c>
    </row>
    <row r="29" spans="1:25" ht="18" customHeight="1">
      <c r="A29" s="802" t="s">
        <v>1848</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1881</v>
      </c>
      <c r="B30" s="783" t="s">
        <v>687</v>
      </c>
      <c r="C30" s="53">
        <f>ROUND(F30/(1+'数据-取费表'!C42),4)</f>
        <v>5.2400000000000002E-2</v>
      </c>
      <c r="D30" s="811" t="s">
        <v>709</v>
      </c>
      <c r="E30" s="783" t="s">
        <v>649</v>
      </c>
      <c r="F30" s="808">
        <f>'数据-取费表'!B41</f>
        <v>5.5000000000000007E-2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79"/>
      <c r="H31" s="822" t="s">
        <v>1871</v>
      </c>
      <c r="I31" s="2964" t="s">
        <v>2823</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1875</v>
      </c>
      <c r="B33" s="783" t="s">
        <v>656</v>
      </c>
      <c r="C33" s="53">
        <f ca="1">ROUND(IF(项目基本情况!B11="自然人",C8*F33/(1+'数据-取费表'!C42),C34+C35+C36),1)</f>
        <v>0</v>
      </c>
      <c r="D33" s="1964" t="s">
        <v>657</v>
      </c>
      <c r="E33" s="1962" t="s">
        <v>690</v>
      </c>
      <c r="F33" s="809">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2" t="s">
        <v>1874</v>
      </c>
      <c r="B34" s="783" t="s">
        <v>660</v>
      </c>
      <c r="C34" s="53">
        <f ca="1">ROUND(C8*F34/(1+'数据-取费表'!C42),1)</f>
        <v>0</v>
      </c>
      <c r="D34" s="1962" t="s">
        <v>661</v>
      </c>
      <c r="E34" s="783" t="s">
        <v>649</v>
      </c>
      <c r="F34" s="808">
        <f>'数据-取费表'!B41</f>
        <v>5.5000000000000007E-2</v>
      </c>
      <c r="G34" s="2047"/>
      <c r="H34" s="2056"/>
      <c r="I34" s="2057"/>
      <c r="J34" s="2058"/>
      <c r="K34" s="2059"/>
      <c r="L34" s="2060"/>
      <c r="M34" s="2061"/>
    </row>
    <row r="35" spans="1:18" ht="18" customHeight="1">
      <c r="A35" s="802" t="s">
        <v>1848</v>
      </c>
      <c r="B35" s="783" t="s">
        <v>664</v>
      </c>
      <c r="C35" s="53">
        <f ca="1">IF(D35="按租金收入计税",ROUND(C8*F35/(1+'数据-取费表'!C42),1),IF(D35="按房产原值计税",ROUND(C31*F35*0.7,1),INDIRECT("'数据-取费表'!Aj"&amp;$G$1)))</f>
        <v>0</v>
      </c>
      <c r="D35" s="810" t="s">
        <v>1679</v>
      </c>
      <c r="E35" s="783" t="s">
        <v>649</v>
      </c>
      <c r="F35" s="808">
        <f>IF(D35="按租金收入计税",'数据-取费表'!B51,'数据-取费表'!B50)</f>
        <v>1.2E-2</v>
      </c>
      <c r="G35" s="2047"/>
      <c r="H35" s="2062"/>
      <c r="I35" s="2062"/>
      <c r="J35" s="2062"/>
      <c r="K35" s="2063"/>
      <c r="L35" s="2062"/>
      <c r="M35" s="2062"/>
    </row>
    <row r="36" spans="1:18" ht="18" customHeight="1">
      <c r="A36" s="812" t="s">
        <v>1879</v>
      </c>
      <c r="B36" s="340" t="s">
        <v>668</v>
      </c>
      <c r="C36" s="54">
        <f ca="1">ROUND(F36*F37/10000,1)</f>
        <v>0</v>
      </c>
      <c r="D36" s="813" t="s">
        <v>669</v>
      </c>
      <c r="E36" s="783" t="s">
        <v>670</v>
      </c>
      <c r="F36" s="639">
        <f>'数据-取费表'!B52</f>
        <v>5</v>
      </c>
      <c r="G36" s="2047"/>
      <c r="H36" s="2050"/>
      <c r="I36" s="3459"/>
      <c r="J36" s="2064"/>
      <c r="K36" s="2065"/>
      <c r="L36" s="2064"/>
      <c r="M36" s="2064"/>
    </row>
    <row r="37" spans="1:18" ht="18" customHeight="1">
      <c r="A37" s="814"/>
      <c r="B37" s="792"/>
      <c r="C37" s="69"/>
      <c r="D37" s="815"/>
      <c r="E37" s="783" t="s">
        <v>674</v>
      </c>
      <c r="F37" s="784">
        <f ca="1">INDIRECT("'数据-取费表'!r"&amp;$G$1)</f>
        <v>0</v>
      </c>
      <c r="G37" s="2047"/>
      <c r="H37" s="2050"/>
      <c r="I37" s="3459"/>
      <c r="J37" s="2062"/>
      <c r="K37" s="2063"/>
      <c r="L37" s="2062"/>
      <c r="M37" s="2062"/>
    </row>
    <row r="38" spans="1:18" ht="18" customHeight="1">
      <c r="A38" s="802" t="s">
        <v>1876</v>
      </c>
      <c r="B38" s="783" t="s">
        <v>676</v>
      </c>
      <c r="C38" s="53">
        <f ca="1">ROUND(C31*F38,1)</f>
        <v>0</v>
      </c>
      <c r="D38" s="1962" t="s">
        <v>691</v>
      </c>
      <c r="E38" s="783" t="s">
        <v>649</v>
      </c>
      <c r="F38" s="816">
        <f ca="1">INDIRECT("'数据-取费表'!Ak"&amp;$G$1)</f>
        <v>0</v>
      </c>
      <c r="G38" s="2047"/>
      <c r="H38" s="2062"/>
      <c r="I38" s="2066"/>
      <c r="J38" s="1973"/>
      <c r="K38" s="2067"/>
      <c r="L38" s="2062"/>
      <c r="M38" s="2062"/>
    </row>
    <row r="39" spans="1:18" ht="18" customHeight="1">
      <c r="A39" s="802" t="s">
        <v>1877</v>
      </c>
      <c r="B39" s="783" t="s">
        <v>679</v>
      </c>
      <c r="C39" s="53">
        <f ca="1">ROUND(C15*F39,1)</f>
        <v>0</v>
      </c>
      <c r="D39" s="1962" t="s">
        <v>680</v>
      </c>
      <c r="E39" s="783" t="s">
        <v>649</v>
      </c>
      <c r="F39" s="817">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1875</v>
      </c>
      <c r="B42" s="834" t="s">
        <v>693</v>
      </c>
      <c r="C42" s="828">
        <f ca="1">C7-C32</f>
        <v>0</v>
      </c>
      <c r="D42" s="1964" t="s">
        <v>694</v>
      </c>
      <c r="E42" s="1966"/>
      <c r="F42" s="819"/>
      <c r="G42" s="2047"/>
      <c r="H42" s="2047"/>
      <c r="I42" s="2047"/>
      <c r="J42" s="2047"/>
      <c r="K42" s="2068"/>
      <c r="L42" s="2047"/>
      <c r="M42" s="2047"/>
    </row>
    <row r="43" spans="1:18" ht="18" customHeight="1">
      <c r="A43" s="802" t="s">
        <v>1876</v>
      </c>
      <c r="B43" s="834" t="s">
        <v>711</v>
      </c>
      <c r="C43" s="835">
        <f ca="1">ROUND(C15*F43,0)</f>
        <v>0</v>
      </c>
      <c r="D43" s="1351" t="s">
        <v>712</v>
      </c>
      <c r="E43" s="3074" t="s">
        <v>2962</v>
      </c>
      <c r="F43" s="3075">
        <f ca="1">INDIRECT("'数据-取费表'!j"&amp;$G$1)</f>
        <v>0</v>
      </c>
      <c r="G43" s="2047"/>
      <c r="H43" s="2047"/>
      <c r="I43" s="2047"/>
      <c r="J43" s="2047"/>
      <c r="K43" s="2068"/>
      <c r="L43" s="2047"/>
      <c r="M43" s="2047"/>
    </row>
    <row r="44" spans="1:18" ht="18" customHeight="1">
      <c r="A44" s="802" t="s">
        <v>1877</v>
      </c>
      <c r="B44" s="834" t="s">
        <v>713</v>
      </c>
      <c r="C44" s="1352">
        <f ca="1">C42-C43</f>
        <v>0</v>
      </c>
      <c r="D44" s="462" t="s">
        <v>714</v>
      </c>
      <c r="E44" s="463"/>
      <c r="F44" s="464"/>
      <c r="G44" s="2047"/>
      <c r="H44" s="2047"/>
      <c r="I44" s="2047"/>
      <c r="J44" s="2047"/>
      <c r="K44" s="2068"/>
      <c r="L44" s="2047"/>
      <c r="M44" s="2047"/>
    </row>
    <row r="45" spans="1:18" ht="18" customHeight="1">
      <c r="A45" s="802" t="s">
        <v>1878</v>
      </c>
      <c r="B45" s="1351" t="s">
        <v>715</v>
      </c>
      <c r="C45" s="2990">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3076" t="s">
        <v>2965</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8" t="str">
        <f ca="1">IF(M48="住宅",0,IF(L49&gt;J52,L61,J61))</f>
        <v>0</v>
      </c>
      <c r="O47" s="2358" t="s">
        <v>2409</v>
      </c>
      <c r="P47" s="1578"/>
      <c r="Q47" s="1589"/>
      <c r="R47" s="1578"/>
    </row>
    <row r="48" spans="1:18" s="2044" customFormat="1" ht="18" customHeight="1" thickBot="1">
      <c r="A48" s="2069"/>
      <c r="C48" s="2072"/>
      <c r="D48" s="2073"/>
      <c r="E48" s="2073"/>
      <c r="F48" s="2074"/>
      <c r="G48" s="2075"/>
      <c r="I48" s="3099" t="s">
        <v>2343</v>
      </c>
      <c r="J48" s="2345"/>
      <c r="K48" s="3105" t="s">
        <v>2348</v>
      </c>
      <c r="L48" s="3109">
        <f ca="1">INDIRECT("'数据-取费表'!d"&amp;$G$1)</f>
        <v>0</v>
      </c>
      <c r="M48" s="3073"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8" t="s">
        <v>2344</v>
      </c>
      <c r="J49" s="2346"/>
      <c r="K49" s="3106"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8" t="s">
        <v>2345</v>
      </c>
      <c r="J50" s="2347"/>
      <c r="K50" s="3107"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8" t="s">
        <v>2346</v>
      </c>
      <c r="J51" s="3103">
        <f>SUMPRODUCT((I64:I66=J48)*(J63:L63=J49)*(J64:L66))</f>
        <v>0</v>
      </c>
      <c r="K51" s="3107" t="s">
        <v>2352</v>
      </c>
      <c r="L51" s="2348"/>
      <c r="O51" s="2365" t="s">
        <v>2382</v>
      </c>
      <c r="P51" s="2363" t="s">
        <v>2406</v>
      </c>
      <c r="Q51" s="2364">
        <f ca="1">C31</f>
        <v>0</v>
      </c>
      <c r="R51" s="2363" t="s">
        <v>2379</v>
      </c>
    </row>
    <row r="52" spans="1:18" s="2044" customFormat="1" ht="18" customHeight="1" thickBot="1">
      <c r="A52" s="2081"/>
      <c r="F52" s="2070"/>
      <c r="I52" s="3100" t="s">
        <v>2347</v>
      </c>
      <c r="J52" s="3104">
        <f>IF(J50="",J51,J50+J51-YEAR('数据-取费表'!B3))</f>
        <v>0</v>
      </c>
      <c r="K52" s="3078" t="s">
        <v>2353</v>
      </c>
      <c r="L52" s="3110">
        <f ca="1">ROUND(-PV(INDIRECT("'数据-取费表'!h"&amp;$G$1),L49,(C40-C14*J36),0),0)</f>
        <v>0</v>
      </c>
      <c r="O52" s="2365" t="s">
        <v>2383</v>
      </c>
      <c r="P52" s="2363" t="s">
        <v>2384</v>
      </c>
      <c r="Q52" s="2366" t="e">
        <f ca="1">J59</f>
        <v>#VALUE!</v>
      </c>
      <c r="R52" s="2367"/>
    </row>
    <row r="53" spans="1:18" s="2044" customFormat="1" ht="18" customHeight="1" thickBot="1">
      <c r="A53" s="2081"/>
      <c r="F53" s="2070"/>
      <c r="I53" s="3101" t="s">
        <v>2420</v>
      </c>
      <c r="J53" s="2349"/>
      <c r="K53" s="3101" t="s">
        <v>2419</v>
      </c>
      <c r="L53" s="2349"/>
      <c r="O53" s="2365" t="s">
        <v>2385</v>
      </c>
      <c r="P53" s="2363" t="s">
        <v>2386</v>
      </c>
      <c r="Q53" s="2366">
        <f>J53</f>
        <v>0</v>
      </c>
      <c r="R53" s="2367"/>
    </row>
    <row r="54" spans="1:18" s="2044" customFormat="1" ht="29.25" thickBot="1">
      <c r="A54" s="2081"/>
      <c r="I54" s="3102" t="s">
        <v>2978</v>
      </c>
      <c r="J54" s="3181">
        <f ca="1">IF(M48="住宅",MAX(J52,L49-'数据-取费表'!B20),MIN(J52,L49-'数据-取费表'!B20))</f>
        <v>-2.5</v>
      </c>
      <c r="K54" s="3464"/>
      <c r="L54" s="3465"/>
      <c r="O54" s="2365" t="s">
        <v>2387</v>
      </c>
      <c r="P54" s="2363" t="s">
        <v>2388</v>
      </c>
      <c r="Q54" s="2364">
        <f ca="1">J54</f>
        <v>-2.5</v>
      </c>
      <c r="R54" s="2363" t="s">
        <v>2389</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4" customFormat="1" ht="16.5" thickBot="1">
      <c r="A56" s="2081"/>
      <c r="B56" s="2082"/>
      <c r="C56" s="2082"/>
      <c r="I56" s="3113" t="s">
        <v>2354</v>
      </c>
      <c r="J56" s="3053" t="e">
        <f ca="1">ROUND(IF(J48="钢混",J58/J51,1-(1-2%)*(J51-J58)/J51),3)</f>
        <v>#VALUE!</v>
      </c>
      <c r="K56" s="3114" t="s">
        <v>2355</v>
      </c>
      <c r="L56" s="2350"/>
      <c r="O56" s="2368" t="s">
        <v>2410</v>
      </c>
      <c r="P56" s="1578"/>
      <c r="Q56" s="1589"/>
      <c r="R56" s="1578"/>
    </row>
    <row r="57" spans="1:18" s="2044" customFormat="1" ht="43.5" thickBot="1">
      <c r="A57" s="2081"/>
      <c r="B57" s="2082"/>
      <c r="C57" s="2082"/>
      <c r="I57" s="3115" t="s">
        <v>2356</v>
      </c>
      <c r="J57" s="3125" t="s">
        <v>1677</v>
      </c>
      <c r="K57" s="3078" t="s">
        <v>2361</v>
      </c>
      <c r="L57" s="1893">
        <f ca="1">IF(L49&lt;J52,"——",L49-J52)</f>
        <v>0</v>
      </c>
      <c r="O57" s="2359" t="s">
        <v>2374</v>
      </c>
      <c r="P57" s="2360" t="s">
        <v>2375</v>
      </c>
      <c r="Q57" s="2361" t="s">
        <v>2376</v>
      </c>
      <c r="R57" s="2360" t="s">
        <v>2377</v>
      </c>
    </row>
    <row r="58" spans="1:18" s="2044" customFormat="1" ht="29.25" thickBot="1">
      <c r="A58" s="2081"/>
      <c r="B58" s="2082"/>
      <c r="C58" s="2082"/>
      <c r="I58" s="3116" t="s">
        <v>2357</v>
      </c>
      <c r="J58" s="3117" t="str">
        <f ca="1">IF(OR(M48="住宅",J52&lt;L49,J57="是"),"——",J52-L49)</f>
        <v>——</v>
      </c>
      <c r="K58" s="3078"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6" t="s">
        <v>2358</v>
      </c>
      <c r="J59" s="3054" t="e">
        <f ca="1">IF(J56&lt;0.4,0.4,J56)</f>
        <v>#VALUE!</v>
      </c>
      <c r="K59" s="3078"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6" t="s">
        <v>2359</v>
      </c>
      <c r="J60" s="3117" t="str">
        <f ca="1">IF(OR(M48="住宅",J52&lt;L49,J57="是"),"——",ROUND(C30*J59,0))</f>
        <v>——</v>
      </c>
      <c r="K60" s="3078"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1" t="s">
        <v>2366</v>
      </c>
      <c r="J63" s="3122" t="s">
        <v>2367</v>
      </c>
      <c r="K63" s="3122" t="s">
        <v>2368</v>
      </c>
      <c r="L63" s="3122" t="s">
        <v>2349</v>
      </c>
      <c r="M63" s="3123" t="s">
        <v>2943</v>
      </c>
      <c r="O63" s="2365" t="s">
        <v>2387</v>
      </c>
      <c r="P63" s="2363" t="s">
        <v>2395</v>
      </c>
      <c r="Q63" s="2364">
        <f ca="1">L60</f>
        <v>0</v>
      </c>
      <c r="R63" s="2367" t="s">
        <v>2396</v>
      </c>
    </row>
    <row r="64" spans="1:18" s="2044" customFormat="1" ht="15.75" thickBot="1">
      <c r="A64" s="2081"/>
      <c r="B64" s="2082"/>
      <c r="C64" s="2082"/>
      <c r="I64" s="3121" t="s">
        <v>2369</v>
      </c>
      <c r="J64" s="3122">
        <v>70</v>
      </c>
      <c r="K64" s="3122">
        <v>50</v>
      </c>
      <c r="L64" s="3122">
        <v>80</v>
      </c>
      <c r="M64" s="3124">
        <v>0.02</v>
      </c>
      <c r="O64" s="2362" t="s">
        <v>2390</v>
      </c>
      <c r="P64" s="2363" t="s">
        <v>2407</v>
      </c>
      <c r="Q64" s="2364" t="e">
        <f ca="1">Q58+Q59</f>
        <v>#DIV/0!</v>
      </c>
      <c r="R64" s="2367" t="s">
        <v>2391</v>
      </c>
    </row>
    <row r="65" spans="1:18" s="2044" customFormat="1" ht="16.5" thickBot="1">
      <c r="A65" s="2081"/>
      <c r="B65" s="2082"/>
      <c r="C65" s="2082"/>
      <c r="I65" s="3121" t="s">
        <v>2370</v>
      </c>
      <c r="J65" s="3122">
        <v>50</v>
      </c>
      <c r="K65" s="3122">
        <v>35</v>
      </c>
      <c r="L65" s="3122">
        <v>60</v>
      </c>
      <c r="M65" s="845">
        <v>0</v>
      </c>
      <c r="O65" s="2368" t="s">
        <v>2414</v>
      </c>
      <c r="P65" s="1578"/>
      <c r="Q65" s="1589"/>
      <c r="R65" s="1578"/>
    </row>
    <row r="66" spans="1:18" s="2044" customFormat="1" ht="15.75" thickBot="1">
      <c r="A66" s="2081"/>
      <c r="B66" s="2082"/>
      <c r="C66" s="2082"/>
      <c r="I66" s="3121" t="s">
        <v>2371</v>
      </c>
      <c r="J66" s="3122">
        <v>40</v>
      </c>
      <c r="K66" s="3122">
        <v>30</v>
      </c>
      <c r="L66" s="3122">
        <v>50</v>
      </c>
      <c r="M66" s="3124">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40" sqref="H4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1724</v>
      </c>
      <c r="B1" s="737"/>
      <c r="C1" s="772" t="s">
        <v>2998</v>
      </c>
      <c r="D1" s="3077" t="s">
        <v>3263</v>
      </c>
      <c r="E1" s="2351" t="s">
        <v>2373</v>
      </c>
      <c r="F1" s="2352">
        <f ca="1">J53</f>
        <v>35.03</v>
      </c>
      <c r="G1" s="773">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1725</v>
      </c>
      <c r="B2" s="774">
        <f ca="1">C40+J29+L46</f>
        <v>50709</v>
      </c>
      <c r="C2" s="2042"/>
      <c r="D2" s="2040"/>
      <c r="E2" s="2041"/>
      <c r="F2" s="2041"/>
      <c r="G2" s="1576"/>
      <c r="H2" s="2042"/>
      <c r="I2" s="2042"/>
      <c r="J2" s="2042"/>
      <c r="K2" s="2043"/>
      <c r="L2" s="2042"/>
      <c r="M2" s="2042"/>
    </row>
    <row r="3" spans="1:33" ht="18" customHeight="1" thickBot="1">
      <c r="A3" s="832" t="s">
        <v>1726</v>
      </c>
      <c r="B3" s="833">
        <f ca="1">IF(ISERROR(B2*10000/F43),0,ROUND(B2*10000/F43,0))</f>
        <v>5469</v>
      </c>
      <c r="C3" s="2042"/>
      <c r="D3" s="2040"/>
      <c r="E3" s="2041"/>
      <c r="F3" s="2041"/>
      <c r="G3" s="1576"/>
      <c r="H3" s="775" t="s">
        <v>695</v>
      </c>
      <c r="I3" s="1358"/>
      <c r="J3" s="1358"/>
      <c r="K3" s="1577"/>
      <c r="L3" s="1358"/>
      <c r="M3" s="1358"/>
    </row>
    <row r="4" spans="1:33" ht="18" customHeight="1">
      <c r="A4" s="776" t="s">
        <v>1727</v>
      </c>
      <c r="B4" s="777" t="s">
        <v>1728</v>
      </c>
      <c r="C4" s="777" t="s">
        <v>1729</v>
      </c>
      <c r="D4" s="777" t="s">
        <v>633</v>
      </c>
      <c r="E4" s="778" t="s">
        <v>1730</v>
      </c>
      <c r="F4" s="779"/>
      <c r="G4" s="1578"/>
      <c r="H4" s="776" t="s">
        <v>1731</v>
      </c>
      <c r="I4" s="777" t="s">
        <v>1732</v>
      </c>
      <c r="J4" s="777" t="s">
        <v>1733</v>
      </c>
      <c r="K4" s="777" t="s">
        <v>1734</v>
      </c>
      <c r="L4" s="778" t="s">
        <v>1735</v>
      </c>
      <c r="M4" s="779"/>
    </row>
    <row r="5" spans="1:33" ht="18" customHeight="1">
      <c r="A5" s="780">
        <v>1</v>
      </c>
      <c r="B5" s="781" t="s">
        <v>2457</v>
      </c>
      <c r="C5" s="55">
        <f ca="1">C6+C10+C12</f>
        <v>3740</v>
      </c>
      <c r="D5" s="2460" t="s">
        <v>2460</v>
      </c>
      <c r="E5" s="2454"/>
      <c r="F5" s="2455"/>
      <c r="G5" s="1578"/>
      <c r="H5" s="780">
        <v>1</v>
      </c>
      <c r="I5" s="781" t="s">
        <v>2457</v>
      </c>
      <c r="J5" s="55">
        <f ca="1">J6+J10+J12</f>
        <v>0</v>
      </c>
      <c r="K5" s="2460" t="s">
        <v>2460</v>
      </c>
      <c r="L5" s="2454"/>
      <c r="M5" s="2455"/>
    </row>
    <row r="6" spans="1:33" ht="18" customHeight="1">
      <c r="A6" s="1815" t="s">
        <v>1823</v>
      </c>
      <c r="B6" s="3460" t="s">
        <v>2462</v>
      </c>
      <c r="C6" s="782">
        <f ca="1">ROUND(F6*F8*F7*(1-F9)/10000,0)</f>
        <v>3740</v>
      </c>
      <c r="D6" s="2461" t="s">
        <v>2461</v>
      </c>
      <c r="E6" s="783" t="s">
        <v>1737</v>
      </c>
      <c r="F6" s="784">
        <f ca="1">INDIRECT("'数据-取费表'!u"&amp;$G$1)</f>
        <v>1.3</v>
      </c>
      <c r="G6" s="1578"/>
      <c r="H6" s="2468" t="s">
        <v>2467</v>
      </c>
      <c r="I6" s="3460" t="s">
        <v>2462</v>
      </c>
      <c r="J6" s="782">
        <f ca="1">ROUND(M6*M8*M7*(1-M9)/10000,0)</f>
        <v>0</v>
      </c>
      <c r="K6" s="340" t="s">
        <v>1736</v>
      </c>
      <c r="L6" s="783" t="s">
        <v>1737</v>
      </c>
      <c r="M6" s="784">
        <f ca="1">INDIRECT("'数据-取费表'!z"&amp;$G$1)</f>
        <v>0</v>
      </c>
    </row>
    <row r="7" spans="1:33" ht="18" customHeight="1">
      <c r="A7" s="2464"/>
      <c r="B7" s="3461"/>
      <c r="C7" s="787"/>
      <c r="D7" s="788"/>
      <c r="E7" s="783" t="s">
        <v>1738</v>
      </c>
      <c r="F7" s="784">
        <f ca="1">IF(INDIRECT("'数据-取费表'!ah"&amp;$G$1)="",INDIRECT("'数据-取费表'!k"&amp;$G$1),INDIRECT("'数据-取费表'!ah"&amp;$G$1))</f>
        <v>92723.37</v>
      </c>
      <c r="G7" s="1578"/>
      <c r="H7" s="2453"/>
      <c r="I7" s="3461"/>
      <c r="J7" s="787"/>
      <c r="K7" s="788"/>
      <c r="L7" s="783" t="s">
        <v>1738</v>
      </c>
      <c r="M7" s="784">
        <f ca="1">F7</f>
        <v>92723.37</v>
      </c>
    </row>
    <row r="8" spans="1:33" ht="18" customHeight="1">
      <c r="A8" s="2457"/>
      <c r="B8" s="3462"/>
      <c r="C8" s="787"/>
      <c r="D8" s="788"/>
      <c r="E8" s="783" t="s">
        <v>1739</v>
      </c>
      <c r="F8" s="784">
        <f ca="1">INDIRECT("'数据-取费表'!ai"&amp;$G$1)</f>
        <v>365</v>
      </c>
      <c r="G8" s="1578"/>
      <c r="H8" s="2453"/>
      <c r="I8" s="3462"/>
      <c r="J8" s="787"/>
      <c r="K8" s="788"/>
      <c r="L8" s="783" t="s">
        <v>1739</v>
      </c>
      <c r="M8" s="784">
        <f ca="1">INDIRECT("'数据-取费表'!ai"&amp;$G$1)</f>
        <v>365</v>
      </c>
    </row>
    <row r="9" spans="1:33" ht="18" customHeight="1">
      <c r="A9" s="785"/>
      <c r="B9" s="3463"/>
      <c r="C9" s="787"/>
      <c r="D9" s="788"/>
      <c r="E9" s="783" t="s">
        <v>1740</v>
      </c>
      <c r="F9" s="793">
        <f ca="1">INDIRECT("'数据-取费表'!w"&amp;$G$1)</f>
        <v>0.15</v>
      </c>
      <c r="G9" s="1578"/>
      <c r="H9" s="2469"/>
      <c r="I9" s="3462"/>
      <c r="J9" s="787"/>
      <c r="K9" s="788"/>
      <c r="L9" s="794" t="s">
        <v>1740</v>
      </c>
      <c r="M9" s="795">
        <f ca="1">INDIRECT("'数据-取费表'!ab"&amp;$G$1)</f>
        <v>0</v>
      </c>
    </row>
    <row r="10" spans="1:33" ht="18" customHeight="1">
      <c r="A10" s="1815" t="s">
        <v>2465</v>
      </c>
      <c r="B10" s="2458" t="s">
        <v>2458</v>
      </c>
      <c r="C10" s="798">
        <f ca="1">ROUND(IF(F10="押一",C6/12*F11,IF(F10="押二",C6/12*2*F11,IF(F10="押三",C6/12*3*F11,C11*F11))),0)</f>
        <v>0</v>
      </c>
      <c r="D10" s="2465" t="s">
        <v>2974</v>
      </c>
      <c r="E10" s="2462" t="s">
        <v>2463</v>
      </c>
      <c r="F10" s="2585" t="s">
        <v>3006</v>
      </c>
      <c r="G10" s="1578"/>
      <c r="H10" s="2525" t="s">
        <v>2468</v>
      </c>
      <c r="I10" s="2530" t="s">
        <v>2458</v>
      </c>
      <c r="J10" s="782">
        <f ca="1">ROUND(IF(M10="押一",J6/12*M11,IF(M10="押二",J6/12*2*M11,IF(M10="押三",J6/12*3*M11,J11*M11))),0)</f>
        <v>0</v>
      </c>
      <c r="K10" s="2465" t="s">
        <v>2974</v>
      </c>
      <c r="L10" s="2462" t="s">
        <v>2463</v>
      </c>
      <c r="M10" s="2585"/>
    </row>
    <row r="11" spans="1:33" ht="18" customHeight="1">
      <c r="A11" s="789"/>
      <c r="B11" s="2459" t="s">
        <v>2572</v>
      </c>
      <c r="C11" s="2463"/>
      <c r="D11" s="788"/>
      <c r="E11" s="2462" t="s">
        <v>2464</v>
      </c>
      <c r="F11" s="795">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1741</v>
      </c>
      <c r="C13" s="791">
        <f ca="1">ROUND(C29*F13,0)</f>
        <v>39802</v>
      </c>
      <c r="D13" s="1819" t="s">
        <v>2296</v>
      </c>
      <c r="E13" s="1819" t="s">
        <v>1743</v>
      </c>
      <c r="F13" s="2500">
        <f ca="1">INDIRECT("'数据-取费表'!y"&amp;$G$1)</f>
        <v>1</v>
      </c>
      <c r="G13" s="1578"/>
      <c r="H13" s="1814">
        <v>2</v>
      </c>
      <c r="I13" s="1812" t="s">
        <v>1741</v>
      </c>
      <c r="J13" s="1804">
        <f ca="1">ROUND(J14*J15,0)</f>
        <v>0</v>
      </c>
      <c r="K13" s="1806" t="s">
        <v>1742</v>
      </c>
      <c r="L13" s="2516"/>
      <c r="M13" s="2517"/>
    </row>
    <row r="14" spans="1:33" ht="18" customHeight="1">
      <c r="A14" s="1633" t="s">
        <v>1883</v>
      </c>
      <c r="B14" s="783" t="s">
        <v>645</v>
      </c>
      <c r="C14" s="803">
        <f ca="1">INDIRECT("'数据-取费表'!m"&amp;$G$1)+INDIRECT("'数据-取费表'!t"&amp;$G$1)</f>
        <v>25035</v>
      </c>
      <c r="D14" s="1964" t="s">
        <v>1744</v>
      </c>
      <c r="E14" s="1965"/>
      <c r="F14" s="804"/>
      <c r="G14" s="1578"/>
      <c r="H14" s="1634" t="s">
        <v>1829</v>
      </c>
      <c r="I14" s="2216" t="s">
        <v>2825</v>
      </c>
      <c r="J14" s="53">
        <f ca="1">C29</f>
        <v>39802</v>
      </c>
      <c r="K14" s="26"/>
      <c r="L14" s="800"/>
      <c r="M14" s="801"/>
    </row>
    <row r="15" spans="1:33" s="2049" customFormat="1" ht="18" customHeight="1" thickBot="1">
      <c r="A15" s="1633" t="s">
        <v>1884</v>
      </c>
      <c r="B15" s="783" t="s">
        <v>647</v>
      </c>
      <c r="C15" s="53">
        <f ca="1">ROUND(C14*F15,0)</f>
        <v>1252</v>
      </c>
      <c r="D15" s="805" t="s">
        <v>1745</v>
      </c>
      <c r="E15" s="805" t="s">
        <v>1746</v>
      </c>
      <c r="F15" s="806">
        <f>'数据-取费表'!B33</f>
        <v>0.05</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3" t="s">
        <v>650</v>
      </c>
      <c r="C16" s="53">
        <f ca="1">ROUND(INDIRECT("'数据-取费表'!m"&amp;$G$1)*F16,0)</f>
        <v>0</v>
      </c>
      <c r="D16" s="783" t="s">
        <v>1745</v>
      </c>
      <c r="E16" s="783" t="s">
        <v>1746</v>
      </c>
      <c r="F16" s="808">
        <f ca="1">IF(INDIRECT("'数据-取费表'!c"&amp;$G$1)="住宅",'数据-取费表'!B34,0)</f>
        <v>0</v>
      </c>
      <c r="G16" s="1578"/>
      <c r="H16" s="1814" t="s">
        <v>1747</v>
      </c>
      <c r="I16" s="1812" t="s">
        <v>1748</v>
      </c>
      <c r="J16" s="791">
        <f ca="1">ROUND(J17+J22+J23+J24,0)</f>
        <v>3971</v>
      </c>
      <c r="K16" s="1806" t="s">
        <v>1749</v>
      </c>
      <c r="L16" s="2450"/>
      <c r="M16" s="2455"/>
    </row>
    <row r="17" spans="1:33" s="2049" customFormat="1" ht="18" customHeight="1">
      <c r="A17" s="1633" t="s">
        <v>1886</v>
      </c>
      <c r="B17" s="783" t="s">
        <v>653</v>
      </c>
      <c r="C17" s="53">
        <f ca="1">ROUND(F17*(F43+INDIRECT("'数据-取费表'!S"&amp;$G$1))/10000,0)</f>
        <v>1854</v>
      </c>
      <c r="D17" s="783" t="s">
        <v>1750</v>
      </c>
      <c r="E17" s="783" t="s">
        <v>1751</v>
      </c>
      <c r="F17" s="56">
        <f>'数据-取费表'!B35</f>
        <v>200</v>
      </c>
      <c r="G17" s="1579"/>
      <c r="H17" s="1634" t="s">
        <v>1829</v>
      </c>
      <c r="I17" s="783" t="s">
        <v>656</v>
      </c>
      <c r="J17" s="53">
        <f ca="1">ROUND(IF(项目基本情况!B11="自然人",J6*M17/(1+'数据-取费表'!C42),J18+J19+J20),0)</f>
        <v>3374</v>
      </c>
      <c r="K17" s="2449" t="s">
        <v>1752</v>
      </c>
      <c r="L17" s="2448" t="s">
        <v>1753</v>
      </c>
      <c r="M17" s="809">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3" t="s">
        <v>659</v>
      </c>
      <c r="C18" s="53">
        <f ca="1">ROUND(C14*F18,0)</f>
        <v>376</v>
      </c>
      <c r="D18" s="783" t="s">
        <v>1745</v>
      </c>
      <c r="E18" s="783" t="s">
        <v>1746</v>
      </c>
      <c r="F18" s="808">
        <f>'数据-取费表'!B36</f>
        <v>1.4999999999999999E-2</v>
      </c>
      <c r="G18" s="1579"/>
      <c r="H18" s="1633" t="s">
        <v>1883</v>
      </c>
      <c r="I18" s="783" t="s">
        <v>1754</v>
      </c>
      <c r="J18" s="53">
        <f ca="1">ROUND(J6*M18/(1+'数据-取费表'!C42),1)</f>
        <v>0</v>
      </c>
      <c r="K18" s="2448" t="s">
        <v>1755</v>
      </c>
      <c r="L18" s="783" t="s">
        <v>1746</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3" t="s">
        <v>662</v>
      </c>
      <c r="C19" s="53">
        <f ca="1">SUM(C14:C18)</f>
        <v>28517</v>
      </c>
      <c r="D19" s="260" t="s">
        <v>1756</v>
      </c>
      <c r="E19" s="1967"/>
      <c r="F19" s="56"/>
      <c r="G19" s="1578"/>
      <c r="H19" s="1633" t="s">
        <v>1884</v>
      </c>
      <c r="I19" s="783" t="s">
        <v>1757</v>
      </c>
      <c r="J19" s="53">
        <f ca="1">IF(K19="按租金收入计税",ROUND(J6*M19/(1+'数据-取费表'!C42),1),ROUND(C29*F33*0.7,1))</f>
        <v>3343.4</v>
      </c>
      <c r="K19" s="810" t="s">
        <v>665</v>
      </c>
      <c r="L19" s="783" t="s">
        <v>1746</v>
      </c>
      <c r="M19" s="808">
        <f>IF(K19="按租金收入计税",'数据-取费表'!B51,'数据-取费表'!B50)</f>
        <v>1.2E-2</v>
      </c>
    </row>
    <row r="20" spans="1:33" s="2049" customFormat="1" ht="18" customHeight="1">
      <c r="A20" s="1634" t="s">
        <v>1888</v>
      </c>
      <c r="B20" s="783" t="s">
        <v>666</v>
      </c>
      <c r="C20" s="53">
        <f ca="1">ROUND(C19*F20,0)</f>
        <v>428</v>
      </c>
      <c r="D20" s="811" t="s">
        <v>1758</v>
      </c>
      <c r="E20" s="783" t="s">
        <v>1746</v>
      </c>
      <c r="F20" s="808">
        <f>'数据-取费表'!B37</f>
        <v>1.4999999999999999E-2</v>
      </c>
      <c r="G20" s="1579"/>
      <c r="H20" s="1636" t="s">
        <v>1879</v>
      </c>
      <c r="I20" s="340" t="s">
        <v>1759</v>
      </c>
      <c r="J20" s="54">
        <f ca="1">ROUND(M20*M21/10000,0)</f>
        <v>31</v>
      </c>
      <c r="K20" s="813" t="s">
        <v>1760</v>
      </c>
      <c r="L20" s="783" t="s">
        <v>1761</v>
      </c>
      <c r="M20" s="639">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3" t="s">
        <v>1762</v>
      </c>
      <c r="C21" s="53" t="s">
        <v>1763</v>
      </c>
      <c r="D21" s="811" t="s">
        <v>2297</v>
      </c>
      <c r="E21" s="783" t="s">
        <v>1764</v>
      </c>
      <c r="F21" s="808">
        <f>'数据-取费表'!B38</f>
        <v>2.5000000000000001E-2</v>
      </c>
      <c r="G21" s="1579"/>
      <c r="H21" s="2470"/>
      <c r="I21" s="792"/>
      <c r="J21" s="69"/>
      <c r="K21" s="815"/>
      <c r="L21" s="783" t="s">
        <v>1765</v>
      </c>
      <c r="M21" s="784">
        <f ca="1">INDIRECT("'数据-取费表'!r"&amp;$G$1)</f>
        <v>61815.58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3" t="s">
        <v>1766</v>
      </c>
      <c r="C22" s="53"/>
      <c r="D22" s="2536" t="str">
        <f>IF(F23&lt;=1,"单利计息。","复利计息。")&amp;"建造成本、管理费用、销售费用产生的利息。"</f>
        <v>复利计息。建造成本、管理费用、销售费用产生的利息。</v>
      </c>
      <c r="E22" s="1967"/>
      <c r="F22" s="56"/>
      <c r="G22" s="1578"/>
      <c r="H22" s="1634" t="s">
        <v>1888</v>
      </c>
      <c r="I22" s="783" t="s">
        <v>1767</v>
      </c>
      <c r="J22" s="53">
        <f ca="1">ROUND(J14*M22,0)</f>
        <v>597</v>
      </c>
      <c r="K22" s="2448" t="s">
        <v>1768</v>
      </c>
      <c r="L22" s="783" t="s">
        <v>1746</v>
      </c>
      <c r="M22" s="816">
        <f ca="1">INDIRECT("'数据-取费表'!Ak"&amp;$G$1)</f>
        <v>1.4999999999999999E-2</v>
      </c>
    </row>
    <row r="23" spans="1:33" s="2049" customFormat="1" ht="18" customHeight="1">
      <c r="A23" s="1633" t="s">
        <v>1830</v>
      </c>
      <c r="B23" s="783" t="s">
        <v>2534</v>
      </c>
      <c r="C23" s="53">
        <f ca="1">ROUND(IF('数据-取费表'!B22&lt;=1,(C19+C20)*F24*F23/2,(C19+C20)*(POWER((1+F24),F23/2)-1)),0)</f>
        <v>1729</v>
      </c>
      <c r="D23" s="2535" t="str">
        <f>IF(F23&lt;=1,"(建造成本+管理费用)×利率×(建设周期÷2)","(建造成本+管理费用)×((1+利率)^(建设周期÷2)-1)")</f>
        <v>(建造成本+管理费用)×((1+利率)^(建设周期÷2)-1)</v>
      </c>
      <c r="E23" s="783" t="s">
        <v>1769</v>
      </c>
      <c r="F23" s="639">
        <f>'数据-取费表'!B20</f>
        <v>2.5</v>
      </c>
      <c r="G23" s="1579"/>
      <c r="H23" s="1634" t="s">
        <v>1889</v>
      </c>
      <c r="I23" s="783" t="s">
        <v>679</v>
      </c>
      <c r="J23" s="53">
        <f ca="1">ROUND(J13*M23,0)</f>
        <v>0</v>
      </c>
      <c r="K23" s="2448" t="s">
        <v>1770</v>
      </c>
      <c r="L23" s="783" t="s">
        <v>1746</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3" t="s">
        <v>1771</v>
      </c>
      <c r="C24" s="53">
        <f ca="1">ROUND(IF('数据-取费表'!B22&lt;=1,F21*F24*F23/2,F21*(POWER((1+F24),F23/2)-1)),4)</f>
        <v>1.5E-3</v>
      </c>
      <c r="D24" s="2535" t="str">
        <f>IF(F23&lt;=1,"销售费用×利率×(建设周期÷2)","销售费用×((1+利率)^(建设周期÷2)-1)")</f>
        <v>销售费用×((1+利率)^(建设周期÷2)-1)</v>
      </c>
      <c r="E24" s="783" t="s">
        <v>1772</v>
      </c>
      <c r="F24" s="818">
        <f ca="1">'数据-取费表'!B40</f>
        <v>4.7500000000000001E-2</v>
      </c>
      <c r="G24" s="1579"/>
      <c r="H24" s="2515" t="s">
        <v>1890</v>
      </c>
      <c r="I24" s="2510" t="s">
        <v>666</v>
      </c>
      <c r="J24" s="2508">
        <f ca="1">ROUND(J5*M24,0)</f>
        <v>0</v>
      </c>
      <c r="K24" s="2509" t="s">
        <v>1773</v>
      </c>
      <c r="L24" s="2510" t="s">
        <v>1746</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3" t="s">
        <v>684</v>
      </c>
      <c r="C25" s="53"/>
      <c r="D25" s="260" t="s">
        <v>1774</v>
      </c>
      <c r="E25" s="1967"/>
      <c r="F25" s="56"/>
      <c r="G25" s="1578"/>
      <c r="H25" s="1814" t="s">
        <v>1775</v>
      </c>
      <c r="I25" s="2962" t="s">
        <v>2821</v>
      </c>
      <c r="J25" s="791">
        <f ca="1">J5-J16</f>
        <v>-3971</v>
      </c>
      <c r="K25" s="2512" t="s">
        <v>1776</v>
      </c>
      <c r="L25" s="2513"/>
      <c r="M25" s="2514"/>
    </row>
    <row r="26" spans="1:33" ht="18" customHeight="1">
      <c r="A26" s="1633" t="s">
        <v>1830</v>
      </c>
      <c r="B26" s="783" t="s">
        <v>2437</v>
      </c>
      <c r="C26" s="53">
        <f ca="1">ROUND((C19+C20)*F26,0)</f>
        <v>5789</v>
      </c>
      <c r="D26" s="811" t="s">
        <v>1777</v>
      </c>
      <c r="E26" s="794" t="s">
        <v>1778</v>
      </c>
      <c r="F26" s="793">
        <f ca="1">INDIRECT("'数据-取费表'!q"&amp;$G$1)</f>
        <v>0.2</v>
      </c>
      <c r="G26" s="1578"/>
      <c r="H26" s="2466" t="s">
        <v>1779</v>
      </c>
      <c r="I26" s="2217" t="s">
        <v>2826</v>
      </c>
      <c r="J26" s="782">
        <f ca="1">IF(J5&lt;&gt;0,ROUND(J25*(1-((1+M28)/(1+M26))^M27)/(M26-M28),0),0)</f>
        <v>0</v>
      </c>
      <c r="K26" s="813" t="s">
        <v>1780</v>
      </c>
      <c r="L26" s="783" t="s">
        <v>2418</v>
      </c>
      <c r="M26" s="793">
        <f ca="1">INDIRECT("'数据-取费表'!I"&amp;$G$1)</f>
        <v>5.5E-2</v>
      </c>
    </row>
    <row r="27" spans="1:33" ht="18" customHeight="1">
      <c r="A27" s="1633" t="s">
        <v>1831</v>
      </c>
      <c r="B27" s="783" t="s">
        <v>686</v>
      </c>
      <c r="C27" s="53">
        <f ca="1">ROUND(F21*F26,4)</f>
        <v>5.0000000000000001E-3</v>
      </c>
      <c r="D27" s="811" t="s">
        <v>1781</v>
      </c>
      <c r="E27" s="805"/>
      <c r="F27" s="806"/>
      <c r="G27" s="1578"/>
      <c r="H27" s="2467"/>
      <c r="I27" s="786"/>
      <c r="J27" s="787"/>
      <c r="K27" s="820" t="s">
        <v>1782</v>
      </c>
      <c r="L27" s="783" t="s">
        <v>1783</v>
      </c>
      <c r="M27" s="821">
        <f ca="1">INDIRECT("'数据-取费表'!ag"&amp;$G$1)</f>
        <v>0</v>
      </c>
    </row>
    <row r="28" spans="1:33" s="2049" customFormat="1" ht="18" customHeight="1">
      <c r="A28" s="1635" t="s">
        <v>1840</v>
      </c>
      <c r="B28" s="783" t="s">
        <v>687</v>
      </c>
      <c r="C28" s="53">
        <f>ROUND(F28/(1+'数据-取费表'!C42),4)</f>
        <v>5.2400000000000002E-2</v>
      </c>
      <c r="D28" s="811" t="s">
        <v>2298</v>
      </c>
      <c r="E28" s="783" t="s">
        <v>1784</v>
      </c>
      <c r="F28" s="808">
        <f>'数据-取费表'!B41</f>
        <v>5.5000000000000007E-2</v>
      </c>
      <c r="G28" s="1579"/>
      <c r="H28" s="1814"/>
      <c r="I28" s="790"/>
      <c r="J28" s="791"/>
      <c r="K28" s="815"/>
      <c r="L28" s="783" t="s">
        <v>1785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39802</v>
      </c>
      <c r="D29" s="2509"/>
      <c r="E29" s="2510"/>
      <c r="F29" s="2511"/>
      <c r="G29" s="1579"/>
      <c r="H29" s="822" t="s">
        <v>1786</v>
      </c>
      <c r="I29" s="823" t="s">
        <v>1787</v>
      </c>
      <c r="J29" s="824">
        <f ca="1">ROUND(J26/(1+F40)^F41,0)</f>
        <v>0</v>
      </c>
      <c r="K29" s="825" t="s">
        <v>1788</v>
      </c>
      <c r="L29" s="826"/>
      <c r="M29" s="827">
        <f ca="1">INDIRECT("'数据-取费表'!k"&amp;$G$1)</f>
        <v>92723.37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1">
        <f ca="1">ROUND(C31+C36+C37+C38,0)</f>
        <v>1348</v>
      </c>
      <c r="D30" s="1806" t="s">
        <v>1790</v>
      </c>
      <c r="E30" s="2450"/>
      <c r="F30" s="2455"/>
      <c r="G30" s="2047"/>
      <c r="H30" s="2050"/>
      <c r="I30" s="2051"/>
      <c r="J30" s="2052"/>
      <c r="K30" s="2053"/>
      <c r="L30" s="2054"/>
      <c r="M30" s="2055"/>
    </row>
    <row r="31" spans="1:33" ht="18" customHeight="1">
      <c r="A31" s="1634" t="s">
        <v>1829</v>
      </c>
      <c r="B31" s="783" t="s">
        <v>656</v>
      </c>
      <c r="C31" s="53">
        <f ca="1">ROUND(IF(项目基本情况!B11="自然人",C6*F31/(1+'数据-取费表'!C42),C32+C33+C34),1)</f>
        <v>654.20000000000005</v>
      </c>
      <c r="D31" s="1964" t="s">
        <v>1791</v>
      </c>
      <c r="E31" s="1962" t="s">
        <v>1792</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1830</v>
      </c>
      <c r="B32" s="783" t="s">
        <v>1793</v>
      </c>
      <c r="C32" s="53">
        <f ca="1">ROUND(C6*F32/(1+'数据-取费表'!C42),1)</f>
        <v>195.9</v>
      </c>
      <c r="D32" s="1962" t="s">
        <v>1794</v>
      </c>
      <c r="E32" s="783" t="s">
        <v>1795</v>
      </c>
      <c r="F32" s="808">
        <f>'数据-取费表'!B41</f>
        <v>5.5000000000000007E-2</v>
      </c>
      <c r="G32" s="2047"/>
      <c r="H32" s="2056"/>
      <c r="I32" s="2057"/>
      <c r="J32" s="2058"/>
      <c r="K32" s="2059"/>
      <c r="L32" s="2060"/>
      <c r="M32" s="2061"/>
    </row>
    <row r="33" spans="1:18" ht="18" customHeight="1">
      <c r="A33" s="1633" t="s">
        <v>1831</v>
      </c>
      <c r="B33" s="783" t="s">
        <v>1796</v>
      </c>
      <c r="C33" s="53">
        <f ca="1">IF(D33="按租金收入计税",ROUND(C6*F33/(1+'数据-取费表'!C42),1),IF(D33="按房产原值计税",ROUND(C29*F33*0.7,1),INDIRECT("'数据-取费表'!Aj"&amp;$G$1)))</f>
        <v>427.4</v>
      </c>
      <c r="D33" s="810" t="s">
        <v>3007</v>
      </c>
      <c r="E33" s="783" t="s">
        <v>1795</v>
      </c>
      <c r="F33" s="808">
        <f>IF(D33="按租金收入计税",'数据-取费表'!B51,'数据-取费表'!B50)</f>
        <v>0.12</v>
      </c>
      <c r="G33" s="2047"/>
      <c r="H33" s="2062"/>
      <c r="I33" s="2062"/>
      <c r="J33" s="2062"/>
      <c r="K33" s="2063"/>
      <c r="L33" s="2062"/>
      <c r="M33" s="2062"/>
    </row>
    <row r="34" spans="1:18" ht="18" customHeight="1">
      <c r="A34" s="1636" t="s">
        <v>1832</v>
      </c>
      <c r="B34" s="340" t="s">
        <v>1797</v>
      </c>
      <c r="C34" s="54">
        <f ca="1">ROUND(F34*F35/10000,1)</f>
        <v>30.9</v>
      </c>
      <c r="D34" s="813" t="s">
        <v>1798</v>
      </c>
      <c r="E34" s="783" t="s">
        <v>1799</v>
      </c>
      <c r="F34" s="639">
        <f>'数据-取费表'!B52</f>
        <v>5</v>
      </c>
      <c r="G34" s="2047"/>
      <c r="H34" s="2050"/>
      <c r="I34" s="834" t="s">
        <v>1812</v>
      </c>
      <c r="J34" s="835"/>
      <c r="K34" s="2065"/>
      <c r="L34" s="2064"/>
      <c r="M34" s="2064"/>
    </row>
    <row r="35" spans="1:18" ht="18" customHeight="1">
      <c r="A35" s="814"/>
      <c r="B35" s="792"/>
      <c r="C35" s="69"/>
      <c r="D35" s="815"/>
      <c r="E35" s="783" t="s">
        <v>1800</v>
      </c>
      <c r="F35" s="784">
        <f ca="1">INDIRECT("'数据-取费表'!r"&amp;$G$1)</f>
        <v>61815.58</v>
      </c>
      <c r="G35" s="2047"/>
      <c r="H35" s="2050"/>
      <c r="I35" s="836" t="s">
        <v>1813</v>
      </c>
      <c r="J35" s="837">
        <f ca="1">ROUND(C13*J36,0)</f>
        <v>3383</v>
      </c>
      <c r="K35" s="2063"/>
      <c r="L35" s="2062"/>
      <c r="M35" s="2062"/>
    </row>
    <row r="36" spans="1:18" ht="18" customHeight="1">
      <c r="A36" s="1634" t="s">
        <v>1888</v>
      </c>
      <c r="B36" s="783" t="s">
        <v>1801</v>
      </c>
      <c r="C36" s="53">
        <f ca="1">ROUND(C29*F36,1)</f>
        <v>597</v>
      </c>
      <c r="D36" s="1962" t="s">
        <v>1802</v>
      </c>
      <c r="E36" s="783" t="s">
        <v>1795</v>
      </c>
      <c r="F36" s="816">
        <f ca="1">INDIRECT("'数据-取费表'!Ak"&amp;$G$1)</f>
        <v>1.4999999999999999E-2</v>
      </c>
      <c r="G36" s="2047"/>
      <c r="H36" s="2062"/>
      <c r="I36" s="838" t="s">
        <v>1814</v>
      </c>
      <c r="J36" s="839">
        <f ca="1">INDIRECT("'数据-取费表'!j"&amp;$G$1)</f>
        <v>8.5000000000000006E-2</v>
      </c>
      <c r="K36" s="2067"/>
      <c r="L36" s="2062"/>
      <c r="M36" s="2062"/>
    </row>
    <row r="37" spans="1:18" ht="18" customHeight="1">
      <c r="A37" s="1634" t="s">
        <v>1889</v>
      </c>
      <c r="B37" s="783" t="s">
        <v>679</v>
      </c>
      <c r="C37" s="53">
        <f ca="1">ROUND(C13*F37,1)</f>
        <v>59.7</v>
      </c>
      <c r="D37" s="1962" t="s">
        <v>1803</v>
      </c>
      <c r="E37" s="783" t="s">
        <v>1795</v>
      </c>
      <c r="F37" s="817">
        <f ca="1">INDIRECT("'数据-取费表'!Al"&amp;$G$1)</f>
        <v>1.5E-3</v>
      </c>
      <c r="G37" s="2047"/>
      <c r="H37" s="2062"/>
      <c r="I37" s="840" t="s">
        <v>1815</v>
      </c>
      <c r="J37" s="841"/>
      <c r="K37" s="2067"/>
      <c r="L37" s="2062"/>
      <c r="M37" s="2062"/>
    </row>
    <row r="38" spans="1:18" ht="18" customHeight="1" thickBot="1">
      <c r="A38" s="2515" t="s">
        <v>1890</v>
      </c>
      <c r="B38" s="2510" t="s">
        <v>666</v>
      </c>
      <c r="C38" s="2508">
        <f ca="1">ROUND(C5*F38,1)</f>
        <v>37.4</v>
      </c>
      <c r="D38" s="2509" t="s">
        <v>1804</v>
      </c>
      <c r="E38" s="2510" t="s">
        <v>1795</v>
      </c>
      <c r="F38" s="2506">
        <f ca="1">INDIRECT("'数据-取费表'!Am"&amp;$G$1)</f>
        <v>0.01</v>
      </c>
      <c r="G38" s="2047"/>
      <c r="H38" s="2062"/>
      <c r="I38" s="842" t="s">
        <v>1816</v>
      </c>
      <c r="J38" s="843"/>
      <c r="K38" s="2068"/>
      <c r="L38" s="2062"/>
      <c r="M38" s="2062"/>
    </row>
    <row r="39" spans="1:18" ht="24.6" customHeight="1" thickTop="1">
      <c r="A39" s="1814" t="s">
        <v>1893</v>
      </c>
      <c r="B39" s="2962" t="s">
        <v>2821</v>
      </c>
      <c r="C39" s="791">
        <f ca="1">C5-C30</f>
        <v>2392</v>
      </c>
      <c r="D39" s="2512" t="s">
        <v>1805</v>
      </c>
      <c r="E39" s="2513"/>
      <c r="F39" s="2514"/>
      <c r="G39" s="2047"/>
      <c r="H39" s="2062"/>
      <c r="I39" s="836" t="s">
        <v>1817</v>
      </c>
      <c r="J39" s="844">
        <f ca="1">ROUND(J35/C39,3)</f>
        <v>1.4139999999999999</v>
      </c>
      <c r="K39" s="2068"/>
      <c r="L39" s="2062"/>
      <c r="M39" s="2062"/>
    </row>
    <row r="40" spans="1:18" ht="18" customHeight="1">
      <c r="A40" s="780" t="s">
        <v>1894</v>
      </c>
      <c r="B40" s="2217" t="s">
        <v>2300</v>
      </c>
      <c r="C40" s="782">
        <f ca="1">ROUND(C39*(1-((1+F42)/(1+F40))^F41)/(F40-F42),0)</f>
        <v>50709</v>
      </c>
      <c r="D40" s="813" t="s">
        <v>1806</v>
      </c>
      <c r="E40" s="783" t="s">
        <v>2418</v>
      </c>
      <c r="F40" s="793">
        <f ca="1">INDIRECT("'数据-取费表'!I"&amp;$G$1)</f>
        <v>5.5E-2</v>
      </c>
      <c r="G40" s="2047"/>
      <c r="H40" s="2047"/>
      <c r="I40" s="836" t="s">
        <v>1818</v>
      </c>
      <c r="J40" s="844">
        <f ca="1">1-J39</f>
        <v>-0.41399999999999992</v>
      </c>
      <c r="K40" s="2068"/>
      <c r="L40" s="2047"/>
      <c r="M40" s="2047"/>
    </row>
    <row r="41" spans="1:18" ht="18" customHeight="1">
      <c r="A41" s="785"/>
      <c r="B41" s="786"/>
      <c r="C41" s="787"/>
      <c r="D41" s="820" t="s">
        <v>1807</v>
      </c>
      <c r="E41" s="783" t="s">
        <v>2964</v>
      </c>
      <c r="F41" s="821">
        <f ca="1">IF(INDIRECT("'数据-取费表'!af"&amp;$G$1)=0,INDIRECT("'数据-取费表'!ae"&amp;$G$1),INDIRECT("'数据-取费表'!af"&amp;$G$1))</f>
        <v>35.03</v>
      </c>
      <c r="G41" s="2047"/>
      <c r="H41" s="1973"/>
      <c r="I41" s="842" t="s">
        <v>1819</v>
      </c>
      <c r="J41" s="845"/>
      <c r="K41" s="2067"/>
      <c r="L41" s="1973"/>
      <c r="M41" s="1973"/>
    </row>
    <row r="42" spans="1:18" ht="18" customHeight="1">
      <c r="A42" s="789"/>
      <c r="B42" s="790"/>
      <c r="C42" s="791"/>
      <c r="D42" s="815"/>
      <c r="E42" s="783" t="s">
        <v>1808</v>
      </c>
      <c r="F42" s="793">
        <f ca="1">INDIRECT("'数据-取费表'!v"&amp;$G$1)</f>
        <v>2.5000000000000001E-2</v>
      </c>
      <c r="G42" s="2047"/>
      <c r="H42" s="1973"/>
      <c r="I42" s="846" t="s">
        <v>1820</v>
      </c>
      <c r="J42" s="844">
        <f ca="1">ROUND(C13/C40,3)</f>
        <v>0.78500000000000003</v>
      </c>
      <c r="K42" s="2067"/>
      <c r="L42" s="1973"/>
      <c r="M42" s="1973"/>
    </row>
    <row r="43" spans="1:18" ht="18" customHeight="1" thickBot="1">
      <c r="A43" s="822" t="s">
        <v>1786</v>
      </c>
      <c r="B43" s="823" t="s">
        <v>1809</v>
      </c>
      <c r="C43" s="824">
        <f ca="1">ROUND(C40*10000/F43,0)</f>
        <v>5469</v>
      </c>
      <c r="D43" s="825" t="s">
        <v>1810</v>
      </c>
      <c r="E43" s="826" t="s">
        <v>1811</v>
      </c>
      <c r="F43" s="827">
        <f ca="1">INDIRECT("'数据-取费表'!k"&amp;$G$1)</f>
        <v>92723.37</v>
      </c>
      <c r="G43" s="2047"/>
      <c r="H43" s="1973"/>
      <c r="I43" s="846" t="s">
        <v>1821</v>
      </c>
      <c r="J43" s="847">
        <f ca="1">1-J42</f>
        <v>0.21499999999999997</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f ca="1">C67-C40</f>
        <v>-61301</v>
      </c>
      <c r="D46" s="2070"/>
      <c r="E46" s="2070"/>
      <c r="F46" s="2070"/>
      <c r="I46" s="2342" t="s">
        <v>2342</v>
      </c>
      <c r="J46" s="2343"/>
      <c r="K46" s="2344"/>
      <c r="L46" s="3108">
        <f>IF(OR(M47="住宅",D1="土地（套用方法）"),0,IF(L48&gt;J51,L60,J60))</f>
        <v>0</v>
      </c>
      <c r="O46" s="2358" t="s">
        <v>2409</v>
      </c>
      <c r="P46" s="1578"/>
      <c r="Q46" s="1589"/>
      <c r="R46" s="1578"/>
    </row>
    <row r="47" spans="1:18" s="2044" customFormat="1" ht="18" customHeight="1" thickBot="1">
      <c r="A47" s="2336">
        <v>1</v>
      </c>
      <c r="B47" s="2337" t="s">
        <v>635</v>
      </c>
      <c r="C47" s="2538">
        <f ca="1">C48+C52+C54</f>
        <v>0</v>
      </c>
      <c r="D47" s="2070"/>
      <c r="E47" s="2070"/>
      <c r="F47" s="2070"/>
      <c r="I47" s="3099" t="s">
        <v>2343</v>
      </c>
      <c r="J47" s="2345" t="s">
        <v>3008</v>
      </c>
      <c r="K47" s="3105" t="s">
        <v>2348</v>
      </c>
      <c r="L47" s="3109">
        <f ca="1">INDIRECT("'数据-取费表'!d"&amp;$G$1)</f>
        <v>40</v>
      </c>
      <c r="M47" s="1589"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8" t="s">
        <v>2344</v>
      </c>
      <c r="J48" s="2346" t="s">
        <v>2349</v>
      </c>
      <c r="K48" s="3106" t="s">
        <v>2350</v>
      </c>
      <c r="L48" s="1893">
        <f ca="1">INDIRECT("'数据-取费表'!f"&amp;$G$1)</f>
        <v>37.53</v>
      </c>
      <c r="O48" s="2362" t="s">
        <v>2378</v>
      </c>
      <c r="P48" s="2363" t="s">
        <v>2404</v>
      </c>
      <c r="Q48" s="2364">
        <f ca="1">C40+J29</f>
        <v>50709</v>
      </c>
      <c r="R48" s="2363" t="s">
        <v>2379</v>
      </c>
    </row>
    <row r="49" spans="1:18" s="2044" customFormat="1" ht="18" customHeight="1" thickBot="1">
      <c r="A49" s="785"/>
      <c r="B49" s="786"/>
      <c r="C49" s="787"/>
      <c r="D49" s="788"/>
      <c r="E49" s="783" t="s">
        <v>1738</v>
      </c>
      <c r="F49" s="784">
        <f ca="1">F7</f>
        <v>92723.37</v>
      </c>
      <c r="G49" s="2075"/>
      <c r="H49" s="2078"/>
      <c r="I49" s="3078" t="s">
        <v>2345</v>
      </c>
      <c r="J49" s="2347">
        <v>2022</v>
      </c>
      <c r="K49" s="3107" t="s">
        <v>2351</v>
      </c>
      <c r="L49" s="2348"/>
      <c r="O49" s="2362" t="s">
        <v>2380</v>
      </c>
      <c r="P49" s="2363" t="s">
        <v>2405</v>
      </c>
      <c r="Q49" s="2364" t="str">
        <f ca="1">J60</f>
        <v>0</v>
      </c>
      <c r="R49" s="2363" t="s">
        <v>2381</v>
      </c>
    </row>
    <row r="50" spans="1:18" s="2044" customFormat="1" ht="18" customHeight="1" thickBot="1">
      <c r="A50" s="785"/>
      <c r="B50" s="786"/>
      <c r="C50" s="787"/>
      <c r="D50" s="788"/>
      <c r="E50" s="783" t="s">
        <v>1739</v>
      </c>
      <c r="F50" s="784">
        <f ca="1">F8</f>
        <v>365</v>
      </c>
      <c r="G50" s="2080"/>
      <c r="H50" s="2078"/>
      <c r="I50" s="3078" t="s">
        <v>2346</v>
      </c>
      <c r="J50" s="3103">
        <f>SUMPRODUCT((I63:I65=J47)*(J62:L62=J48)*(J63:L65))</f>
        <v>60</v>
      </c>
      <c r="K50" s="3107" t="s">
        <v>2352</v>
      </c>
      <c r="L50" s="2348"/>
      <c r="O50" s="2365" t="s">
        <v>2382</v>
      </c>
      <c r="P50" s="2363" t="s">
        <v>2406</v>
      </c>
      <c r="Q50" s="2364">
        <f ca="1">C29</f>
        <v>39802</v>
      </c>
      <c r="R50" s="2363" t="s">
        <v>2379</v>
      </c>
    </row>
    <row r="51" spans="1:18" s="2044" customFormat="1" ht="18" customHeight="1" thickBot="1">
      <c r="A51" s="785"/>
      <c r="B51" s="786"/>
      <c r="C51" s="787"/>
      <c r="D51" s="788"/>
      <c r="E51" s="783" t="s">
        <v>640</v>
      </c>
      <c r="F51" s="2335"/>
      <c r="H51" s="2078"/>
      <c r="I51" s="3100" t="s">
        <v>2347</v>
      </c>
      <c r="J51" s="3104">
        <f>IF(J49="",J50,J49+J50-YEAR('数据-取费表'!B2))</f>
        <v>63</v>
      </c>
      <c r="K51" s="3078" t="s">
        <v>2353</v>
      </c>
      <c r="L51" s="3110">
        <f ca="1">ROUND(-PV(INDIRECT("'数据-取费表'!h"&amp;$G$1),L48,(C39-C13*J36),0),0)</f>
        <v>-16647</v>
      </c>
      <c r="O51" s="2365" t="s">
        <v>2383</v>
      </c>
      <c r="P51" s="2363" t="s">
        <v>2384</v>
      </c>
      <c r="Q51" s="2366" t="e">
        <f ca="1">J58</f>
        <v>#VALUE!</v>
      </c>
      <c r="R51" s="2367"/>
    </row>
    <row r="52" spans="1:18" s="2044" customFormat="1" ht="18" customHeight="1" thickBot="1">
      <c r="A52" s="780" t="s">
        <v>2535</v>
      </c>
      <c r="B52" s="2458" t="s">
        <v>2458</v>
      </c>
      <c r="C52" s="798">
        <f ca="1">ROUND(IF(F52="押一",C48/12*F11,IF(F52="押二",C48/12*2*F11,IF(F52="押三",C48/12*3*F11,C53*F11))),0)</f>
        <v>0</v>
      </c>
      <c r="D52" s="2465" t="s">
        <v>2975</v>
      </c>
      <c r="E52" s="2462" t="s">
        <v>2463</v>
      </c>
      <c r="F52" s="2585"/>
      <c r="I52" s="3101" t="s">
        <v>2420</v>
      </c>
      <c r="J52" s="2349">
        <v>0.09</v>
      </c>
      <c r="K52" s="3101" t="s">
        <v>2419</v>
      </c>
      <c r="L52" s="2349"/>
      <c r="O52" s="2365" t="s">
        <v>2385</v>
      </c>
      <c r="P52" s="2363" t="s">
        <v>2386</v>
      </c>
      <c r="Q52" s="2366">
        <f>J52</f>
        <v>0.09</v>
      </c>
      <c r="R52" s="2367"/>
    </row>
    <row r="53" spans="1:18" s="2044" customFormat="1" ht="39.75" customHeight="1" thickBot="1">
      <c r="A53" s="785"/>
      <c r="B53" s="2459" t="s">
        <v>2572</v>
      </c>
      <c r="C53" s="2463"/>
      <c r="D53" s="2465"/>
      <c r="E53" s="2462"/>
      <c r="F53" s="799"/>
      <c r="I53" s="3102" t="s">
        <v>2978</v>
      </c>
      <c r="J53" s="3181">
        <f ca="1">IF(M47="住宅",IF(D1="——",MAX(J51,L48),MAX(J51,L48-'数据-取费表'!B20)),IF(D1="——",MIN(J51,L48),MIN(J51,L48-'数据-取费表'!B20)))</f>
        <v>35.03</v>
      </c>
      <c r="K53" s="3466" t="s">
        <v>2966</v>
      </c>
      <c r="L53" s="3467"/>
      <c r="O53" s="2365" t="s">
        <v>2387</v>
      </c>
      <c r="P53" s="2363" t="s">
        <v>2388</v>
      </c>
      <c r="Q53" s="2364">
        <f ca="1">J53</f>
        <v>35.03</v>
      </c>
      <c r="R53" s="2363" t="s">
        <v>2389</v>
      </c>
    </row>
    <row r="54" spans="1:18" s="2044" customFormat="1" ht="18" customHeight="1" thickBot="1">
      <c r="A54" s="2501" t="s">
        <v>2466</v>
      </c>
      <c r="B54" s="2502" t="s">
        <v>2459</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2390</v>
      </c>
      <c r="P54" s="2363" t="s">
        <v>2407</v>
      </c>
      <c r="Q54" s="2364">
        <f ca="1">Q48+Q49</f>
        <v>50709</v>
      </c>
      <c r="R54" s="2367" t="s">
        <v>2391</v>
      </c>
    </row>
    <row r="55" spans="1:18" s="2044" customFormat="1" ht="18" customHeight="1" thickTop="1" thickBot="1">
      <c r="A55" s="796">
        <v>2</v>
      </c>
      <c r="B55" s="797" t="s">
        <v>644</v>
      </c>
      <c r="C55" s="798">
        <f ca="1">C13</f>
        <v>39802</v>
      </c>
      <c r="D55" s="794"/>
      <c r="E55" s="794"/>
      <c r="F55" s="799"/>
      <c r="I55" s="3113" t="s">
        <v>2354</v>
      </c>
      <c r="J55" s="3053" t="e">
        <f ca="1">ROUND(IF(J47="钢混",J57/J50,1-(1-2%)*(J50-J57)/J50),3)</f>
        <v>#VALUE!</v>
      </c>
      <c r="K55" s="3114" t="s">
        <v>2355</v>
      </c>
      <c r="L55" s="2350"/>
      <c r="O55" s="2368" t="s">
        <v>2410</v>
      </c>
      <c r="P55" s="1578"/>
      <c r="Q55" s="1589"/>
      <c r="R55" s="1578"/>
    </row>
    <row r="56" spans="1:18" s="2044" customFormat="1" ht="42.75" customHeight="1" thickBot="1">
      <c r="A56" s="1635"/>
      <c r="B56" s="2216" t="s">
        <v>2301</v>
      </c>
      <c r="C56" s="53">
        <f ca="1">C29</f>
        <v>39802</v>
      </c>
      <c r="D56" s="2603"/>
      <c r="E56" s="783"/>
      <c r="F56" s="808"/>
      <c r="I56" s="3115" t="s">
        <v>2356</v>
      </c>
      <c r="J56" s="3125" t="s">
        <v>1677</v>
      </c>
      <c r="K56" s="3078" t="s">
        <v>2361</v>
      </c>
      <c r="L56" s="1893" t="str">
        <f ca="1">IF(L48&lt;J51,"——",L48-J51)</f>
        <v>——</v>
      </c>
      <c r="O56" s="2359" t="s">
        <v>2374</v>
      </c>
      <c r="P56" s="2360" t="s">
        <v>2375</v>
      </c>
      <c r="Q56" s="2361" t="s">
        <v>2376</v>
      </c>
      <c r="R56" s="2360" t="s">
        <v>2377</v>
      </c>
    </row>
    <row r="57" spans="1:18" s="2044" customFormat="1" ht="28.5" customHeight="1" thickBot="1">
      <c r="A57" s="796" t="s">
        <v>1747</v>
      </c>
      <c r="B57" s="797" t="s">
        <v>651</v>
      </c>
      <c r="C57" s="798">
        <f ca="1">ROUND(C58+C63+C64+C65,0)</f>
        <v>688</v>
      </c>
      <c r="D57" s="26" t="s">
        <v>1749</v>
      </c>
      <c r="E57" s="2604"/>
      <c r="F57" s="56"/>
      <c r="I57" s="3116" t="s">
        <v>2357</v>
      </c>
      <c r="J57" s="3117" t="str">
        <f ca="1">IF(OR(M47="住宅",J51&lt;L48,J56="是"),"——",J51-L48)</f>
        <v>——</v>
      </c>
      <c r="K57" s="3078" t="s">
        <v>2362</v>
      </c>
      <c r="L57" s="1893" t="str">
        <f ca="1">IF(L48&lt;J51,"——",IF(L55="比较法",L49,IF(L55="基准地价",L50,L51)))</f>
        <v>——</v>
      </c>
      <c r="O57" s="2362" t="s">
        <v>2378</v>
      </c>
      <c r="P57" s="2363" t="s">
        <v>2408</v>
      </c>
      <c r="Q57" s="2364">
        <f ca="1">C40+J29</f>
        <v>50709</v>
      </c>
      <c r="R57" s="2363" t="s">
        <v>2379</v>
      </c>
    </row>
    <row r="58" spans="1:18" s="2044" customFormat="1" ht="28.5" customHeight="1" thickBot="1">
      <c r="A58" s="1634" t="s">
        <v>1823</v>
      </c>
      <c r="B58" s="783" t="s">
        <v>656</v>
      </c>
      <c r="C58" s="53">
        <f ca="1">ROUND(IF(项目基本情况!B11="自然人",C47*F58,C59+C60+C61),1)</f>
        <v>30.9</v>
      </c>
      <c r="D58" s="2602" t="s">
        <v>657</v>
      </c>
      <c r="E58" s="2603" t="s">
        <v>690</v>
      </c>
      <c r="F58" s="809">
        <f ca="1">IF(项目基本情况!B11="企业","",IF(INDIRECT("'数据-取费表'!c"&amp;$G$1)="住宅",5%,IF(F48*F49*F50/12/(1+'数据-取费表'!C42)&gt;20000,12%,7%)))</f>
        <v>7.0000000000000007E-2</v>
      </c>
      <c r="I58" s="3116" t="s">
        <v>2358</v>
      </c>
      <c r="J58" s="3054" t="e">
        <f ca="1">IF(J55&lt;0.4,0.4,J55)</f>
        <v>#VALUE!</v>
      </c>
      <c r="K58" s="3078" t="s">
        <v>2363</v>
      </c>
      <c r="L58" s="1893" t="e">
        <f ca="1">ROUND(POWER(1+L52,L47-L48)*(POWER(1+L52,L48)-1)/(POWER(1+L52,L47)-1),4)</f>
        <v>#DIV/0!</v>
      </c>
      <c r="O58" s="2362" t="s">
        <v>2380</v>
      </c>
      <c r="P58" s="2363" t="s">
        <v>2411</v>
      </c>
      <c r="Q58" s="2364">
        <f ca="1">L60</f>
        <v>0</v>
      </c>
      <c r="R58" s="2367" t="s">
        <v>2413</v>
      </c>
    </row>
    <row r="59" spans="1:18" s="2044" customFormat="1" ht="28.5" customHeight="1" thickBot="1">
      <c r="A59" s="1633" t="s">
        <v>1830</v>
      </c>
      <c r="B59" s="783" t="s">
        <v>660</v>
      </c>
      <c r="C59" s="53">
        <f ca="1">ROUND(C47*F59/1.05,1)</f>
        <v>0</v>
      </c>
      <c r="D59" s="2603" t="s">
        <v>1755</v>
      </c>
      <c r="E59" s="783" t="s">
        <v>1746</v>
      </c>
      <c r="F59" s="808">
        <f t="shared" ref="F59:F65" si="0">F32</f>
        <v>5.5000000000000007E-2</v>
      </c>
      <c r="I59" s="3116" t="s">
        <v>2359</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1831</v>
      </c>
      <c r="B60" s="783" t="s">
        <v>1757</v>
      </c>
      <c r="C60" s="53">
        <f ca="1">IF(D60="按租金收入计税",ROUND(C47*F60,1),IF(D60="按房产原值计税",ROUND(C56*F60*0.7,1),INDIRECT("'数据-取费表'!Aj"&amp;$G$1)))</f>
        <v>0</v>
      </c>
      <c r="D60" s="2603" t="str">
        <f>D33</f>
        <v>按租金收入计税</v>
      </c>
      <c r="E60" s="783" t="s">
        <v>1746</v>
      </c>
      <c r="F60" s="808">
        <f t="shared" si="0"/>
        <v>0.12</v>
      </c>
      <c r="I60" s="3118" t="s">
        <v>2360</v>
      </c>
      <c r="J60" s="3119" t="str">
        <f ca="1">IF(OR(M47="住宅",J51&lt;L48,J56="是"),"0",ROUND(J59/(1+J52)^J53,0))</f>
        <v>0</v>
      </c>
      <c r="K60" s="3120" t="s">
        <v>2365</v>
      </c>
      <c r="L60" s="3119">
        <f ca="1">IF(OR(M47="住宅",L48&lt;J51),0,ROUND(L57*(L58/L59-1),0))</f>
        <v>0</v>
      </c>
      <c r="O60" s="2365" t="s">
        <v>2383</v>
      </c>
      <c r="P60" s="2363" t="s">
        <v>2392</v>
      </c>
      <c r="Q60" s="2366">
        <f>L52</f>
        <v>0</v>
      </c>
      <c r="R60" s="2367"/>
    </row>
    <row r="61" spans="1:18" s="2044" customFormat="1" ht="18" customHeight="1" thickBot="1">
      <c r="A61" s="1636" t="s">
        <v>1832</v>
      </c>
      <c r="B61" s="340" t="s">
        <v>668</v>
      </c>
      <c r="C61" s="54">
        <f ca="1">ROUND(F61*F62/10000,1)</f>
        <v>30.9</v>
      </c>
      <c r="D61" s="813" t="s">
        <v>669</v>
      </c>
      <c r="E61" s="783" t="s">
        <v>670</v>
      </c>
      <c r="F61" s="639">
        <f t="shared" si="0"/>
        <v>5</v>
      </c>
      <c r="K61" s="2071"/>
      <c r="O61" s="2365" t="s">
        <v>2385</v>
      </c>
      <c r="P61" s="2363" t="s">
        <v>2393</v>
      </c>
      <c r="Q61" s="2364" t="e">
        <f ca="1">L58</f>
        <v>#DIV/0!</v>
      </c>
      <c r="R61" s="2367" t="s">
        <v>2394</v>
      </c>
    </row>
    <row r="62" spans="1:18" s="2044" customFormat="1" ht="15.75" thickBot="1">
      <c r="A62" s="814"/>
      <c r="B62" s="792"/>
      <c r="C62" s="69"/>
      <c r="D62" s="815"/>
      <c r="E62" s="783" t="s">
        <v>674</v>
      </c>
      <c r="F62" s="784">
        <f t="shared" ca="1" si="0"/>
        <v>61815.58</v>
      </c>
      <c r="I62" s="3121" t="s">
        <v>2366</v>
      </c>
      <c r="J62" s="3122" t="s">
        <v>2367</v>
      </c>
      <c r="K62" s="3122" t="s">
        <v>2368</v>
      </c>
      <c r="L62" s="3122" t="s">
        <v>2349</v>
      </c>
      <c r="M62" s="3123" t="s">
        <v>2943</v>
      </c>
      <c r="O62" s="2365" t="s">
        <v>2387</v>
      </c>
      <c r="P62" s="2363" t="str">
        <f>K59</f>
        <v>建设期及建筑物耐用年限下的土地年期修正系数Kn</v>
      </c>
      <c r="Q62" s="2364" t="e">
        <f ca="1">L59</f>
        <v>#DIV/0!</v>
      </c>
      <c r="R62" s="2367" t="s">
        <v>2396</v>
      </c>
    </row>
    <row r="63" spans="1:18" s="2044" customFormat="1" ht="15.75" thickBot="1">
      <c r="A63" s="1634" t="s">
        <v>1888</v>
      </c>
      <c r="B63" s="783" t="s">
        <v>676</v>
      </c>
      <c r="C63" s="53">
        <f ca="1">ROUND(C56*F63,1)</f>
        <v>597</v>
      </c>
      <c r="D63" s="2603" t="s">
        <v>1802</v>
      </c>
      <c r="E63" s="783" t="s">
        <v>1746</v>
      </c>
      <c r="F63" s="816">
        <f t="shared" ca="1" si="0"/>
        <v>1.4999999999999999E-2</v>
      </c>
      <c r="I63" s="3121" t="s">
        <v>2369</v>
      </c>
      <c r="J63" s="3122">
        <v>70</v>
      </c>
      <c r="K63" s="3122">
        <v>50</v>
      </c>
      <c r="L63" s="3122">
        <v>80</v>
      </c>
      <c r="M63" s="3124">
        <v>0.02</v>
      </c>
      <c r="O63" s="2362" t="s">
        <v>2390</v>
      </c>
      <c r="P63" s="2363" t="s">
        <v>2407</v>
      </c>
      <c r="Q63" s="2364">
        <f ca="1">Q57+Q58</f>
        <v>50709</v>
      </c>
      <c r="R63" s="2367" t="s">
        <v>2391</v>
      </c>
    </row>
    <row r="64" spans="1:18" s="2044" customFormat="1" ht="16.5" thickBot="1">
      <c r="A64" s="1634" t="s">
        <v>1889</v>
      </c>
      <c r="B64" s="783" t="s">
        <v>679</v>
      </c>
      <c r="C64" s="53">
        <f ca="1">ROUND(C55*F64,1)</f>
        <v>59.7</v>
      </c>
      <c r="D64" s="2603" t="s">
        <v>680</v>
      </c>
      <c r="E64" s="783" t="s">
        <v>1746</v>
      </c>
      <c r="F64" s="817">
        <f t="shared" ca="1" si="0"/>
        <v>1.5E-3</v>
      </c>
      <c r="I64" s="3121" t="s">
        <v>2370</v>
      </c>
      <c r="J64" s="3122">
        <v>50</v>
      </c>
      <c r="K64" s="3122">
        <v>35</v>
      </c>
      <c r="L64" s="3122">
        <v>60</v>
      </c>
      <c r="M64" s="845">
        <v>0</v>
      </c>
      <c r="O64" s="2368" t="s">
        <v>2414</v>
      </c>
      <c r="P64" s="1578"/>
      <c r="Q64" s="1589"/>
      <c r="R64" s="1578"/>
    </row>
    <row r="65" spans="1:18" s="2044" customFormat="1" ht="15.75" thickBot="1">
      <c r="A65" s="1634" t="s">
        <v>1890</v>
      </c>
      <c r="B65" s="783" t="s">
        <v>666</v>
      </c>
      <c r="C65" s="53">
        <f ca="1">ROUND(C47*F65,1)</f>
        <v>0</v>
      </c>
      <c r="D65" s="2603" t="s">
        <v>683</v>
      </c>
      <c r="E65" s="783" t="s">
        <v>1746</v>
      </c>
      <c r="F65" s="793">
        <f t="shared" ca="1" si="0"/>
        <v>0.01</v>
      </c>
      <c r="I65" s="3121" t="s">
        <v>2371</v>
      </c>
      <c r="J65" s="3122">
        <v>40</v>
      </c>
      <c r="K65" s="3122">
        <v>30</v>
      </c>
      <c r="L65" s="3122">
        <v>50</v>
      </c>
      <c r="M65" s="3124">
        <v>0.02</v>
      </c>
      <c r="O65" s="2359" t="s">
        <v>2374</v>
      </c>
      <c r="P65" s="2360" t="s">
        <v>2375</v>
      </c>
      <c r="Q65" s="2361" t="s">
        <v>2376</v>
      </c>
      <c r="R65" s="2360" t="s">
        <v>2377</v>
      </c>
    </row>
    <row r="66" spans="1:18" s="2044" customFormat="1" ht="24.75" thickBot="1">
      <c r="A66" s="796" t="s">
        <v>1775</v>
      </c>
      <c r="B66" s="2963" t="s">
        <v>2821</v>
      </c>
      <c r="C66" s="798">
        <f ca="1">C47-C57</f>
        <v>-688</v>
      </c>
      <c r="D66" s="2602" t="s">
        <v>700</v>
      </c>
      <c r="E66" s="2601"/>
      <c r="F66" s="819"/>
      <c r="K66" s="2071"/>
      <c r="O66" s="2362" t="s">
        <v>2378</v>
      </c>
      <c r="P66" s="2363" t="s">
        <v>2408</v>
      </c>
      <c r="Q66" s="2364">
        <f ca="1">C40+J29</f>
        <v>50709</v>
      </c>
      <c r="R66" s="2363" t="s">
        <v>2379</v>
      </c>
    </row>
    <row r="67" spans="1:18" s="2044" customFormat="1" ht="20.25" thickBot="1">
      <c r="A67" s="780" t="s">
        <v>1779</v>
      </c>
      <c r="B67" s="2217" t="s">
        <v>2300</v>
      </c>
      <c r="C67" s="782">
        <f ca="1">ROUND(C66*(1-((1+F69)/(1+F67))^F68)/(F67-F69),0)</f>
        <v>-10592</v>
      </c>
      <c r="D67" s="813" t="s">
        <v>704</v>
      </c>
      <c r="E67" s="783" t="s">
        <v>705</v>
      </c>
      <c r="F67" s="793">
        <f ca="1">F40</f>
        <v>5.5E-2</v>
      </c>
      <c r="K67" s="2071"/>
      <c r="O67" s="2362" t="s">
        <v>2380</v>
      </c>
      <c r="P67" s="2363" t="s">
        <v>2411</v>
      </c>
      <c r="Q67" s="2364">
        <f ca="1">L60</f>
        <v>0</v>
      </c>
      <c r="R67" s="2367" t="s">
        <v>2413</v>
      </c>
    </row>
    <row r="68" spans="1:18" ht="21.75" thickBot="1">
      <c r="A68" s="785"/>
      <c r="B68" s="786"/>
      <c r="C68" s="787"/>
      <c r="D68" s="820" t="s">
        <v>1807</v>
      </c>
      <c r="E68" s="783" t="s">
        <v>1783</v>
      </c>
      <c r="F68" s="821">
        <f ca="1">F41</f>
        <v>35.03</v>
      </c>
      <c r="O68" s="2365" t="s">
        <v>2382</v>
      </c>
      <c r="P68" s="2363" t="s">
        <v>2412</v>
      </c>
      <c r="Q68" s="2369">
        <f ca="1">L51</f>
        <v>-16647</v>
      </c>
      <c r="R68" s="2370" t="s">
        <v>2415</v>
      </c>
    </row>
    <row r="69" spans="1:18" ht="20.25" thickBot="1">
      <c r="A69" s="789"/>
      <c r="B69" s="790"/>
      <c r="C69" s="791"/>
      <c r="D69" s="815"/>
      <c r="E69" s="783" t="s">
        <v>710</v>
      </c>
      <c r="F69" s="2335"/>
      <c r="O69" s="2365" t="s">
        <v>2383</v>
      </c>
      <c r="P69" s="2371" t="s">
        <v>2397</v>
      </c>
      <c r="Q69" s="2364">
        <f ca="1">ROUND(Q70-Q71*Q72,0)</f>
        <v>-991</v>
      </c>
      <c r="R69" s="2367"/>
    </row>
    <row r="70" spans="1:18" ht="15.75" thickBot="1">
      <c r="A70" s="822" t="s">
        <v>1786</v>
      </c>
      <c r="B70" s="823" t="s">
        <v>1809</v>
      </c>
      <c r="C70" s="824">
        <f ca="1">ROUND(C67*10000/F70,0)</f>
        <v>-1142</v>
      </c>
      <c r="D70" s="825" t="s">
        <v>1810</v>
      </c>
      <c r="E70" s="826" t="s">
        <v>1811</v>
      </c>
      <c r="F70" s="827">
        <f ca="1">F43</f>
        <v>92723.37</v>
      </c>
      <c r="O70" s="2365" t="s">
        <v>2398</v>
      </c>
      <c r="P70" s="2371" t="s">
        <v>2399</v>
      </c>
      <c r="Q70" s="2364">
        <f ca="1">C39</f>
        <v>2392</v>
      </c>
      <c r="R70" s="2363" t="s">
        <v>2379</v>
      </c>
    </row>
    <row r="71" spans="1:18" ht="15.75" thickBot="1">
      <c r="O71" s="2365" t="s">
        <v>2400</v>
      </c>
      <c r="P71" s="2371" t="s">
        <v>2401</v>
      </c>
      <c r="Q71" s="2364">
        <f ca="1">C13</f>
        <v>39802</v>
      </c>
      <c r="R71" s="2363" t="s">
        <v>2379</v>
      </c>
    </row>
    <row r="72" spans="1:18" ht="15.75" thickBot="1">
      <c r="O72" s="2365" t="s">
        <v>2402</v>
      </c>
      <c r="P72" s="2371" t="s">
        <v>2403</v>
      </c>
      <c r="Q72" s="2366">
        <f ca="1">J36</f>
        <v>8.5000000000000006E-2</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建设期及建筑物耐用年限下的土地年期修正系数Kn</v>
      </c>
      <c r="Q75" s="2364" t="e">
        <f ca="1">L59</f>
        <v>#DIV/0!</v>
      </c>
      <c r="R75" s="2367" t="s">
        <v>2396</v>
      </c>
    </row>
    <row r="76" spans="1:18" ht="15.75" thickBot="1">
      <c r="O76" s="2362" t="s">
        <v>2390</v>
      </c>
      <c r="P76" s="2363" t="s">
        <v>2407</v>
      </c>
      <c r="Q76" s="2364">
        <f ca="1">Q66+Q67</f>
        <v>50709</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2470</v>
      </c>
      <c r="B1" s="3469"/>
      <c r="C1" s="3470"/>
      <c r="D1" s="3471">
        <f>SUM(I10,I15,I20,I21,I23)</f>
        <v>0</v>
      </c>
      <c r="E1" s="3471"/>
      <c r="F1" s="3471"/>
      <c r="G1" s="3471"/>
      <c r="H1" s="3471"/>
      <c r="I1" s="3472"/>
    </row>
    <row r="2" spans="1:9">
      <c r="A2" s="3473" t="s">
        <v>2471</v>
      </c>
      <c r="B2" s="3474" t="s">
        <v>2472</v>
      </c>
      <c r="C2" s="3474"/>
      <c r="D2" s="2471" t="s">
        <v>2473</v>
      </c>
      <c r="E2" s="2471" t="s">
        <v>2474</v>
      </c>
      <c r="F2" s="2471" t="s">
        <v>2475</v>
      </c>
      <c r="G2" s="2471" t="s">
        <v>2476</v>
      </c>
      <c r="H2" s="2471" t="s">
        <v>2477</v>
      </c>
      <c r="I2" s="2472" t="s">
        <v>2478</v>
      </c>
    </row>
    <row r="3" spans="1:9">
      <c r="A3" s="3473"/>
      <c r="B3" s="3474" t="s">
        <v>2479</v>
      </c>
      <c r="C3" s="3474"/>
      <c r="D3" s="2473"/>
      <c r="E3" s="2471"/>
      <c r="F3" s="2474"/>
      <c r="G3" s="2474"/>
      <c r="H3" s="2475"/>
      <c r="I3" s="2476">
        <f>ROUND(D3*E3*F3*G3*H3/10000,0)</f>
        <v>0</v>
      </c>
    </row>
    <row r="4" spans="1:9">
      <c r="A4" s="3473"/>
      <c r="B4" s="3474" t="s">
        <v>2480</v>
      </c>
      <c r="C4" s="3474"/>
      <c r="D4" s="2473"/>
      <c r="E4" s="2471"/>
      <c r="F4" s="2474"/>
      <c r="G4" s="2474"/>
      <c r="H4" s="2475"/>
      <c r="I4" s="2476">
        <f t="shared" ref="I4:I9" si="0">ROUND(D4*E4*F4*G4*H4/10000,0)</f>
        <v>0</v>
      </c>
    </row>
    <row r="5" spans="1:9">
      <c r="A5" s="3473"/>
      <c r="B5" s="3474" t="s">
        <v>2481</v>
      </c>
      <c r="C5" s="3474"/>
      <c r="D5" s="2473"/>
      <c r="E5" s="2471"/>
      <c r="F5" s="2474"/>
      <c r="G5" s="2474"/>
      <c r="H5" s="2475"/>
      <c r="I5" s="2476">
        <f t="shared" si="0"/>
        <v>0</v>
      </c>
    </row>
    <row r="6" spans="1:9">
      <c r="A6" s="3473"/>
      <c r="B6" s="3474" t="s">
        <v>2482</v>
      </c>
      <c r="C6" s="3474"/>
      <c r="D6" s="2473"/>
      <c r="E6" s="2471"/>
      <c r="F6" s="2474"/>
      <c r="G6" s="2474"/>
      <c r="H6" s="2475"/>
      <c r="I6" s="2476">
        <f t="shared" si="0"/>
        <v>0</v>
      </c>
    </row>
    <row r="7" spans="1:9">
      <c r="A7" s="3473"/>
      <c r="B7" s="3474" t="s">
        <v>2483</v>
      </c>
      <c r="C7" s="3474"/>
      <c r="D7" s="2473"/>
      <c r="E7" s="2471"/>
      <c r="F7" s="2474"/>
      <c r="G7" s="2474"/>
      <c r="H7" s="2475"/>
      <c r="I7" s="2476">
        <f t="shared" si="0"/>
        <v>0</v>
      </c>
    </row>
    <row r="8" spans="1:9">
      <c r="A8" s="3473"/>
      <c r="B8" s="3474" t="s">
        <v>2484</v>
      </c>
      <c r="C8" s="3474"/>
      <c r="D8" s="2473"/>
      <c r="E8" s="2471"/>
      <c r="F8" s="2474"/>
      <c r="G8" s="2474"/>
      <c r="H8" s="2475"/>
      <c r="I8" s="2476">
        <f t="shared" si="0"/>
        <v>0</v>
      </c>
    </row>
    <row r="9" spans="1:9">
      <c r="A9" s="3473"/>
      <c r="B9" s="3474" t="s">
        <v>2485</v>
      </c>
      <c r="C9" s="3474"/>
      <c r="D9" s="2473"/>
      <c r="E9" s="2471"/>
      <c r="F9" s="2474"/>
      <c r="G9" s="2474"/>
      <c r="H9" s="2475"/>
      <c r="I9" s="2476">
        <f t="shared" si="0"/>
        <v>0</v>
      </c>
    </row>
    <row r="10" spans="1:9">
      <c r="A10" s="3473"/>
      <c r="B10" s="3475" t="s">
        <v>2486</v>
      </c>
      <c r="C10" s="3475"/>
      <c r="D10" s="2477">
        <v>527</v>
      </c>
      <c r="E10" s="2477" t="e">
        <f>ROUND(D1*10000/D10/H9,0)</f>
        <v>#DIV/0!</v>
      </c>
      <c r="F10" s="2478"/>
      <c r="G10" s="2478"/>
      <c r="H10" s="2479"/>
      <c r="I10" s="2480">
        <f>SUM(I3:I9)</f>
        <v>0</v>
      </c>
    </row>
    <row r="11" spans="1:9" ht="14.25">
      <c r="A11" s="3473" t="s">
        <v>2487</v>
      </c>
      <c r="B11" s="3474" t="s">
        <v>2488</v>
      </c>
      <c r="C11" s="3474"/>
      <c r="D11" s="2473" t="s">
        <v>2489</v>
      </c>
      <c r="E11" s="2473" t="s">
        <v>2490</v>
      </c>
      <c r="F11" s="2474" t="s">
        <v>2491</v>
      </c>
      <c r="G11" s="2474" t="s">
        <v>2492</v>
      </c>
      <c r="H11" s="2481" t="s">
        <v>2493</v>
      </c>
      <c r="I11" s="2472" t="s">
        <v>2494</v>
      </c>
    </row>
    <row r="12" spans="1:9">
      <c r="A12" s="3473"/>
      <c r="B12" s="3474" t="s">
        <v>2495</v>
      </c>
      <c r="C12" s="3474"/>
      <c r="D12" s="2473"/>
      <c r="E12" s="2473"/>
      <c r="F12" s="2474"/>
      <c r="G12" s="2475"/>
      <c r="H12" s="2482"/>
      <c r="I12" s="2472">
        <f>ROUND(D12*E12*F12*G12/10000,0)</f>
        <v>0</v>
      </c>
    </row>
    <row r="13" spans="1:9">
      <c r="A13" s="3473"/>
      <c r="B13" s="3474" t="s">
        <v>2496</v>
      </c>
      <c r="C13" s="3474"/>
      <c r="D13" s="2473"/>
      <c r="E13" s="2473"/>
      <c r="F13" s="2474"/>
      <c r="G13" s="2475"/>
      <c r="H13" s="2482"/>
      <c r="I13" s="2472">
        <f>ROUND(D13*E13*F13*G13/10000,0)</f>
        <v>0</v>
      </c>
    </row>
    <row r="14" spans="1:9">
      <c r="A14" s="3473"/>
      <c r="B14" s="3474" t="s">
        <v>2497</v>
      </c>
      <c r="C14" s="3474"/>
      <c r="D14" s="2473"/>
      <c r="E14" s="2473"/>
      <c r="F14" s="2474"/>
      <c r="G14" s="2475"/>
      <c r="H14" s="2482"/>
      <c r="I14" s="2472">
        <f>ROUND(D14*E14*F14*G14/10000,0)</f>
        <v>0</v>
      </c>
    </row>
    <row r="15" spans="1:9">
      <c r="A15" s="3473"/>
      <c r="B15" s="3475" t="s">
        <v>2486</v>
      </c>
      <c r="C15" s="3475"/>
      <c r="D15" s="2477"/>
      <c r="E15" s="2477">
        <f>SUM(E12:E14)</f>
        <v>0</v>
      </c>
      <c r="F15" s="2478"/>
      <c r="G15" s="2475"/>
      <c r="H15" s="2482"/>
      <c r="I15" s="2483">
        <f>SUM(I12:I14)</f>
        <v>0</v>
      </c>
    </row>
    <row r="16" spans="1:9" ht="24">
      <c r="A16" s="3473" t="s">
        <v>2498</v>
      </c>
      <c r="B16" s="3474" t="s">
        <v>2499</v>
      </c>
      <c r="C16" s="3474"/>
      <c r="D16" s="2473" t="s">
        <v>2500</v>
      </c>
      <c r="E16" s="2484" t="s">
        <v>2501</v>
      </c>
      <c r="F16" s="2474" t="s">
        <v>2502</v>
      </c>
      <c r="G16" s="2475" t="s">
        <v>2492</v>
      </c>
      <c r="H16" s="2481" t="s">
        <v>2493</v>
      </c>
      <c r="I16" s="2472" t="s">
        <v>2494</v>
      </c>
    </row>
    <row r="17" spans="1:9" ht="14.25">
      <c r="A17" s="3473"/>
      <c r="B17" s="3474" t="s">
        <v>2503</v>
      </c>
      <c r="C17" s="3474"/>
      <c r="D17" s="2473"/>
      <c r="E17" s="2473"/>
      <c r="F17" s="2474"/>
      <c r="G17" s="2475"/>
      <c r="H17" s="2485"/>
      <c r="I17" s="2486">
        <f>ROUND(D17*E17*F17*G17/10000,0)</f>
        <v>0</v>
      </c>
    </row>
    <row r="18" spans="1:9" ht="14.25">
      <c r="A18" s="3473"/>
      <c r="B18" s="3474" t="s">
        <v>2504</v>
      </c>
      <c r="C18" s="3474"/>
      <c r="D18" s="2473"/>
      <c r="E18" s="2473"/>
      <c r="F18" s="2474"/>
      <c r="G18" s="2475"/>
      <c r="H18" s="2485"/>
      <c r="I18" s="2486">
        <f>ROUND(D18*E18*F18*G18/10000,0)</f>
        <v>0</v>
      </c>
    </row>
    <row r="19" spans="1:9" ht="14.25">
      <c r="A19" s="3473"/>
      <c r="B19" s="3474" t="s">
        <v>2505</v>
      </c>
      <c r="C19" s="3474"/>
      <c r="D19" s="2473"/>
      <c r="E19" s="2473"/>
      <c r="F19" s="2474"/>
      <c r="G19" s="2475"/>
      <c r="H19" s="2485"/>
      <c r="I19" s="2486">
        <f>ROUND(D19*E19*F19*G19/10000,0)</f>
        <v>0</v>
      </c>
    </row>
    <row r="20" spans="1:9">
      <c r="A20" s="3473"/>
      <c r="B20" s="3475" t="s">
        <v>2486</v>
      </c>
      <c r="C20" s="3475"/>
      <c r="D20" s="2477">
        <f>SUM(D17:D19)</f>
        <v>0</v>
      </c>
      <c r="E20" s="2477"/>
      <c r="F20" s="2478"/>
      <c r="G20" s="2475"/>
      <c r="H20" s="2482"/>
      <c r="I20" s="2483">
        <f>SUM(I17:I19)</f>
        <v>0</v>
      </c>
    </row>
    <row r="21" spans="1:9">
      <c r="A21" s="3473" t="s">
        <v>2506</v>
      </c>
      <c r="B21" s="3477"/>
      <c r="C21" s="3477"/>
      <c r="D21" s="3477"/>
      <c r="E21" s="3477"/>
      <c r="F21" s="3477"/>
      <c r="G21" s="3477"/>
      <c r="H21" s="2487">
        <v>0.1</v>
      </c>
      <c r="I21" s="2480">
        <f>ROUND(I10*H21,0)</f>
        <v>0</v>
      </c>
    </row>
    <row r="22" spans="1:9" ht="14.25">
      <c r="A22" s="3478" t="s">
        <v>2507</v>
      </c>
      <c r="B22" s="3479"/>
      <c r="C22" s="3480"/>
      <c r="D22" s="2488" t="s">
        <v>2508</v>
      </c>
      <c r="E22" s="2488" t="s">
        <v>2509</v>
      </c>
      <c r="F22" s="2489" t="s">
        <v>2510</v>
      </c>
      <c r="G22" s="2489" t="s">
        <v>2511</v>
      </c>
      <c r="H22" s="2481" t="s">
        <v>2512</v>
      </c>
      <c r="I22" s="2472" t="s">
        <v>2513</v>
      </c>
    </row>
    <row r="23" spans="1:9" ht="14.25" thickBot="1">
      <c r="A23" s="3481"/>
      <c r="B23" s="3482"/>
      <c r="C23" s="3483"/>
      <c r="D23" s="2490"/>
      <c r="E23" s="2490"/>
      <c r="F23" s="2490"/>
      <c r="G23" s="2491"/>
      <c r="H23" s="2492"/>
      <c r="I23" s="2493">
        <f>ROUND(E23*D23*F23*(1-G23)/10000,0)</f>
        <v>0</v>
      </c>
    </row>
    <row r="26" spans="1:9">
      <c r="A26" s="2494" t="s">
        <v>2514</v>
      </c>
      <c r="B26" s="2494"/>
      <c r="C26" s="2494"/>
      <c r="D26" s="2494"/>
      <c r="E26" s="3484">
        <f>C27-C30-C31-C32</f>
        <v>0</v>
      </c>
      <c r="F26" s="3484"/>
      <c r="G26" s="3484"/>
      <c r="H26" s="2995" t="s">
        <v>2842</v>
      </c>
    </row>
    <row r="27" spans="1:9">
      <c r="A27" s="2495">
        <v>1</v>
      </c>
      <c r="B27" s="2496" t="s">
        <v>2515</v>
      </c>
      <c r="C27" s="2496"/>
      <c r="D27" s="2496"/>
      <c r="E27" s="3485"/>
      <c r="F27" s="3485"/>
      <c r="G27" s="3485"/>
    </row>
    <row r="28" spans="1:9">
      <c r="A28" s="2497" t="s">
        <v>2516</v>
      </c>
      <c r="B28" s="2496" t="s">
        <v>2517</v>
      </c>
      <c r="C28" s="2496"/>
      <c r="D28" s="2496"/>
      <c r="E28" s="3485"/>
      <c r="F28" s="3485"/>
      <c r="G28" s="3485"/>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76"/>
      <c r="F32" s="3476"/>
      <c r="G32" s="3476"/>
    </row>
    <row r="33" spans="1:7" hidden="1">
      <c r="A33" s="3486" t="s">
        <v>2525</v>
      </c>
      <c r="B33" s="3487"/>
      <c r="C33" s="3487"/>
      <c r="D33" s="3488"/>
      <c r="E33" s="3484"/>
      <c r="F33" s="3484"/>
      <c r="G33" s="3484"/>
    </row>
    <row r="34" spans="1:7" hidden="1">
      <c r="A34" s="2499">
        <v>1</v>
      </c>
      <c r="B34" s="2496" t="s">
        <v>2526</v>
      </c>
      <c r="C34" s="2496"/>
      <c r="D34" s="2496"/>
      <c r="E34" s="3485"/>
      <c r="F34" s="3485"/>
      <c r="G34" s="3485"/>
    </row>
    <row r="35" spans="1:7" hidden="1">
      <c r="A35" s="2499">
        <v>2</v>
      </c>
      <c r="B35" s="2496" t="s">
        <v>2527</v>
      </c>
      <c r="C35" s="2496"/>
      <c r="D35" s="2496"/>
      <c r="E35" s="3485"/>
      <c r="F35" s="3485"/>
      <c r="G35" s="3485"/>
    </row>
    <row r="36" spans="1:7" hidden="1">
      <c r="A36" s="2499">
        <v>3</v>
      </c>
      <c r="B36" s="2496" t="s">
        <v>2528</v>
      </c>
      <c r="C36" s="2496"/>
      <c r="D36" s="2496"/>
      <c r="E36" s="3485"/>
      <c r="F36" s="3485"/>
      <c r="G36" s="3485"/>
    </row>
    <row r="37" spans="1:7" hidden="1">
      <c r="A37" s="2499">
        <v>4</v>
      </c>
      <c r="B37" s="2496" t="s">
        <v>2529</v>
      </c>
      <c r="C37" s="2496"/>
      <c r="D37" s="2496"/>
      <c r="E37" s="3485"/>
      <c r="F37" s="3485"/>
      <c r="G37" s="3485"/>
    </row>
    <row r="38" spans="1:7" hidden="1">
      <c r="A38" s="3486" t="s">
        <v>2530</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603</v>
      </c>
      <c r="B1" s="741"/>
      <c r="C1" s="2167"/>
      <c r="D1" s="2167"/>
      <c r="E1" s="2167"/>
      <c r="F1" s="2167"/>
      <c r="G1" s="2093"/>
    </row>
    <row r="2" spans="1:25" s="2044" customFormat="1" ht="18" customHeight="1">
      <c r="A2" s="422" t="s">
        <v>467</v>
      </c>
      <c r="B2" s="424">
        <f ca="1">C23</f>
        <v>0</v>
      </c>
      <c r="C2" s="2093"/>
      <c r="D2" s="2093"/>
      <c r="E2" s="2093"/>
      <c r="F2" s="2093"/>
      <c r="G2" s="2093"/>
    </row>
    <row r="3" spans="1:25" s="2044" customFormat="1" ht="18" customHeight="1">
      <c r="A3" s="1375" t="s">
        <v>1684</v>
      </c>
      <c r="B3" s="424">
        <f ca="1">ROUND(B2*10000/'数据-汇总表'!E3,0)</f>
        <v>0</v>
      </c>
      <c r="C3" s="2093"/>
      <c r="D3" s="2093"/>
      <c r="E3" s="2093"/>
      <c r="F3" s="2093"/>
      <c r="G3" s="2093"/>
    </row>
    <row r="4" spans="1:25" s="2044" customFormat="1" ht="18" customHeight="1">
      <c r="A4" s="425" t="s">
        <v>468</v>
      </c>
      <c r="B4" s="426">
        <f ca="1">ROUND(B2*10000/'数据-汇总表'!D3,0)</f>
        <v>0</v>
      </c>
      <c r="C4" s="2046"/>
      <c r="D4" s="2093"/>
      <c r="E4" s="2093"/>
      <c r="F4" s="2093"/>
      <c r="G4" s="2093"/>
    </row>
    <row r="5" spans="1:25" s="2044" customFormat="1" ht="18" customHeight="1" thickBot="1">
      <c r="A5" s="428"/>
      <c r="B5" s="429">
        <f ca="1">ROUND(B2/('数据-汇总表'!D3/666.67),0)</f>
        <v>0</v>
      </c>
      <c r="C5" s="430" t="s">
        <v>469</v>
      </c>
      <c r="D5" s="2093"/>
      <c r="E5" s="2093"/>
      <c r="F5" s="2093"/>
      <c r="G5" s="2093"/>
    </row>
    <row r="6" spans="1:25" s="2168" customFormat="1" ht="13.5" customHeight="1">
      <c r="A6" s="742"/>
      <c r="B6" s="743" t="s">
        <v>604</v>
      </c>
      <c r="C6" s="744" t="s">
        <v>605</v>
      </c>
      <c r="D6" s="744" t="s">
        <v>606</v>
      </c>
      <c r="E6" s="745" t="s">
        <v>607</v>
      </c>
      <c r="F6" s="745" t="s">
        <v>608</v>
      </c>
      <c r="G6" s="746"/>
    </row>
    <row r="7" spans="1:25" s="2168" customFormat="1" ht="13.5" customHeight="1">
      <c r="A7" s="2433">
        <v>1</v>
      </c>
      <c r="B7" s="747" t="s">
        <v>609</v>
      </c>
      <c r="C7" s="748">
        <f>C8+C9</f>
        <v>0</v>
      </c>
      <c r="D7" s="748"/>
      <c r="E7" s="749"/>
      <c r="F7" s="749"/>
      <c r="G7" s="2443"/>
    </row>
    <row r="8" spans="1:25" s="2168" customFormat="1" ht="13.5" customHeight="1">
      <c r="A8" s="2433" t="s">
        <v>2439</v>
      </c>
      <c r="B8" s="2436" t="s">
        <v>2441</v>
      </c>
      <c r="C8" s="2437"/>
      <c r="D8" s="748"/>
      <c r="E8" s="749"/>
      <c r="F8" s="749"/>
      <c r="G8" s="750"/>
    </row>
    <row r="9" spans="1:25" s="2168" customFormat="1" ht="13.5" customHeight="1">
      <c r="A9" s="2433" t="s">
        <v>2440</v>
      </c>
      <c r="B9" s="2436" t="s">
        <v>2442</v>
      </c>
      <c r="C9" s="2437"/>
      <c r="D9" s="748"/>
      <c r="E9" s="749"/>
      <c r="F9" s="749"/>
      <c r="G9" s="750"/>
    </row>
    <row r="10" spans="1:25" s="2168" customFormat="1" ht="36">
      <c r="A10" s="2433">
        <v>2</v>
      </c>
      <c r="B10" s="747" t="s">
        <v>613</v>
      </c>
      <c r="C10" s="748">
        <f>C11+C14+C15</f>
        <v>0</v>
      </c>
      <c r="D10" s="759">
        <f>'数据-汇总表'!E3</f>
        <v>92723.37</v>
      </c>
      <c r="E10" s="748">
        <f>'数据-取费表'!B31</f>
        <v>100</v>
      </c>
      <c r="F10" s="760"/>
      <c r="G10" s="758" t="s">
        <v>614</v>
      </c>
    </row>
    <row r="11" spans="1:25" s="2168" customFormat="1" ht="13.5" customHeight="1">
      <c r="A11" s="2433" t="s">
        <v>2439</v>
      </c>
      <c r="B11" s="751" t="s">
        <v>610</v>
      </c>
      <c r="C11" s="752">
        <f>'数据-取费表'!B29</f>
        <v>0</v>
      </c>
      <c r="D11" s="753"/>
      <c r="E11" s="752"/>
      <c r="F11" s="754"/>
      <c r="G11" s="2442" t="s">
        <v>2450</v>
      </c>
    </row>
    <row r="12" spans="1:25" s="2168" customFormat="1" ht="13.5" customHeight="1">
      <c r="A12" s="2440" t="s">
        <v>2447</v>
      </c>
      <c r="B12" s="755" t="s">
        <v>611</v>
      </c>
      <c r="C12" s="756">
        <f>ROUND(D12*E12/10000,0)</f>
        <v>0</v>
      </c>
      <c r="D12" s="757">
        <f>'数据-汇总表'!E5</f>
        <v>0</v>
      </c>
      <c r="E12" s="756">
        <f>'数据-取费表'!B27</f>
        <v>90</v>
      </c>
      <c r="F12" s="754"/>
      <c r="G12" s="758"/>
    </row>
    <row r="13" spans="1:25" s="2168" customFormat="1" ht="13.5" customHeight="1">
      <c r="A13" s="2440" t="s">
        <v>2446</v>
      </c>
      <c r="B13" s="755" t="s">
        <v>612</v>
      </c>
      <c r="C13" s="756">
        <f>ROUND(D13*E13/10000,0)</f>
        <v>556</v>
      </c>
      <c r="D13" s="757">
        <f>'数据-汇总表'!E6</f>
        <v>92723.37</v>
      </c>
      <c r="E13" s="756">
        <f>'数据-取费表'!B28</f>
        <v>60</v>
      </c>
      <c r="F13" s="754"/>
      <c r="G13" s="758"/>
    </row>
    <row r="14" spans="1:25" s="2168" customFormat="1" ht="13.5" customHeight="1">
      <c r="A14" s="2433" t="s">
        <v>2440</v>
      </c>
      <c r="B14" s="2439" t="s">
        <v>2443</v>
      </c>
      <c r="C14" s="2437"/>
      <c r="D14" s="757"/>
      <c r="E14" s="756"/>
      <c r="F14" s="2438"/>
      <c r="G14" s="2441" t="s">
        <v>2448</v>
      </c>
    </row>
    <row r="15" spans="1:25" s="2168" customFormat="1" ht="13.5" customHeight="1">
      <c r="A15" s="2433" t="s">
        <v>2445</v>
      </c>
      <c r="B15" s="2439" t="s">
        <v>2444</v>
      </c>
      <c r="C15" s="2437"/>
      <c r="D15" s="757"/>
      <c r="E15" s="756"/>
      <c r="F15" s="2438"/>
      <c r="G15" s="2441" t="s">
        <v>2449</v>
      </c>
    </row>
    <row r="16" spans="1:25" s="2169" customFormat="1" ht="48">
      <c r="A16" s="2433">
        <v>3</v>
      </c>
      <c r="B16" s="747" t="s">
        <v>615</v>
      </c>
      <c r="C16" s="2437"/>
      <c r="D16" s="759"/>
      <c r="E16" s="748"/>
      <c r="F16" s="760"/>
      <c r="G16" s="758"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616</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617</v>
      </c>
      <c r="C18" s="748">
        <f>ROUND((C7+C10+C16)*F18,0)</f>
        <v>0</v>
      </c>
      <c r="D18" s="761"/>
      <c r="E18" s="762"/>
      <c r="F18" s="760">
        <f>'数据-取费表'!Q16</f>
        <v>0.2</v>
      </c>
      <c r="G18" s="764"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619</v>
      </c>
      <c r="C19" s="748">
        <f ca="1">C7+C10+C16+C17+C18</f>
        <v>0</v>
      </c>
      <c r="D19" s="759"/>
      <c r="E19" s="748"/>
      <c r="F19" s="760"/>
      <c r="G19" s="764"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621</v>
      </c>
      <c r="C20" s="748">
        <f ca="1">ROUND(C19*F20,0)</f>
        <v>0</v>
      </c>
      <c r="D20" s="759"/>
      <c r="E20" s="748"/>
      <c r="F20" s="1344"/>
      <c r="G20" s="764"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623</v>
      </c>
      <c r="C21" s="748">
        <f ca="1">C19+C20</f>
        <v>0</v>
      </c>
      <c r="D21" s="759"/>
      <c r="E21" s="748"/>
      <c r="F21" s="760"/>
      <c r="G21" s="764"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625</v>
      </c>
      <c r="C22" s="748">
        <f ca="1">ROUND(C21*F22,0)</f>
        <v>0</v>
      </c>
      <c r="D22" s="759"/>
      <c r="E22" s="748"/>
      <c r="F22" s="765">
        <f>'数据-取费表'!AP16</f>
        <v>0.84</v>
      </c>
      <c r="G22" s="764"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7" t="s">
        <v>719</v>
      </c>
      <c r="C1" s="2588" t="s">
        <v>720</v>
      </c>
      <c r="D1" s="2589"/>
      <c r="E1" s="2590"/>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519</v>
      </c>
      <c r="B3" s="850" t="e">
        <f>C49</f>
        <v>#DIV/0!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521</v>
      </c>
      <c r="B4" s="512"/>
      <c r="C4" s="3379" t="s">
        <v>522</v>
      </c>
      <c r="D4" s="3380"/>
      <c r="E4" s="3413" t="s">
        <v>523</v>
      </c>
      <c r="F4" s="3414"/>
      <c r="G4" s="3379" t="s">
        <v>524</v>
      </c>
      <c r="H4" s="3380"/>
      <c r="I4" s="3379" t="s">
        <v>525</v>
      </c>
      <c r="J4" s="3380"/>
      <c r="K4" s="852" t="s">
        <v>526</v>
      </c>
      <c r="L4" s="2118"/>
      <c r="M4" s="2119"/>
      <c r="N4" s="2119"/>
      <c r="O4" s="2119"/>
      <c r="P4" s="3381" t="s">
        <v>527</v>
      </c>
      <c r="Q4" s="3382"/>
      <c r="R4" s="3387" t="s">
        <v>523</v>
      </c>
      <c r="S4" s="3388"/>
      <c r="T4" s="3387" t="s">
        <v>524</v>
      </c>
      <c r="U4" s="3388"/>
      <c r="V4" s="3374" t="s">
        <v>525</v>
      </c>
      <c r="W4" s="3374"/>
      <c r="X4" s="1553"/>
      <c r="Y4" s="3387" t="s">
        <v>527</v>
      </c>
      <c r="Z4" s="3388"/>
      <c r="AA4" s="3376" t="s">
        <v>523</v>
      </c>
      <c r="AB4" s="3376" t="s">
        <v>524</v>
      </c>
      <c r="AC4" s="3376" t="s">
        <v>525</v>
      </c>
    </row>
    <row r="5" spans="1:29" ht="15">
      <c r="A5" s="514"/>
      <c r="B5" s="515"/>
      <c r="C5" s="3395" t="s">
        <v>2930</v>
      </c>
      <c r="D5" s="3396"/>
      <c r="E5" s="3415" t="s">
        <v>2931</v>
      </c>
      <c r="F5" s="3416"/>
      <c r="G5" s="3395" t="s">
        <v>2932</v>
      </c>
      <c r="H5" s="3396"/>
      <c r="I5" s="3395" t="s">
        <v>2933</v>
      </c>
      <c r="J5" s="3396"/>
      <c r="K5" s="853"/>
      <c r="L5" s="2118"/>
      <c r="M5" s="2119"/>
      <c r="N5" s="2119"/>
      <c r="O5" s="2119"/>
      <c r="P5" s="3383"/>
      <c r="Q5" s="3384"/>
      <c r="R5" s="3389"/>
      <c r="S5" s="3390"/>
      <c r="T5" s="3389"/>
      <c r="U5" s="3390"/>
      <c r="V5" s="3374"/>
      <c r="W5" s="3374"/>
      <c r="X5" s="1553"/>
      <c r="Y5" s="3389"/>
      <c r="Z5" s="3390"/>
      <c r="AA5" s="3377"/>
      <c r="AB5" s="3377"/>
      <c r="AC5" s="3377"/>
    </row>
    <row r="6" spans="1:29" ht="15.75" thickBot="1">
      <c r="A6" s="516"/>
      <c r="B6" s="517"/>
      <c r="C6" s="3393" t="s">
        <v>2934</v>
      </c>
      <c r="D6" s="3394"/>
      <c r="E6" s="3411" t="s">
        <v>2934</v>
      </c>
      <c r="F6" s="3412"/>
      <c r="G6" s="3393" t="s">
        <v>2934</v>
      </c>
      <c r="H6" s="3394"/>
      <c r="I6" s="3393" t="s">
        <v>2934</v>
      </c>
      <c r="J6" s="3394"/>
      <c r="K6" s="853" t="s">
        <v>528</v>
      </c>
      <c r="L6" s="2118"/>
      <c r="M6" s="2119"/>
      <c r="N6" s="2119"/>
      <c r="O6" s="2119"/>
      <c r="P6" s="3385"/>
      <c r="Q6" s="3386"/>
      <c r="R6" s="3389"/>
      <c r="S6" s="3390"/>
      <c r="T6" s="3391"/>
      <c r="U6" s="3392"/>
      <c r="V6" s="3374"/>
      <c r="W6" s="3374"/>
      <c r="X6" s="1553"/>
      <c r="Y6" s="3391"/>
      <c r="Z6" s="3392"/>
      <c r="AA6" s="3378"/>
      <c r="AB6" s="3378"/>
      <c r="AC6" s="3378"/>
    </row>
    <row r="7" spans="1:29" s="1215" customFormat="1" ht="15.75" thickBot="1">
      <c r="A7" s="2867"/>
      <c r="B7" s="2874" t="s">
        <v>529</v>
      </c>
      <c r="C7" s="518">
        <f>'数据-取费表'!B2</f>
        <v>43734</v>
      </c>
      <c r="D7" s="519">
        <v>100</v>
      </c>
      <c r="E7" s="520"/>
      <c r="F7" s="521">
        <f>SUMIF(58:58,YEAR(E7)&amp;"-"&amp;MONTH(E7),59:59)</f>
        <v>0</v>
      </c>
      <c r="G7" s="522"/>
      <c r="H7" s="519">
        <f>SUMIF(58:58,YEAR(G7)&amp;"-"&amp;MONTH(G7),59:59)</f>
        <v>0</v>
      </c>
      <c r="I7" s="522"/>
      <c r="J7" s="519">
        <f>SUMIF(58:58,YEAR(I7)&amp;"-"&amp;MONTH(I7),59:59)</f>
        <v>0</v>
      </c>
      <c r="K7" s="854"/>
      <c r="L7" s="2120"/>
      <c r="M7" s="2121"/>
      <c r="N7" s="2121"/>
      <c r="O7" s="2121"/>
      <c r="P7" s="3404" t="s">
        <v>530</v>
      </c>
      <c r="Q7" s="3406"/>
      <c r="R7" s="1554" t="s">
        <v>13</v>
      </c>
      <c r="S7" s="1555">
        <f t="shared" ref="S7:S15" si="0">F7</f>
        <v>0</v>
      </c>
      <c r="T7" s="1554" t="s">
        <v>13</v>
      </c>
      <c r="U7" s="1555">
        <f t="shared" ref="U7:U15" si="1">H7</f>
        <v>0</v>
      </c>
      <c r="V7" s="1554" t="s">
        <v>13</v>
      </c>
      <c r="W7" s="1555">
        <f t="shared" ref="W7:W15" si="2">J7</f>
        <v>0</v>
      </c>
      <c r="X7" s="1556"/>
      <c r="Y7" s="3404" t="s">
        <v>530</v>
      </c>
      <c r="Z7" s="3405"/>
      <c r="AA7" s="1557" t="e">
        <f>D7/F7</f>
        <v>#DIV/0!</v>
      </c>
      <c r="AB7" s="1557" t="e">
        <f>D7/H7</f>
        <v>#DIV/0!</v>
      </c>
      <c r="AC7" s="1557" t="e">
        <f>D7/J7</f>
        <v>#DIV/0!</v>
      </c>
    </row>
    <row r="8" spans="1:29" s="1215" customFormat="1" ht="15.75" thickBot="1">
      <c r="A8" s="2868"/>
      <c r="B8" s="2875" t="s">
        <v>531</v>
      </c>
      <c r="C8" s="524" t="s">
        <v>576</v>
      </c>
      <c r="D8" s="519">
        <v>100</v>
      </c>
      <c r="E8" s="855"/>
      <c r="F8" s="521">
        <f>SUMIF(61:61,E8,62:62)-SUMIF(61:61,C8,62:62)+100</f>
        <v>0</v>
      </c>
      <c r="G8" s="524"/>
      <c r="H8" s="519">
        <f>SUMIF(61:61,G8,62:62)-SUMIF(61:61,C8,62:62)+100</f>
        <v>0</v>
      </c>
      <c r="I8" s="855"/>
      <c r="J8" s="519">
        <f>SUMIF(61:61,I8,62:62)-SUMIF(61:61,C8,62:62)+100</f>
        <v>0</v>
      </c>
      <c r="K8" s="854"/>
      <c r="L8" s="2120"/>
      <c r="M8" s="2121"/>
      <c r="N8" s="2121"/>
      <c r="O8" s="2121"/>
      <c r="P8" s="3404" t="s">
        <v>533</v>
      </c>
      <c r="Q8" s="3405"/>
      <c r="R8" s="1554" t="s">
        <v>13</v>
      </c>
      <c r="S8" s="1555">
        <f t="shared" si="0"/>
        <v>0</v>
      </c>
      <c r="T8" s="1554" t="s">
        <v>13</v>
      </c>
      <c r="U8" s="1555">
        <f t="shared" si="1"/>
        <v>0</v>
      </c>
      <c r="V8" s="1554" t="s">
        <v>13</v>
      </c>
      <c r="W8" s="1555">
        <f t="shared" si="2"/>
        <v>0</v>
      </c>
      <c r="X8" s="1556"/>
      <c r="Y8" s="3404" t="s">
        <v>533</v>
      </c>
      <c r="Z8" s="3405"/>
      <c r="AA8" s="1557" t="e">
        <f t="shared" ref="AA8:AA46" si="3">D8/F8</f>
        <v>#DIV/0!</v>
      </c>
      <c r="AB8" s="1557" t="e">
        <f t="shared" ref="AB8:AB46" si="4">D8/H8</f>
        <v>#DIV/0!</v>
      </c>
      <c r="AC8" s="1557" t="e">
        <f t="shared" ref="AC8:AC46" si="5">D8/J8</f>
        <v>#DIV/0!</v>
      </c>
    </row>
    <row r="9" spans="1:29" s="1215" customFormat="1" ht="15">
      <c r="A9" s="2869"/>
      <c r="B9" s="2876" t="s">
        <v>2755</v>
      </c>
      <c r="C9" s="856"/>
      <c r="D9" s="253">
        <v>100</v>
      </c>
      <c r="E9" s="857"/>
      <c r="F9" s="858">
        <f>SUMIF(63:63,E9,64:64)-SUMIF(63:63,C9,64:64)+100</f>
        <v>100</v>
      </c>
      <c r="G9" s="859"/>
      <c r="H9" s="253">
        <f>SUMIF(63:63,G9,64:64)-SUMIF(63:63,C9,64:64)+100</f>
        <v>100</v>
      </c>
      <c r="I9" s="859"/>
      <c r="J9" s="253">
        <f>SUMIF(63:63,I9,64:64)-SUMIF(63:63,C9,64:64)+100</f>
        <v>100</v>
      </c>
      <c r="K9" s="854"/>
      <c r="L9" s="2120"/>
      <c r="M9" s="2121"/>
      <c r="N9" s="2121"/>
      <c r="O9" s="2122"/>
      <c r="P9" s="3373" t="s">
        <v>535</v>
      </c>
      <c r="Q9" s="1146" t="str">
        <f t="shared" ref="Q9:Q15" si="6">B9</f>
        <v>用途</v>
      </c>
      <c r="R9" s="1554" t="s">
        <v>8</v>
      </c>
      <c r="S9" s="1555">
        <f t="shared" si="0"/>
        <v>100</v>
      </c>
      <c r="T9" s="1554" t="s">
        <v>8</v>
      </c>
      <c r="U9" s="1555">
        <f t="shared" si="1"/>
        <v>100</v>
      </c>
      <c r="V9" s="1554" t="s">
        <v>8</v>
      </c>
      <c r="W9" s="1555">
        <f t="shared" si="2"/>
        <v>100</v>
      </c>
      <c r="X9" s="1556"/>
      <c r="Y9" s="3315" t="s">
        <v>536</v>
      </c>
      <c r="Z9" s="1145" t="str">
        <f t="shared" ref="Z9:Z15" si="7">Q9</f>
        <v>用途</v>
      </c>
      <c r="AA9" s="1557">
        <f t="shared" si="3"/>
        <v>1</v>
      </c>
      <c r="AB9" s="1557">
        <f t="shared" si="4"/>
        <v>1</v>
      </c>
      <c r="AC9" s="1557">
        <f t="shared" si="5"/>
        <v>1</v>
      </c>
    </row>
    <row r="10" spans="1:29" s="1333" customFormat="1" ht="27">
      <c r="A10" s="2870"/>
      <c r="B10" s="2875" t="s">
        <v>2756</v>
      </c>
      <c r="C10" s="860"/>
      <c r="D10" s="254">
        <v>100</v>
      </c>
      <c r="E10" s="861"/>
      <c r="F10" s="862">
        <f>SUMIF(65:65,E10,66:66)-SUMIF(65:65,C10,66:66)+100</f>
        <v>100</v>
      </c>
      <c r="G10" s="860"/>
      <c r="H10" s="254">
        <f>SUMIF(65:65,G10,66:66)-SUMIF(65:65,C10,66:66)+100</f>
        <v>100</v>
      </c>
      <c r="I10" s="860"/>
      <c r="J10" s="254">
        <f>SUMIF(65:65,I10,66:66)-SUMIF(65:65,C10,66:66)+100</f>
        <v>100</v>
      </c>
      <c r="K10" s="863"/>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71"/>
      <c r="B11" s="2875"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5"/>
      <c r="M11" s="2119"/>
      <c r="N11" s="2119"/>
      <c r="O11" s="2126"/>
      <c r="P11" s="3373"/>
      <c r="Q11" s="1146" t="str">
        <f t="shared" si="6"/>
        <v>容积率</v>
      </c>
      <c r="R11" s="1554" t="s">
        <v>11</v>
      </c>
      <c r="S11" s="1555" t="e">
        <f t="shared" si="0"/>
        <v>#N/A</v>
      </c>
      <c r="T11" s="1554" t="s">
        <v>11</v>
      </c>
      <c r="U11" s="1555" t="e">
        <f t="shared" si="1"/>
        <v>#N/A</v>
      </c>
      <c r="V11" s="1554" t="s">
        <v>11</v>
      </c>
      <c r="W11" s="1555" t="e">
        <f t="shared" si="2"/>
        <v>#N/A</v>
      </c>
      <c r="X11" s="1556"/>
      <c r="Y11" s="3315"/>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73"/>
      <c r="Q12" s="1146">
        <f t="shared" si="6"/>
        <v>111</v>
      </c>
      <c r="R12" s="1554" t="s">
        <v>11</v>
      </c>
      <c r="S12" s="1555">
        <f t="shared" si="0"/>
        <v>100</v>
      </c>
      <c r="T12" s="1554" t="s">
        <v>11</v>
      </c>
      <c r="U12" s="1555">
        <f t="shared" si="1"/>
        <v>100</v>
      </c>
      <c r="V12" s="1554" t="s">
        <v>11</v>
      </c>
      <c r="W12" s="1555">
        <f t="shared" si="2"/>
        <v>100</v>
      </c>
      <c r="X12" s="1556"/>
      <c r="Y12" s="3315"/>
      <c r="Z12" s="1145">
        <f t="shared" si="7"/>
        <v>111</v>
      </c>
      <c r="AA12" s="1557">
        <f>D12/F12</f>
        <v>1</v>
      </c>
      <c r="AB12" s="1557">
        <f>D12/H12</f>
        <v>1</v>
      </c>
      <c r="AC12" s="1557">
        <f>D12/J12</f>
        <v>1</v>
      </c>
    </row>
    <row r="13" spans="1:29" ht="15">
      <c r="A13" s="2872"/>
      <c r="B13" s="2878">
        <v>111</v>
      </c>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73"/>
      <c r="Q13" s="1146">
        <f t="shared" si="6"/>
        <v>111</v>
      </c>
      <c r="R13" s="1554" t="s">
        <v>11</v>
      </c>
      <c r="S13" s="1555">
        <f t="shared" si="0"/>
        <v>100</v>
      </c>
      <c r="T13" s="1554" t="s">
        <v>11</v>
      </c>
      <c r="U13" s="1555">
        <f t="shared" si="1"/>
        <v>100</v>
      </c>
      <c r="V13" s="1554" t="s">
        <v>11</v>
      </c>
      <c r="W13" s="1555">
        <f t="shared" si="2"/>
        <v>100</v>
      </c>
      <c r="X13" s="1556"/>
      <c r="Y13" s="3315"/>
      <c r="Z13" s="1145">
        <f t="shared" si="7"/>
        <v>111</v>
      </c>
      <c r="AA13" s="1557">
        <f t="shared" si="3"/>
        <v>1</v>
      </c>
      <c r="AB13" s="1557">
        <f t="shared" si="4"/>
        <v>1</v>
      </c>
      <c r="AC13" s="1557">
        <f t="shared" si="5"/>
        <v>1</v>
      </c>
    </row>
    <row r="14" spans="1:29" ht="15.75" thickBot="1">
      <c r="A14" s="2873"/>
      <c r="B14" s="2879">
        <v>111</v>
      </c>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73"/>
      <c r="Q14" s="1146">
        <f t="shared" si="6"/>
        <v>111</v>
      </c>
      <c r="R14" s="1554" t="s">
        <v>11</v>
      </c>
      <c r="S14" s="1555">
        <f t="shared" si="0"/>
        <v>100</v>
      </c>
      <c r="T14" s="1554" t="s">
        <v>11</v>
      </c>
      <c r="U14" s="1555">
        <f t="shared" si="1"/>
        <v>100</v>
      </c>
      <c r="V14" s="1554" t="s">
        <v>11</v>
      </c>
      <c r="W14" s="1555">
        <f t="shared" si="2"/>
        <v>100</v>
      </c>
      <c r="X14" s="1556"/>
      <c r="Y14" s="3315"/>
      <c r="Z14" s="1145">
        <f t="shared" si="7"/>
        <v>111</v>
      </c>
      <c r="AA14" s="1557">
        <f t="shared" si="3"/>
        <v>1</v>
      </c>
      <c r="AB14" s="1557">
        <f t="shared" si="4"/>
        <v>1</v>
      </c>
      <c r="AC14" s="1557">
        <f t="shared" si="5"/>
        <v>1</v>
      </c>
    </row>
    <row r="15" spans="1:29" ht="99.75">
      <c r="A15" s="2865" t="s">
        <v>2753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7"/>
      <c r="M15" s="2119"/>
      <c r="N15" s="2119"/>
      <c r="O15" s="2126"/>
      <c r="P15" s="3407" t="s">
        <v>540</v>
      </c>
      <c r="Q15" s="1558" t="str">
        <f t="shared" si="6"/>
        <v>居住社区成熟度</v>
      </c>
      <c r="R15" s="1559" t="s">
        <v>11</v>
      </c>
      <c r="S15" s="1560">
        <f t="shared" si="0"/>
        <v>100</v>
      </c>
      <c r="T15" s="1559" t="s">
        <v>11</v>
      </c>
      <c r="U15" s="1560">
        <f t="shared" si="1"/>
        <v>100</v>
      </c>
      <c r="V15" s="1559" t="s">
        <v>11</v>
      </c>
      <c r="W15" s="1560">
        <f t="shared" si="2"/>
        <v>100</v>
      </c>
      <c r="X15" s="1553"/>
      <c r="Y15" s="3407" t="s">
        <v>540</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7"/>
      <c r="M16" s="2119"/>
      <c r="N16" s="2119"/>
      <c r="O16" s="2126"/>
      <c r="P16" s="3408"/>
      <c r="Q16" s="1558"/>
      <c r="R16" s="1559"/>
      <c r="S16" s="1560"/>
      <c r="T16" s="1559"/>
      <c r="U16" s="1560"/>
      <c r="V16" s="1559"/>
      <c r="W16" s="1560"/>
      <c r="X16" s="1553"/>
      <c r="Y16" s="3408"/>
      <c r="Z16" s="1561"/>
      <c r="AA16" s="1562">
        <v>1</v>
      </c>
      <c r="AB16" s="1562">
        <v>1</v>
      </c>
      <c r="AC16" s="156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7"/>
      <c r="M17" s="2119"/>
      <c r="N17" s="2119"/>
      <c r="O17" s="2126"/>
      <c r="P17" s="3408"/>
      <c r="Q17" s="1558" t="str">
        <f>B17</f>
        <v>交通便捷度</v>
      </c>
      <c r="R17" s="1559" t="s">
        <v>11</v>
      </c>
      <c r="S17" s="1560">
        <f>F17</f>
        <v>100</v>
      </c>
      <c r="T17" s="1559" t="s">
        <v>11</v>
      </c>
      <c r="U17" s="1560">
        <f>H17</f>
        <v>100</v>
      </c>
      <c r="V17" s="1559" t="s">
        <v>11</v>
      </c>
      <c r="W17" s="1560">
        <f>J17</f>
        <v>100</v>
      </c>
      <c r="X17" s="1553"/>
      <c r="Y17" s="340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2.75">
      <c r="A19" s="531"/>
      <c r="B19" s="2564"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7"/>
      <c r="M19" s="2119"/>
      <c r="N19" s="2119"/>
      <c r="O19" s="2126"/>
      <c r="P19" s="3408"/>
      <c r="Q19" s="1558" t="str">
        <f>B19</f>
        <v>公共配套设施</v>
      </c>
      <c r="R19" s="1559" t="s">
        <v>11</v>
      </c>
      <c r="S19" s="1560">
        <f>F19</f>
        <v>100</v>
      </c>
      <c r="T19" s="1559" t="s">
        <v>11</v>
      </c>
      <c r="U19" s="1560">
        <f>H19</f>
        <v>100</v>
      </c>
      <c r="V19" s="1559" t="s">
        <v>11</v>
      </c>
      <c r="W19" s="1560">
        <f>J19</f>
        <v>100</v>
      </c>
      <c r="X19" s="1553"/>
      <c r="Y19" s="3408"/>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8.5">
      <c r="A21" s="531"/>
      <c r="B21" s="2557"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7"/>
      <c r="M21" s="2119"/>
      <c r="N21" s="2119"/>
      <c r="O21" s="2126"/>
      <c r="P21" s="3408"/>
      <c r="Q21" s="2543" t="str">
        <f>B21</f>
        <v>基础设施水平</v>
      </c>
      <c r="R21" s="1559" t="s">
        <v>11</v>
      </c>
      <c r="S21" s="1560">
        <f>F21</f>
        <v>100</v>
      </c>
      <c r="T21" s="1559" t="s">
        <v>11</v>
      </c>
      <c r="U21" s="1560">
        <f>H21</f>
        <v>100</v>
      </c>
      <c r="V21" s="1559" t="s">
        <v>11</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3"/>
      <c r="L22" s="2127"/>
      <c r="M22" s="2119"/>
      <c r="N22" s="2119"/>
      <c r="O22" s="2126"/>
      <c r="P22" s="3408"/>
      <c r="Q22" s="2543"/>
      <c r="R22" s="1559"/>
      <c r="S22" s="1560"/>
      <c r="T22" s="1559"/>
      <c r="U22" s="1560"/>
      <c r="V22" s="1559"/>
      <c r="W22" s="1560"/>
      <c r="X22" s="2545"/>
      <c r="Y22" s="3408"/>
      <c r="Z22" s="2544"/>
      <c r="AA22" s="1562">
        <v>1</v>
      </c>
      <c r="AB22" s="1562">
        <v>1</v>
      </c>
      <c r="AC22" s="1562">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7"/>
      <c r="M23" s="2119"/>
      <c r="N23" s="2119"/>
      <c r="O23" s="2126"/>
      <c r="P23" s="3408"/>
      <c r="Q23" s="1558" t="str">
        <f>B23</f>
        <v>自然及人文环境</v>
      </c>
      <c r="R23" s="1559" t="s">
        <v>11</v>
      </c>
      <c r="S23" s="1560">
        <f>F23</f>
        <v>100</v>
      </c>
      <c r="T23" s="1559" t="s">
        <v>11</v>
      </c>
      <c r="U23" s="1560">
        <f>H23</f>
        <v>100</v>
      </c>
      <c r="V23" s="1559" t="s">
        <v>11</v>
      </c>
      <c r="W23" s="1560">
        <f>J23</f>
        <v>100</v>
      </c>
      <c r="X23" s="1553"/>
      <c r="Y23" s="3408"/>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31"/>
      <c r="B25" s="1880" t="s">
        <v>2255</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408"/>
      <c r="Q25" s="1558" t="str">
        <f t="shared" ref="Q25:Q46" si="11">B25</f>
        <v>楼层-1</v>
      </c>
      <c r="R25" s="1559" t="s">
        <v>11</v>
      </c>
      <c r="S25" s="1560">
        <f>F25</f>
        <v>100</v>
      </c>
      <c r="T25" s="1559" t="s">
        <v>11</v>
      </c>
      <c r="U25" s="1560">
        <f>H25</f>
        <v>100</v>
      </c>
      <c r="V25" s="1559" t="s">
        <v>11</v>
      </c>
      <c r="W25" s="1560">
        <f>J25</f>
        <v>100</v>
      </c>
      <c r="X25" s="1553"/>
      <c r="Y25" s="3408"/>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408"/>
      <c r="Q26" s="1558" t="str">
        <f t="shared" si="11"/>
        <v>朝向</v>
      </c>
      <c r="R26" s="1559" t="s">
        <v>11</v>
      </c>
      <c r="S26" s="1560">
        <f>F26</f>
        <v>100</v>
      </c>
      <c r="T26" s="1559" t="s">
        <v>11</v>
      </c>
      <c r="U26" s="1560">
        <f>H26</f>
        <v>100</v>
      </c>
      <c r="V26" s="1559" t="s">
        <v>11</v>
      </c>
      <c r="W26" s="1560">
        <f>J26</f>
        <v>100</v>
      </c>
      <c r="X26" s="1553"/>
      <c r="Y26" s="3408"/>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08"/>
      <c r="Q27" s="1146" t="str">
        <f t="shared" si="11"/>
        <v>道路级别</v>
      </c>
      <c r="R27" s="1554" t="s">
        <v>11</v>
      </c>
      <c r="S27" s="1555">
        <f>F27</f>
        <v>100</v>
      </c>
      <c r="T27" s="1554" t="s">
        <v>11</v>
      </c>
      <c r="U27" s="1555">
        <f>H27</f>
        <v>100</v>
      </c>
      <c r="V27" s="1554" t="s">
        <v>11</v>
      </c>
      <c r="W27" s="1555">
        <f>J27</f>
        <v>100</v>
      </c>
      <c r="X27" s="1556"/>
      <c r="Y27" s="3408"/>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08"/>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8"/>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08"/>
      <c r="Q29" s="1558">
        <f t="shared" si="11"/>
        <v>111</v>
      </c>
      <c r="R29" s="1559" t="s">
        <v>11</v>
      </c>
      <c r="S29" s="1560">
        <f t="shared" si="12"/>
        <v>100</v>
      </c>
      <c r="T29" s="1559" t="s">
        <v>11</v>
      </c>
      <c r="U29" s="1560">
        <f t="shared" si="13"/>
        <v>100</v>
      </c>
      <c r="V29" s="1559" t="s">
        <v>11</v>
      </c>
      <c r="W29" s="1560">
        <f t="shared" si="14"/>
        <v>100</v>
      </c>
      <c r="X29" s="1553"/>
      <c r="Y29" s="3408"/>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08"/>
      <c r="Q30" s="1558">
        <f t="shared" si="11"/>
        <v>111</v>
      </c>
      <c r="R30" s="1559" t="s">
        <v>11</v>
      </c>
      <c r="S30" s="1560">
        <f t="shared" si="12"/>
        <v>100</v>
      </c>
      <c r="T30" s="1559" t="s">
        <v>11</v>
      </c>
      <c r="U30" s="1560">
        <f t="shared" si="13"/>
        <v>100</v>
      </c>
      <c r="V30" s="1559" t="s">
        <v>11</v>
      </c>
      <c r="W30" s="1560">
        <f t="shared" si="14"/>
        <v>100</v>
      </c>
      <c r="X30" s="1553"/>
      <c r="Y30" s="3408"/>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08"/>
      <c r="Q31" s="1558">
        <f t="shared" si="11"/>
        <v>111</v>
      </c>
      <c r="R31" s="1559" t="s">
        <v>11</v>
      </c>
      <c r="S31" s="1560">
        <f t="shared" si="12"/>
        <v>100</v>
      </c>
      <c r="T31" s="1559" t="s">
        <v>11</v>
      </c>
      <c r="U31" s="1560">
        <f t="shared" si="13"/>
        <v>100</v>
      </c>
      <c r="V31" s="1559" t="s">
        <v>11</v>
      </c>
      <c r="W31" s="1560">
        <f t="shared" si="14"/>
        <v>100</v>
      </c>
      <c r="X31" s="1553"/>
      <c r="Y31" s="3408"/>
      <c r="Z31" s="1561">
        <f t="shared" si="15"/>
        <v>111</v>
      </c>
      <c r="AA31" s="1562">
        <f t="shared" si="3"/>
        <v>1</v>
      </c>
      <c r="AB31" s="1562">
        <f t="shared" si="4"/>
        <v>1</v>
      </c>
      <c r="AC31" s="1562">
        <f t="shared" si="5"/>
        <v>1</v>
      </c>
    </row>
    <row r="32" spans="1:29" ht="15">
      <c r="A32" s="2862" t="s">
        <v>2754</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7"/>
      <c r="M32" s="2119"/>
      <c r="N32" s="2119"/>
      <c r="O32" s="2126"/>
      <c r="P32" s="3409" t="s">
        <v>550</v>
      </c>
      <c r="Q32" s="1558" t="str">
        <f t="shared" si="11"/>
        <v>建筑类型</v>
      </c>
      <c r="R32" s="1559" t="s">
        <v>11</v>
      </c>
      <c r="S32" s="1560">
        <f t="shared" si="12"/>
        <v>100</v>
      </c>
      <c r="T32" s="1559" t="s">
        <v>11</v>
      </c>
      <c r="U32" s="1560">
        <f t="shared" si="13"/>
        <v>100</v>
      </c>
      <c r="V32" s="1559" t="s">
        <v>11</v>
      </c>
      <c r="W32" s="1560">
        <f t="shared" si="14"/>
        <v>100</v>
      </c>
      <c r="X32" s="1553"/>
      <c r="Y32" s="3410" t="s">
        <v>550</v>
      </c>
      <c r="Z32" s="1561" t="str">
        <f t="shared" si="15"/>
        <v>建筑类型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5"/>
      <c r="M33" s="2156"/>
      <c r="N33" s="2156"/>
      <c r="O33" s="2128"/>
      <c r="P33" s="3410"/>
      <c r="Q33" s="1590" t="str">
        <f t="shared" si="11"/>
        <v>项目建筑规模</v>
      </c>
      <c r="R33" s="1563" t="s">
        <v>11</v>
      </c>
      <c r="S33" s="1564" t="e">
        <f t="shared" si="12"/>
        <v>#N/A</v>
      </c>
      <c r="T33" s="1563" t="s">
        <v>11</v>
      </c>
      <c r="U33" s="1564" t="e">
        <f t="shared" si="13"/>
        <v>#N/A</v>
      </c>
      <c r="V33" s="1563" t="s">
        <v>11</v>
      </c>
      <c r="W33" s="1564" t="e">
        <f t="shared" si="14"/>
        <v>#N/A</v>
      </c>
      <c r="X33" s="1565"/>
      <c r="Y33" s="3410"/>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7"/>
      <c r="M34" s="2119"/>
      <c r="N34" s="2119"/>
      <c r="O34" s="2126"/>
      <c r="P34" s="3410"/>
      <c r="Q34" s="1558" t="str">
        <f t="shared" si="11"/>
        <v>建筑结构</v>
      </c>
      <c r="R34" s="1559" t="s">
        <v>11</v>
      </c>
      <c r="S34" s="1560">
        <f t="shared" si="12"/>
        <v>100</v>
      </c>
      <c r="T34" s="1559" t="s">
        <v>11</v>
      </c>
      <c r="U34" s="1560">
        <f t="shared" si="13"/>
        <v>100</v>
      </c>
      <c r="V34" s="1559" t="s">
        <v>11</v>
      </c>
      <c r="W34" s="1560">
        <f t="shared" si="14"/>
        <v>100</v>
      </c>
      <c r="X34" s="1553"/>
      <c r="Y34" s="3410"/>
      <c r="Z34" s="1561" t="str">
        <f t="shared" si="15"/>
        <v>建筑结构</v>
      </c>
      <c r="AA34" s="1562">
        <f t="shared" si="3"/>
        <v>1</v>
      </c>
      <c r="AB34" s="1562">
        <f t="shared" si="4"/>
        <v>1</v>
      </c>
      <c r="AC34" s="1562">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7"/>
      <c r="M35" s="2119"/>
      <c r="N35" s="2119"/>
      <c r="O35" s="2126"/>
      <c r="P35" s="3410"/>
      <c r="Q35" s="1558" t="str">
        <f t="shared" si="11"/>
        <v>建筑品质</v>
      </c>
      <c r="R35" s="1559" t="s">
        <v>11</v>
      </c>
      <c r="S35" s="1560">
        <f t="shared" si="12"/>
        <v>100</v>
      </c>
      <c r="T35" s="1559" t="s">
        <v>11</v>
      </c>
      <c r="U35" s="1560">
        <f t="shared" si="13"/>
        <v>100</v>
      </c>
      <c r="V35" s="1559" t="s">
        <v>11</v>
      </c>
      <c r="W35" s="1560">
        <f t="shared" si="14"/>
        <v>100</v>
      </c>
      <c r="X35" s="1553"/>
      <c r="Y35" s="3410"/>
      <c r="Z35" s="1561" t="str">
        <f t="shared" si="15"/>
        <v>建筑品质</v>
      </c>
      <c r="AA35" s="1562">
        <f t="shared" si="3"/>
        <v>1</v>
      </c>
      <c r="AB35" s="1562">
        <f t="shared" si="4"/>
        <v>1</v>
      </c>
      <c r="AC35" s="1562">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7"/>
      <c r="M36" s="2119"/>
      <c r="N36" s="2119"/>
      <c r="O36" s="2126"/>
      <c r="P36" s="3410"/>
      <c r="Q36" s="1558" t="str">
        <f t="shared" si="11"/>
        <v>公共部分装修</v>
      </c>
      <c r="R36" s="1559" t="s">
        <v>11</v>
      </c>
      <c r="S36" s="1560">
        <f t="shared" si="12"/>
        <v>100</v>
      </c>
      <c r="T36" s="1559" t="s">
        <v>11</v>
      </c>
      <c r="U36" s="1560">
        <f t="shared" si="13"/>
        <v>100</v>
      </c>
      <c r="V36" s="1559" t="s">
        <v>11</v>
      </c>
      <c r="W36" s="1560">
        <f t="shared" si="14"/>
        <v>100</v>
      </c>
      <c r="X36" s="1553"/>
      <c r="Y36" s="3410"/>
      <c r="Z36" s="1561" t="str">
        <f t="shared" si="15"/>
        <v>公共部分装修</v>
      </c>
      <c r="AA36" s="1562">
        <f t="shared" si="3"/>
        <v>1</v>
      </c>
      <c r="AB36" s="1562">
        <f t="shared" si="4"/>
        <v>1</v>
      </c>
      <c r="AC36" s="1562">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20"/>
      <c r="M37" s="2121"/>
      <c r="N37" s="2121"/>
      <c r="O37" s="2122"/>
      <c r="P37" s="3410"/>
      <c r="Q37" s="1146" t="str">
        <f t="shared" si="11"/>
        <v>成新度</v>
      </c>
      <c r="R37" s="1554" t="s">
        <v>11</v>
      </c>
      <c r="S37" s="1555" t="e">
        <f t="shared" si="12"/>
        <v>#N/A</v>
      </c>
      <c r="T37" s="1554" t="s">
        <v>11</v>
      </c>
      <c r="U37" s="1555" t="e">
        <f t="shared" si="13"/>
        <v>#N/A</v>
      </c>
      <c r="V37" s="1554" t="s">
        <v>11</v>
      </c>
      <c r="W37" s="1555" t="e">
        <f t="shared" si="14"/>
        <v>#N/A</v>
      </c>
      <c r="X37" s="1556"/>
      <c r="Y37" s="3410"/>
      <c r="Z37" s="1145" t="str">
        <f t="shared" si="15"/>
        <v>成新度</v>
      </c>
      <c r="AA37" s="1557" t="e">
        <f t="shared" si="3"/>
        <v>#N/A</v>
      </c>
      <c r="AB37" s="1557" t="e">
        <f t="shared" si="4"/>
        <v>#N/A</v>
      </c>
      <c r="AC37" s="1557"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7"/>
      <c r="M38" s="2119"/>
      <c r="N38" s="2119"/>
      <c r="O38" s="2126"/>
      <c r="P38" s="3410" t="s">
        <v>550</v>
      </c>
      <c r="Q38" s="1558" t="str">
        <f t="shared" si="11"/>
        <v>物业管理</v>
      </c>
      <c r="R38" s="1559" t="s">
        <v>11</v>
      </c>
      <c r="S38" s="1560">
        <f t="shared" si="12"/>
        <v>100</v>
      </c>
      <c r="T38" s="1559" t="s">
        <v>11</v>
      </c>
      <c r="U38" s="1560">
        <f t="shared" si="13"/>
        <v>100</v>
      </c>
      <c r="V38" s="1559" t="s">
        <v>11</v>
      </c>
      <c r="W38" s="1560">
        <f t="shared" si="14"/>
        <v>100</v>
      </c>
      <c r="X38" s="1553"/>
      <c r="Y38" s="3410" t="s">
        <v>550</v>
      </c>
      <c r="Z38" s="1561" t="str">
        <f t="shared" si="15"/>
        <v>物业管理</v>
      </c>
      <c r="AA38" s="1562">
        <f t="shared" si="3"/>
        <v>1</v>
      </c>
      <c r="AB38" s="1562">
        <f t="shared" si="4"/>
        <v>1</v>
      </c>
      <c r="AC38" s="1562">
        <f t="shared" si="5"/>
        <v>1</v>
      </c>
    </row>
    <row r="39" spans="1:29" ht="15">
      <c r="A39" s="593"/>
      <c r="B39" s="1880" t="s">
        <v>2563</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7"/>
      <c r="M39" s="2119"/>
      <c r="N39" s="2119"/>
      <c r="O39" s="2126"/>
      <c r="P39" s="3410"/>
      <c r="Q39" s="1558" t="str">
        <f t="shared" si="11"/>
        <v>市政基础设施</v>
      </c>
      <c r="R39" s="1559" t="s">
        <v>11</v>
      </c>
      <c r="S39" s="1560">
        <f t="shared" si="12"/>
        <v>100</v>
      </c>
      <c r="T39" s="1559" t="s">
        <v>11</v>
      </c>
      <c r="U39" s="1560">
        <f t="shared" si="13"/>
        <v>100</v>
      </c>
      <c r="V39" s="1559" t="s">
        <v>11</v>
      </c>
      <c r="W39" s="1560">
        <f t="shared" si="14"/>
        <v>100</v>
      </c>
      <c r="X39" s="1553"/>
      <c r="Y39" s="3410"/>
      <c r="Z39" s="1561" t="str">
        <f t="shared" si="15"/>
        <v>市政基础设施</v>
      </c>
      <c r="AA39" s="1562">
        <f t="shared" si="3"/>
        <v>1</v>
      </c>
      <c r="AB39" s="1562">
        <f t="shared" si="4"/>
        <v>1</v>
      </c>
      <c r="AC39" s="156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7"/>
      <c r="M40" s="2119"/>
      <c r="N40" s="2119"/>
      <c r="O40" s="2126"/>
      <c r="P40" s="3410"/>
      <c r="Q40" s="1558" t="str">
        <f t="shared" si="11"/>
        <v>房型</v>
      </c>
      <c r="R40" s="1559" t="s">
        <v>11</v>
      </c>
      <c r="S40" s="1560">
        <f t="shared" si="12"/>
        <v>100</v>
      </c>
      <c r="T40" s="1559" t="s">
        <v>11</v>
      </c>
      <c r="U40" s="1560">
        <f t="shared" si="13"/>
        <v>100</v>
      </c>
      <c r="V40" s="1559" t="s">
        <v>11</v>
      </c>
      <c r="W40" s="1560">
        <f t="shared" si="14"/>
        <v>100</v>
      </c>
      <c r="X40" s="1553"/>
      <c r="Y40" s="3410"/>
      <c r="Z40" s="1561" t="str">
        <f t="shared" si="15"/>
        <v>房型</v>
      </c>
      <c r="AA40" s="1562">
        <f t="shared" si="3"/>
        <v>1</v>
      </c>
      <c r="AB40" s="1562">
        <f t="shared" si="4"/>
        <v>1</v>
      </c>
      <c r="AC40" s="1562">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5"/>
      <c r="M41" s="2156"/>
      <c r="N41" s="2156"/>
      <c r="O41" s="2128"/>
      <c r="P41" s="3410"/>
      <c r="Q41" s="1590" t="str">
        <f t="shared" si="11"/>
        <v>单套/主力户型建筑面积</v>
      </c>
      <c r="R41" s="1563" t="s">
        <v>11</v>
      </c>
      <c r="S41" s="1564">
        <f t="shared" si="12"/>
        <v>100</v>
      </c>
      <c r="T41" s="1563" t="s">
        <v>11</v>
      </c>
      <c r="U41" s="1564">
        <f t="shared" si="13"/>
        <v>100</v>
      </c>
      <c r="V41" s="1563" t="s">
        <v>11</v>
      </c>
      <c r="W41" s="1564">
        <f t="shared" si="14"/>
        <v>100</v>
      </c>
      <c r="X41" s="1565"/>
      <c r="Y41" s="3410"/>
      <c r="Z41" s="1566" t="str">
        <f t="shared" si="15"/>
        <v>单套/主力户型建筑面积</v>
      </c>
      <c r="AA41" s="1562">
        <f t="shared" si="3"/>
        <v>1</v>
      </c>
      <c r="AB41" s="1562">
        <f t="shared" si="4"/>
        <v>1</v>
      </c>
      <c r="AC41" s="1562">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7"/>
      <c r="M42" s="2119"/>
      <c r="N42" s="2119"/>
      <c r="O42" s="2126"/>
      <c r="P42" s="3410"/>
      <c r="Q42" s="1558" t="str">
        <f t="shared" si="11"/>
        <v>内部装修</v>
      </c>
      <c r="R42" s="1559" t="s">
        <v>11</v>
      </c>
      <c r="S42" s="1560">
        <f t="shared" si="12"/>
        <v>100</v>
      </c>
      <c r="T42" s="1559" t="s">
        <v>11</v>
      </c>
      <c r="U42" s="1560">
        <f t="shared" si="13"/>
        <v>100</v>
      </c>
      <c r="V42" s="1559" t="s">
        <v>11</v>
      </c>
      <c r="W42" s="1560">
        <f t="shared" si="14"/>
        <v>100</v>
      </c>
      <c r="X42" s="1553"/>
      <c r="Y42" s="3410"/>
      <c r="Z42" s="1561" t="str">
        <f t="shared" si="15"/>
        <v>内部装修</v>
      </c>
      <c r="AA42" s="1562">
        <f t="shared" si="3"/>
        <v>1</v>
      </c>
      <c r="AB42" s="1562">
        <f t="shared" si="4"/>
        <v>1</v>
      </c>
      <c r="AC42" s="1562">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7"/>
      <c r="M43" s="2119"/>
      <c r="N43" s="2119"/>
      <c r="O43" s="2126"/>
      <c r="P43" s="3410"/>
      <c r="Q43" s="1558" t="str">
        <f t="shared" si="11"/>
        <v>内部装修维护情况</v>
      </c>
      <c r="R43" s="1559" t="s">
        <v>11</v>
      </c>
      <c r="S43" s="1560">
        <f t="shared" si="12"/>
        <v>100</v>
      </c>
      <c r="T43" s="1559" t="s">
        <v>11</v>
      </c>
      <c r="U43" s="1560">
        <f t="shared" si="13"/>
        <v>100</v>
      </c>
      <c r="V43" s="1559" t="s">
        <v>11</v>
      </c>
      <c r="W43" s="1560">
        <f t="shared" si="14"/>
        <v>100</v>
      </c>
      <c r="X43" s="1553"/>
      <c r="Y43" s="3410"/>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10"/>
      <c r="Q44" s="1146">
        <f t="shared" si="11"/>
        <v>111</v>
      </c>
      <c r="R44" s="1554" t="s">
        <v>11</v>
      </c>
      <c r="S44" s="1555">
        <f t="shared" si="12"/>
        <v>100</v>
      </c>
      <c r="T44" s="1554" t="s">
        <v>11</v>
      </c>
      <c r="U44" s="1555">
        <f t="shared" si="13"/>
        <v>100</v>
      </c>
      <c r="V44" s="1554" t="s">
        <v>11</v>
      </c>
      <c r="W44" s="1555">
        <f t="shared" si="14"/>
        <v>100</v>
      </c>
      <c r="X44" s="1556"/>
      <c r="Y44" s="3410"/>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10"/>
      <c r="Q45" s="1558">
        <f t="shared" si="11"/>
        <v>111</v>
      </c>
      <c r="R45" s="1559" t="s">
        <v>11</v>
      </c>
      <c r="S45" s="1560">
        <f t="shared" si="12"/>
        <v>100</v>
      </c>
      <c r="T45" s="1559" t="s">
        <v>11</v>
      </c>
      <c r="U45" s="1560">
        <f t="shared" si="13"/>
        <v>100</v>
      </c>
      <c r="V45" s="1559" t="s">
        <v>11</v>
      </c>
      <c r="W45" s="1560">
        <f t="shared" si="14"/>
        <v>100</v>
      </c>
      <c r="X45" s="1553"/>
      <c r="Y45" s="3410"/>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91"/>
      <c r="Q46" s="1558">
        <f t="shared" si="11"/>
        <v>111</v>
      </c>
      <c r="R46" s="1559" t="s">
        <v>10</v>
      </c>
      <c r="S46" s="1560">
        <f t="shared" si="12"/>
        <v>100</v>
      </c>
      <c r="T46" s="1559" t="s">
        <v>10</v>
      </c>
      <c r="U46" s="1560">
        <f t="shared" si="13"/>
        <v>100</v>
      </c>
      <c r="V46" s="1559" t="s">
        <v>10</v>
      </c>
      <c r="W46" s="1560">
        <f t="shared" si="14"/>
        <v>100</v>
      </c>
      <c r="X46" s="1553"/>
      <c r="Y46" s="3491"/>
      <c r="Z46" s="1561">
        <f t="shared" si="15"/>
        <v>111</v>
      </c>
      <c r="AA46" s="1562">
        <f t="shared" si="3"/>
        <v>1</v>
      </c>
      <c r="AB46" s="1562">
        <f t="shared" si="4"/>
        <v>1</v>
      </c>
      <c r="AC46" s="1562">
        <f t="shared" si="5"/>
        <v>1</v>
      </c>
    </row>
    <row r="47" spans="1:29" ht="15">
      <c r="A47" s="606" t="s">
        <v>736</v>
      </c>
      <c r="B47" s="886"/>
      <c r="C47" s="2591" t="s">
        <v>9</v>
      </c>
      <c r="D47" s="2592"/>
      <c r="E47" s="2593"/>
      <c r="F47" s="2594"/>
      <c r="G47" s="2595"/>
      <c r="H47" s="2596"/>
      <c r="I47" s="2593"/>
      <c r="J47" s="2596"/>
      <c r="K47" s="1591"/>
      <c r="L47" s="2129"/>
      <c r="M47" s="2130"/>
      <c r="N47" s="2119"/>
      <c r="O47" s="2130"/>
      <c r="P47" s="3373" t="str">
        <f>A47</f>
        <v>成交单价（元/平方米）</v>
      </c>
      <c r="Q47" s="3373"/>
      <c r="R47" s="3490">
        <f>E47</f>
        <v>0</v>
      </c>
      <c r="S47" s="3490"/>
      <c r="T47" s="3490">
        <f>G47</f>
        <v>0</v>
      </c>
      <c r="U47" s="3490"/>
      <c r="V47" s="3490">
        <f>I47</f>
        <v>0</v>
      </c>
      <c r="W47" s="3490"/>
      <c r="X47" s="1545"/>
      <c r="Y47" s="1567"/>
      <c r="Z47" s="1545"/>
      <c r="AA47" s="1545"/>
      <c r="AB47" s="1545"/>
      <c r="AC47" s="1545"/>
    </row>
    <row r="48" spans="1:29" ht="15.75" thickBot="1">
      <c r="A48" s="614" t="s">
        <v>2759</v>
      </c>
      <c r="B48" s="887"/>
      <c r="C48" s="2597" t="e">
        <f>R49</f>
        <v>#DIV/0!</v>
      </c>
      <c r="D48" s="2598"/>
      <c r="E48" s="2599" t="e">
        <f>R48</f>
        <v>#DIV/0!</v>
      </c>
      <c r="F48" s="2599"/>
      <c r="G48" s="2597" t="e">
        <f>T48</f>
        <v>#DIV/0!</v>
      </c>
      <c r="H48" s="2598"/>
      <c r="I48" s="2599" t="e">
        <f>V48</f>
        <v>#DIV/0!</v>
      </c>
      <c r="J48" s="2598"/>
      <c r="K48" s="1592"/>
      <c r="L48" s="2129"/>
      <c r="M48" s="2130"/>
      <c r="N48" s="2130"/>
      <c r="O48" s="2130"/>
      <c r="P48" s="3373" t="str">
        <f>A48</f>
        <v>比较价格（元/平方米）</v>
      </c>
      <c r="Q48" s="3373"/>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45"/>
      <c r="Y48" s="1545"/>
      <c r="Z48" s="1545"/>
      <c r="AA48" s="1545"/>
      <c r="AB48" s="1545"/>
      <c r="AC48" s="1545"/>
    </row>
    <row r="49" spans="1:29" ht="15.75" thickBot="1">
      <c r="A49" s="620" t="s">
        <v>2936</v>
      </c>
      <c r="B49" s="621"/>
      <c r="C49" s="2600" t="e">
        <f>R49</f>
        <v>#DIV/0!</v>
      </c>
      <c r="D49" s="2600"/>
      <c r="E49" s="2600"/>
      <c r="F49" s="2600"/>
      <c r="G49" s="2600"/>
      <c r="H49" s="2600"/>
      <c r="I49" s="2600"/>
      <c r="J49" s="2600"/>
      <c r="K49" s="1593"/>
      <c r="L49" s="2129"/>
      <c r="M49" s="2130"/>
      <c r="N49" s="2130"/>
      <c r="O49" s="2130"/>
      <c r="P49" s="3370" t="str">
        <f>A49</f>
        <v>估价对象XX用房的比较价格（楼面单价，元/平方米）</v>
      </c>
      <c r="Q49" s="3371"/>
      <c r="R49" s="3489" t="e">
        <f>IF(F1="售价",ROUND(AVERAGE(R48:V48),0),ROUND(AVERAGE(R48:V48),1))</f>
        <v>#DIV/0!</v>
      </c>
      <c r="S49" s="3489"/>
      <c r="T49" s="3489"/>
      <c r="U49" s="3489"/>
      <c r="V49" s="3489"/>
      <c r="W49" s="348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9" t="str">
        <f>YEAR(C7)&amp;"-"&amp;MONTH(C7)</f>
        <v>2019-9</v>
      </c>
      <c r="D58" s="2759">
        <f>EDATE(C58,-1)</f>
        <v>43678</v>
      </c>
      <c r="E58" s="2759">
        <f t="shared" ref="E58:O58" si="16">EDATE(D58,-1)</f>
        <v>43647</v>
      </c>
      <c r="F58" s="2759">
        <f t="shared" si="16"/>
        <v>43617</v>
      </c>
      <c r="G58" s="2759">
        <f t="shared" si="16"/>
        <v>43586</v>
      </c>
      <c r="H58" s="2759">
        <f t="shared" si="16"/>
        <v>43556</v>
      </c>
      <c r="I58" s="2759">
        <f t="shared" si="16"/>
        <v>43525</v>
      </c>
      <c r="J58" s="2759">
        <f t="shared" si="16"/>
        <v>43497</v>
      </c>
      <c r="K58" s="2759">
        <f t="shared" si="16"/>
        <v>43466</v>
      </c>
      <c r="L58" s="2759">
        <f t="shared" si="16"/>
        <v>43435</v>
      </c>
      <c r="M58" s="2759">
        <f t="shared" si="16"/>
        <v>43405</v>
      </c>
      <c r="N58" s="2759">
        <f t="shared" si="16"/>
        <v>43374</v>
      </c>
      <c r="O58" s="2759">
        <f t="shared" si="16"/>
        <v>43344</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2556</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2557</v>
      </c>
      <c r="C82" s="2562" t="s">
        <v>2558</v>
      </c>
      <c r="D82" s="2562" t="s">
        <v>2559</v>
      </c>
      <c r="E82" s="2562" t="s">
        <v>2560</v>
      </c>
      <c r="F82" s="2562" t="s">
        <v>2561</v>
      </c>
      <c r="G82" s="2562" t="s">
        <v>2562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2256</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746</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111</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747</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750</v>
      </c>
      <c r="C107" s="717"/>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751</v>
      </c>
      <c r="C109" s="687"/>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753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2555</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754</v>
      </c>
      <c r="C118" s="717"/>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733</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N19" sqref="N1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4"/>
      <c r="E1" s="505"/>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521</v>
      </c>
      <c r="B4" s="512"/>
      <c r="C4" s="3379" t="s">
        <v>522</v>
      </c>
      <c r="D4" s="3380"/>
      <c r="E4" s="3413" t="s">
        <v>523</v>
      </c>
      <c r="F4" s="3414"/>
      <c r="G4" s="3379" t="s">
        <v>524</v>
      </c>
      <c r="H4" s="3380"/>
      <c r="I4" s="3379" t="s">
        <v>525</v>
      </c>
      <c r="J4" s="3380"/>
      <c r="K4" s="513" t="s">
        <v>526</v>
      </c>
      <c r="L4" s="2118"/>
      <c r="M4" s="2119"/>
      <c r="N4" s="2119"/>
      <c r="O4" s="2119"/>
      <c r="P4" s="3381" t="s">
        <v>527</v>
      </c>
      <c r="Q4" s="3382"/>
      <c r="R4" s="3387" t="s">
        <v>523</v>
      </c>
      <c r="S4" s="3388"/>
      <c r="T4" s="3387" t="s">
        <v>524</v>
      </c>
      <c r="U4" s="3388"/>
      <c r="V4" s="3374" t="s">
        <v>525</v>
      </c>
      <c r="W4" s="3374"/>
      <c r="X4" s="1553"/>
      <c r="Y4" s="3387" t="s">
        <v>527</v>
      </c>
      <c r="Z4" s="3388"/>
      <c r="AA4" s="3376" t="s">
        <v>523</v>
      </c>
      <c r="AB4" s="3374" t="s">
        <v>524</v>
      </c>
      <c r="AC4" s="3376" t="s">
        <v>525</v>
      </c>
    </row>
    <row r="5" spans="1:29" ht="15">
      <c r="A5" s="514"/>
      <c r="B5" s="515"/>
      <c r="C5" s="3395" t="s">
        <v>2930</v>
      </c>
      <c r="D5" s="3396"/>
      <c r="E5" s="3415" t="s">
        <v>2931</v>
      </c>
      <c r="F5" s="3416"/>
      <c r="G5" s="3395" t="s">
        <v>2932</v>
      </c>
      <c r="H5" s="3396"/>
      <c r="I5" s="3395" t="s">
        <v>2933</v>
      </c>
      <c r="J5" s="3396"/>
      <c r="K5" s="513"/>
      <c r="L5" s="2118"/>
      <c r="M5" s="2119"/>
      <c r="N5" s="2119"/>
      <c r="O5" s="2119"/>
      <c r="P5" s="3383"/>
      <c r="Q5" s="3384"/>
      <c r="R5" s="3389"/>
      <c r="S5" s="3390"/>
      <c r="T5" s="3389"/>
      <c r="U5" s="3390"/>
      <c r="V5" s="3374"/>
      <c r="W5" s="3374"/>
      <c r="X5" s="1553"/>
      <c r="Y5" s="3389"/>
      <c r="Z5" s="3390"/>
      <c r="AA5" s="3377"/>
      <c r="AB5" s="3374"/>
      <c r="AC5" s="3377"/>
    </row>
    <row r="6" spans="1:29" ht="15.75" thickBot="1">
      <c r="A6" s="516"/>
      <c r="B6" s="517"/>
      <c r="C6" s="3393" t="s">
        <v>2934</v>
      </c>
      <c r="D6" s="3394"/>
      <c r="E6" s="3411" t="s">
        <v>2934</v>
      </c>
      <c r="F6" s="3412"/>
      <c r="G6" s="3393" t="s">
        <v>2934</v>
      </c>
      <c r="H6" s="3394"/>
      <c r="I6" s="3393" t="s">
        <v>2934</v>
      </c>
      <c r="J6" s="3394"/>
      <c r="K6" s="513" t="s">
        <v>528</v>
      </c>
      <c r="L6" s="2118"/>
      <c r="M6" s="2119"/>
      <c r="N6" s="2119"/>
      <c r="O6" s="2119"/>
      <c r="P6" s="3385"/>
      <c r="Q6" s="3386"/>
      <c r="R6" s="3389"/>
      <c r="S6" s="3390"/>
      <c r="T6" s="3391"/>
      <c r="U6" s="3392"/>
      <c r="V6" s="3374"/>
      <c r="W6" s="3374"/>
      <c r="X6" s="1553"/>
      <c r="Y6" s="3391"/>
      <c r="Z6" s="3392"/>
      <c r="AA6" s="3378"/>
      <c r="AB6" s="3374"/>
      <c r="AC6" s="3378"/>
    </row>
    <row r="7" spans="1:29" s="1215" customFormat="1" ht="15.75" thickBot="1">
      <c r="A7" s="2867"/>
      <c r="B7" s="2874" t="s">
        <v>529</v>
      </c>
      <c r="C7" s="518">
        <f>'数据-取费表'!B2</f>
        <v>43734</v>
      </c>
      <c r="D7" s="519">
        <v>100</v>
      </c>
      <c r="E7" s="520"/>
      <c r="F7" s="521">
        <f>SUMIF(58:58,YEAR(E7)&amp;"-"&amp;MONTH(E7),59:59)</f>
        <v>0</v>
      </c>
      <c r="G7" s="520"/>
      <c r="H7" s="519">
        <f>SUMIF(58:58,YEAR(G7)&amp;"-"&amp;MONTH(G7),59:59)</f>
        <v>0</v>
      </c>
      <c r="I7" s="520"/>
      <c r="J7" s="519">
        <f>SUMIF(58:58,YEAR(I7)&amp;"-"&amp;MONTH(I7),59:59)</f>
        <v>0</v>
      </c>
      <c r="K7" s="523"/>
      <c r="L7" s="2120"/>
      <c r="M7" s="2121"/>
      <c r="N7" s="2121"/>
      <c r="O7" s="2121"/>
      <c r="P7" s="3404" t="s">
        <v>530</v>
      </c>
      <c r="Q7" s="3406"/>
      <c r="R7" s="1554" t="s">
        <v>8</v>
      </c>
      <c r="S7" s="1555">
        <f t="shared" ref="S7:S15" si="0">F7</f>
        <v>0</v>
      </c>
      <c r="T7" s="1554" t="s">
        <v>8</v>
      </c>
      <c r="U7" s="1555">
        <f t="shared" ref="U7:U15" si="1">H7</f>
        <v>0</v>
      </c>
      <c r="V7" s="1554" t="s">
        <v>8</v>
      </c>
      <c r="W7" s="1555">
        <f t="shared" ref="W7:W15" si="2">J7</f>
        <v>0</v>
      </c>
      <c r="X7" s="1556"/>
      <c r="Y7" s="3404" t="s">
        <v>530</v>
      </c>
      <c r="Z7" s="3405"/>
      <c r="AA7" s="1557" t="e">
        <f>D7/F7</f>
        <v>#DIV/0!</v>
      </c>
      <c r="AB7" s="1557" t="e">
        <f>D7/H7</f>
        <v>#DIV/0!</v>
      </c>
      <c r="AC7" s="1557" t="e">
        <f>D7/J7</f>
        <v>#DIV/0!</v>
      </c>
    </row>
    <row r="8" spans="1:29" s="1215" customFormat="1" ht="15.75" thickBot="1">
      <c r="A8" s="2868"/>
      <c r="B8" s="2875" t="s">
        <v>531</v>
      </c>
      <c r="C8" s="524" t="s">
        <v>576</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46" si="3">D8/F8</f>
        <v>#DIV/0!</v>
      </c>
      <c r="AB8" s="1557" t="e">
        <f t="shared" ref="AB8:AB46" si="4">D8/H8</f>
        <v>#DIV/0!</v>
      </c>
      <c r="AC8" s="1557" t="e">
        <f t="shared" ref="AC8:AC46" si="5">D8/J8</f>
        <v>#DIV/0!</v>
      </c>
    </row>
    <row r="9" spans="1:29" s="1215" customFormat="1" ht="15">
      <c r="A9" s="2869"/>
      <c r="B9" s="2876" t="s">
        <v>2755</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73" t="s">
        <v>535</v>
      </c>
      <c r="Q9" s="1146" t="str">
        <f t="shared" ref="Q9:Q15" si="6">B9</f>
        <v>用途</v>
      </c>
      <c r="R9" s="1554" t="s">
        <v>8</v>
      </c>
      <c r="S9" s="1555">
        <f t="shared" si="0"/>
        <v>100</v>
      </c>
      <c r="T9" s="1554" t="s">
        <v>8</v>
      </c>
      <c r="U9" s="1555">
        <f t="shared" si="1"/>
        <v>100</v>
      </c>
      <c r="V9" s="1554" t="s">
        <v>8</v>
      </c>
      <c r="W9" s="1555">
        <f t="shared" si="2"/>
        <v>100</v>
      </c>
      <c r="X9" s="1556"/>
      <c r="Y9" s="3315" t="s">
        <v>536</v>
      </c>
      <c r="Z9" s="1145" t="str">
        <f t="shared" ref="Z9:Z15" si="7">Q9</f>
        <v>用途</v>
      </c>
      <c r="AA9" s="1557">
        <f t="shared" si="3"/>
        <v>1</v>
      </c>
      <c r="AB9" s="1557">
        <f t="shared" si="4"/>
        <v>1</v>
      </c>
      <c r="AC9" s="1557">
        <f t="shared" si="5"/>
        <v>1</v>
      </c>
    </row>
    <row r="10" spans="1:29" s="1333" customFormat="1" ht="27">
      <c r="A10" s="2870"/>
      <c r="B10" s="2875" t="s">
        <v>2756</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71"/>
      <c r="B11" s="2875"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73"/>
      <c r="Q11" s="1146" t="str">
        <f t="shared" si="6"/>
        <v>容积率</v>
      </c>
      <c r="R11" s="1554" t="s">
        <v>8</v>
      </c>
      <c r="S11" s="1555" t="e">
        <f t="shared" si="0"/>
        <v>#N/A</v>
      </c>
      <c r="T11" s="1554" t="s">
        <v>8</v>
      </c>
      <c r="U11" s="1555" t="e">
        <f t="shared" si="1"/>
        <v>#N/A</v>
      </c>
      <c r="V11" s="1554" t="s">
        <v>8</v>
      </c>
      <c r="W11" s="1555" t="e">
        <f t="shared" si="2"/>
        <v>#N/A</v>
      </c>
      <c r="X11" s="1556"/>
      <c r="Y11" s="3315"/>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73"/>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73"/>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73"/>
      <c r="Q14" s="1146">
        <f t="shared" si="6"/>
        <v>111</v>
      </c>
      <c r="R14" s="1554" t="s">
        <v>8</v>
      </c>
      <c r="S14" s="1555">
        <f t="shared" si="0"/>
        <v>100</v>
      </c>
      <c r="T14" s="1554" t="s">
        <v>8</v>
      </c>
      <c r="U14" s="1555">
        <f t="shared" si="1"/>
        <v>100</v>
      </c>
      <c r="V14" s="1554" t="s">
        <v>8</v>
      </c>
      <c r="W14" s="1555">
        <f t="shared" si="2"/>
        <v>100</v>
      </c>
      <c r="X14" s="1556"/>
      <c r="Y14" s="3315"/>
      <c r="Z14" s="1145">
        <f t="shared" si="7"/>
        <v>111</v>
      </c>
      <c r="AA14" s="1557">
        <f t="shared" si="3"/>
        <v>1</v>
      </c>
      <c r="AB14" s="1557">
        <f t="shared" si="4"/>
        <v>1</v>
      </c>
      <c r="AC14" s="1557">
        <f t="shared" si="5"/>
        <v>1</v>
      </c>
    </row>
    <row r="15" spans="1:29" ht="71.25">
      <c r="A15" s="2865" t="s">
        <v>2753</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407" t="s">
        <v>540</v>
      </c>
      <c r="Q15" s="1558" t="str">
        <f t="shared" si="6"/>
        <v>商业繁华度</v>
      </c>
      <c r="R15" s="1559" t="s">
        <v>8</v>
      </c>
      <c r="S15" s="1560">
        <f t="shared" si="0"/>
        <v>100</v>
      </c>
      <c r="T15" s="1559" t="s">
        <v>8</v>
      </c>
      <c r="U15" s="1560">
        <f t="shared" si="1"/>
        <v>100</v>
      </c>
      <c r="V15" s="1559" t="s">
        <v>8</v>
      </c>
      <c r="W15" s="1560">
        <f t="shared" si="2"/>
        <v>100</v>
      </c>
      <c r="X15" s="1553"/>
      <c r="Y15" s="3407"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08"/>
      <c r="Q16" s="1558"/>
      <c r="R16" s="1559"/>
      <c r="S16" s="1560"/>
      <c r="T16" s="1559"/>
      <c r="U16" s="1560"/>
      <c r="V16" s="1559"/>
      <c r="W16" s="1560"/>
      <c r="X16" s="1553"/>
      <c r="Y16" s="3408"/>
      <c r="Z16" s="1561"/>
      <c r="AA16" s="1562">
        <v>1</v>
      </c>
      <c r="AB16" s="1562">
        <v>1</v>
      </c>
      <c r="AC16" s="156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2.75">
      <c r="A19" s="531"/>
      <c r="B19" s="2564"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8.5">
      <c r="A21" s="531"/>
      <c r="B21" s="2557"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408"/>
      <c r="Q22" s="2543"/>
      <c r="R22" s="1559"/>
      <c r="S22" s="1560"/>
      <c r="T22" s="1559"/>
      <c r="U22" s="1560"/>
      <c r="V22" s="1559"/>
      <c r="W22" s="1560"/>
      <c r="X22" s="2545"/>
      <c r="Y22" s="3408"/>
      <c r="Z22" s="2544"/>
      <c r="AA22" s="1562">
        <v>1</v>
      </c>
      <c r="AB22" s="1562">
        <v>1</v>
      </c>
      <c r="AC22" s="1562">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408"/>
      <c r="Q23" s="1558" t="str">
        <f>B23</f>
        <v>自然及人文环境</v>
      </c>
      <c r="R23" s="1559" t="s">
        <v>8</v>
      </c>
      <c r="S23" s="1560">
        <f>F23</f>
        <v>100</v>
      </c>
      <c r="T23" s="1559" t="s">
        <v>8</v>
      </c>
      <c r="U23" s="1560">
        <f>H23</f>
        <v>100</v>
      </c>
      <c r="V23" s="1559" t="s">
        <v>8</v>
      </c>
      <c r="W23" s="1560">
        <f>J23</f>
        <v>100</v>
      </c>
      <c r="X23" s="1553"/>
      <c r="Y23" s="3408"/>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408"/>
      <c r="Q25" s="1558" t="str">
        <f t="shared" ref="Q25:Q46" si="11">B25</f>
        <v>临街状况</v>
      </c>
      <c r="R25" s="1559" t="s">
        <v>8</v>
      </c>
      <c r="S25" s="1560">
        <f>F25</f>
        <v>100</v>
      </c>
      <c r="T25" s="1559" t="s">
        <v>8</v>
      </c>
      <c r="U25" s="1560">
        <f>H25</f>
        <v>100</v>
      </c>
      <c r="V25" s="1559" t="s">
        <v>8</v>
      </c>
      <c r="W25" s="1560">
        <f>J25</f>
        <v>100</v>
      </c>
      <c r="X25" s="1553"/>
      <c r="Y25" s="3408"/>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408"/>
      <c r="Q26" s="1558" t="str">
        <f t="shared" si="11"/>
        <v>平面位置/可视性</v>
      </c>
      <c r="R26" s="1559" t="s">
        <v>8</v>
      </c>
      <c r="S26" s="1560">
        <f>F26</f>
        <v>100</v>
      </c>
      <c r="T26" s="1559" t="s">
        <v>8</v>
      </c>
      <c r="U26" s="1560">
        <f>H26</f>
        <v>100</v>
      </c>
      <c r="V26" s="1559" t="s">
        <v>8</v>
      </c>
      <c r="W26" s="1560">
        <f>J26</f>
        <v>100</v>
      </c>
      <c r="X26" s="1553"/>
      <c r="Y26" s="3408"/>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408"/>
      <c r="Q27" s="1146" t="str">
        <f t="shared" si="11"/>
        <v>人流量</v>
      </c>
      <c r="R27" s="1554" t="s">
        <v>8</v>
      </c>
      <c r="S27" s="1555">
        <f>F27</f>
        <v>100</v>
      </c>
      <c r="T27" s="1554" t="s">
        <v>8</v>
      </c>
      <c r="U27" s="1555">
        <f>H27</f>
        <v>100</v>
      </c>
      <c r="V27" s="1554" t="s">
        <v>8</v>
      </c>
      <c r="W27" s="1555">
        <f>J27</f>
        <v>100</v>
      </c>
      <c r="X27" s="1556"/>
      <c r="Y27" s="3408"/>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40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8"/>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408"/>
      <c r="Q29" s="1558">
        <f t="shared" si="11"/>
        <v>111</v>
      </c>
      <c r="R29" s="1559" t="s">
        <v>8</v>
      </c>
      <c r="S29" s="1560">
        <f t="shared" si="12"/>
        <v>100</v>
      </c>
      <c r="T29" s="1559" t="s">
        <v>8</v>
      </c>
      <c r="U29" s="1560">
        <f t="shared" si="13"/>
        <v>100</v>
      </c>
      <c r="V29" s="1559" t="s">
        <v>8</v>
      </c>
      <c r="W29" s="1560">
        <f t="shared" si="14"/>
        <v>100</v>
      </c>
      <c r="X29" s="1553"/>
      <c r="Y29" s="3408"/>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
      <c r="A32" s="2862"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409" t="s">
        <v>550</v>
      </c>
      <c r="Q32" s="1558" t="str">
        <f t="shared" si="11"/>
        <v>商业类型</v>
      </c>
      <c r="R32" s="1559" t="s">
        <v>8</v>
      </c>
      <c r="S32" s="1560">
        <f t="shared" si="12"/>
        <v>100</v>
      </c>
      <c r="T32" s="1559" t="s">
        <v>8</v>
      </c>
      <c r="U32" s="1560">
        <f t="shared" si="13"/>
        <v>100</v>
      </c>
      <c r="V32" s="1559" t="s">
        <v>8</v>
      </c>
      <c r="W32" s="1560">
        <f t="shared" si="14"/>
        <v>100</v>
      </c>
      <c r="X32" s="1553"/>
      <c r="Y32" s="3410"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10"/>
      <c r="Q33" s="1590" t="str">
        <f t="shared" si="11"/>
        <v>项目建筑规模</v>
      </c>
      <c r="R33" s="1563" t="s">
        <v>8</v>
      </c>
      <c r="S33" s="1564" t="e">
        <f t="shared" si="12"/>
        <v>#N/A</v>
      </c>
      <c r="T33" s="1563" t="s">
        <v>8</v>
      </c>
      <c r="U33" s="1564" t="e">
        <f t="shared" si="13"/>
        <v>#N/A</v>
      </c>
      <c r="V33" s="1563" t="s">
        <v>8</v>
      </c>
      <c r="W33" s="1564" t="e">
        <f t="shared" si="14"/>
        <v>#N/A</v>
      </c>
      <c r="X33" s="1565"/>
      <c r="Y33" s="3410"/>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10"/>
      <c r="Q34" s="1558" t="str">
        <f t="shared" si="11"/>
        <v>建筑结构</v>
      </c>
      <c r="R34" s="1559" t="s">
        <v>8</v>
      </c>
      <c r="S34" s="1560">
        <f t="shared" si="12"/>
        <v>100</v>
      </c>
      <c r="T34" s="1559" t="s">
        <v>8</v>
      </c>
      <c r="U34" s="1560">
        <f t="shared" si="13"/>
        <v>100</v>
      </c>
      <c r="V34" s="1559" t="s">
        <v>8</v>
      </c>
      <c r="W34" s="1560">
        <f t="shared" si="14"/>
        <v>100</v>
      </c>
      <c r="X34" s="1553"/>
      <c r="Y34" s="3410"/>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10"/>
      <c r="Q35" s="1558" t="str">
        <f t="shared" si="11"/>
        <v>公共部分装修</v>
      </c>
      <c r="R35" s="1559" t="s">
        <v>8</v>
      </c>
      <c r="S35" s="1560">
        <f t="shared" si="12"/>
        <v>100</v>
      </c>
      <c r="T35" s="1559" t="s">
        <v>8</v>
      </c>
      <c r="U35" s="1560">
        <f t="shared" si="13"/>
        <v>100</v>
      </c>
      <c r="V35" s="1559" t="s">
        <v>8</v>
      </c>
      <c r="W35" s="1560">
        <f t="shared" si="14"/>
        <v>100</v>
      </c>
      <c r="X35" s="1553"/>
      <c r="Y35" s="3410"/>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10"/>
      <c r="Q36" s="1558" t="str">
        <f t="shared" si="11"/>
        <v>成新度</v>
      </c>
      <c r="R36" s="1559" t="s">
        <v>8</v>
      </c>
      <c r="S36" s="1560" t="e">
        <f t="shared" si="12"/>
        <v>#N/A</v>
      </c>
      <c r="T36" s="1559" t="s">
        <v>8</v>
      </c>
      <c r="U36" s="1560" t="e">
        <f t="shared" si="13"/>
        <v>#N/A</v>
      </c>
      <c r="V36" s="1559" t="s">
        <v>8</v>
      </c>
      <c r="W36" s="1560" t="e">
        <f t="shared" si="14"/>
        <v>#N/A</v>
      </c>
      <c r="X36" s="1553"/>
      <c r="Y36" s="3410"/>
      <c r="Z36" s="1561" t="str">
        <f t="shared" si="15"/>
        <v>成新度</v>
      </c>
      <c r="AA36" s="1562" t="e">
        <f t="shared" si="3"/>
        <v>#N/A</v>
      </c>
      <c r="AB36" s="1562" t="e">
        <f t="shared" si="4"/>
        <v>#N/A</v>
      </c>
      <c r="AC36" s="1562" t="e">
        <f t="shared" si="5"/>
        <v>#N/A</v>
      </c>
    </row>
    <row r="37" spans="1:29" s="1215" customFormat="1" ht="15">
      <c r="A37" s="599"/>
      <c r="B37" s="1880"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10"/>
      <c r="Q37" s="1146" t="str">
        <f t="shared" si="11"/>
        <v>市政基础设施</v>
      </c>
      <c r="R37" s="1554" t="s">
        <v>8</v>
      </c>
      <c r="S37" s="1555">
        <f t="shared" si="12"/>
        <v>100</v>
      </c>
      <c r="T37" s="1554" t="s">
        <v>8</v>
      </c>
      <c r="U37" s="1555">
        <f t="shared" si="13"/>
        <v>100</v>
      </c>
      <c r="V37" s="1554" t="s">
        <v>8</v>
      </c>
      <c r="W37" s="1555">
        <f t="shared" si="14"/>
        <v>100</v>
      </c>
      <c r="X37" s="1556"/>
      <c r="Y37" s="3410"/>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10" t="s">
        <v>766</v>
      </c>
      <c r="Q38" s="1558" t="str">
        <f t="shared" si="11"/>
        <v>业态</v>
      </c>
      <c r="R38" s="1559" t="s">
        <v>8</v>
      </c>
      <c r="S38" s="1560">
        <f t="shared" si="12"/>
        <v>100</v>
      </c>
      <c r="T38" s="1559" t="s">
        <v>8</v>
      </c>
      <c r="U38" s="1560">
        <f t="shared" si="13"/>
        <v>100</v>
      </c>
      <c r="V38" s="1559" t="s">
        <v>8</v>
      </c>
      <c r="W38" s="1560">
        <f t="shared" si="14"/>
        <v>100</v>
      </c>
      <c r="X38" s="1553"/>
      <c r="Y38" s="3410"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10"/>
      <c r="Q39" s="1558" t="str">
        <f t="shared" si="11"/>
        <v>层高</v>
      </c>
      <c r="R39" s="1559" t="s">
        <v>8</v>
      </c>
      <c r="S39" s="1560">
        <f t="shared" si="12"/>
        <v>100</v>
      </c>
      <c r="T39" s="1559" t="s">
        <v>8</v>
      </c>
      <c r="U39" s="1560">
        <f t="shared" si="13"/>
        <v>100</v>
      </c>
      <c r="V39" s="1559" t="s">
        <v>8</v>
      </c>
      <c r="W39" s="1560">
        <f t="shared" si="14"/>
        <v>100</v>
      </c>
      <c r="X39" s="1553"/>
      <c r="Y39" s="3410"/>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10"/>
      <c r="Q40" s="1558" t="str">
        <f t="shared" si="11"/>
        <v>单套建筑面积</v>
      </c>
      <c r="R40" s="1559" t="s">
        <v>8</v>
      </c>
      <c r="S40" s="1560">
        <f t="shared" si="12"/>
        <v>100</v>
      </c>
      <c r="T40" s="1559" t="s">
        <v>8</v>
      </c>
      <c r="U40" s="1560">
        <f t="shared" si="13"/>
        <v>100</v>
      </c>
      <c r="V40" s="1559" t="s">
        <v>8</v>
      </c>
      <c r="W40" s="1560">
        <f t="shared" si="14"/>
        <v>100</v>
      </c>
      <c r="X40" s="1553"/>
      <c r="Y40" s="3410"/>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10"/>
      <c r="Q41" s="1590" t="str">
        <f t="shared" si="11"/>
        <v>进深比</v>
      </c>
      <c r="R41" s="1563" t="s">
        <v>8</v>
      </c>
      <c r="S41" s="1564">
        <f t="shared" si="12"/>
        <v>100</v>
      </c>
      <c r="T41" s="1563" t="s">
        <v>8</v>
      </c>
      <c r="U41" s="1564">
        <f t="shared" si="13"/>
        <v>100</v>
      </c>
      <c r="V41" s="1563" t="s">
        <v>8</v>
      </c>
      <c r="W41" s="1564">
        <f t="shared" si="14"/>
        <v>100</v>
      </c>
      <c r="X41" s="1565"/>
      <c r="Y41" s="3410"/>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10"/>
      <c r="Q42" s="1558" t="str">
        <f t="shared" si="11"/>
        <v>内部装修</v>
      </c>
      <c r="R42" s="1559" t="s">
        <v>8</v>
      </c>
      <c r="S42" s="1560">
        <f t="shared" si="12"/>
        <v>100</v>
      </c>
      <c r="T42" s="1559" t="s">
        <v>8</v>
      </c>
      <c r="U42" s="1560">
        <f t="shared" si="13"/>
        <v>100</v>
      </c>
      <c r="V42" s="1559" t="s">
        <v>8</v>
      </c>
      <c r="W42" s="1560">
        <f t="shared" si="14"/>
        <v>100</v>
      </c>
      <c r="X42" s="1553"/>
      <c r="Y42" s="3410"/>
      <c r="Z42" s="1561" t="str">
        <f t="shared" si="15"/>
        <v>内部装修</v>
      </c>
      <c r="AA42" s="1562">
        <f t="shared" si="3"/>
        <v>1</v>
      </c>
      <c r="AB42" s="1562">
        <f t="shared" si="4"/>
        <v>1</v>
      </c>
      <c r="AC42" s="1562">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10"/>
      <c r="Q43" s="1558" t="str">
        <f t="shared" si="11"/>
        <v>内部装修维护情况</v>
      </c>
      <c r="R43" s="1559" t="s">
        <v>8</v>
      </c>
      <c r="S43" s="1560">
        <f t="shared" si="12"/>
        <v>100</v>
      </c>
      <c r="T43" s="1559" t="s">
        <v>8</v>
      </c>
      <c r="U43" s="1560">
        <f t="shared" si="13"/>
        <v>100</v>
      </c>
      <c r="V43" s="1559" t="s">
        <v>8</v>
      </c>
      <c r="W43" s="1560">
        <f t="shared" si="14"/>
        <v>100</v>
      </c>
      <c r="X43" s="1553"/>
      <c r="Y43" s="3410"/>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10"/>
      <c r="Q44" s="1146">
        <f t="shared" si="11"/>
        <v>111</v>
      </c>
      <c r="R44" s="1554" t="s">
        <v>8</v>
      </c>
      <c r="S44" s="1555">
        <f t="shared" si="12"/>
        <v>100</v>
      </c>
      <c r="T44" s="1554" t="s">
        <v>8</v>
      </c>
      <c r="U44" s="1555">
        <f t="shared" si="13"/>
        <v>100</v>
      </c>
      <c r="V44" s="1554" t="s">
        <v>8</v>
      </c>
      <c r="W44" s="1555">
        <f t="shared" si="14"/>
        <v>100</v>
      </c>
      <c r="X44" s="1556"/>
      <c r="Y44" s="3410"/>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10"/>
      <c r="Q45" s="1558">
        <f t="shared" si="11"/>
        <v>111</v>
      </c>
      <c r="R45" s="1559" t="s">
        <v>8</v>
      </c>
      <c r="S45" s="1560">
        <f t="shared" si="12"/>
        <v>100</v>
      </c>
      <c r="T45" s="1559" t="s">
        <v>8</v>
      </c>
      <c r="U45" s="1560">
        <f t="shared" si="13"/>
        <v>100</v>
      </c>
      <c r="V45" s="1559" t="s">
        <v>8</v>
      </c>
      <c r="W45" s="1560">
        <f t="shared" si="14"/>
        <v>100</v>
      </c>
      <c r="X45" s="1553"/>
      <c r="Y45" s="3410"/>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91"/>
      <c r="Q46" s="1558">
        <f t="shared" si="11"/>
        <v>111</v>
      </c>
      <c r="R46" s="1559" t="s">
        <v>8</v>
      </c>
      <c r="S46" s="1560">
        <f t="shared" si="12"/>
        <v>100</v>
      </c>
      <c r="T46" s="1559" t="s">
        <v>8</v>
      </c>
      <c r="U46" s="1560">
        <f t="shared" si="13"/>
        <v>100</v>
      </c>
      <c r="V46" s="1559" t="s">
        <v>8</v>
      </c>
      <c r="W46" s="1560">
        <f t="shared" si="14"/>
        <v>100</v>
      </c>
      <c r="X46" s="1553"/>
      <c r="Y46" s="3491"/>
      <c r="Z46" s="1561">
        <f t="shared" si="15"/>
        <v>111</v>
      </c>
      <c r="AA46" s="1562">
        <f t="shared" si="3"/>
        <v>1</v>
      </c>
      <c r="AB46" s="1562">
        <f t="shared" si="4"/>
        <v>1</v>
      </c>
      <c r="AC46" s="1562">
        <f t="shared" si="5"/>
        <v>1</v>
      </c>
    </row>
    <row r="47" spans="1:29" ht="15">
      <c r="A47" s="606" t="s">
        <v>736</v>
      </c>
      <c r="B47" s="886"/>
      <c r="C47" s="2591" t="s">
        <v>1</v>
      </c>
      <c r="D47" s="2592"/>
      <c r="E47" s="2593"/>
      <c r="F47" s="2594"/>
      <c r="G47" s="2595"/>
      <c r="H47" s="2596"/>
      <c r="I47" s="2593"/>
      <c r="J47" s="2596"/>
      <c r="K47" s="1596"/>
      <c r="L47" s="2129"/>
      <c r="M47" s="2130"/>
      <c r="N47" s="2119"/>
      <c r="O47" s="2130"/>
      <c r="P47" s="3373" t="str">
        <f>A47</f>
        <v>成交单价（元/平方米）</v>
      </c>
      <c r="Q47" s="3373"/>
      <c r="R47" s="3490">
        <f>E47</f>
        <v>0</v>
      </c>
      <c r="S47" s="3490"/>
      <c r="T47" s="3490">
        <f>G47</f>
        <v>0</v>
      </c>
      <c r="U47" s="3490"/>
      <c r="V47" s="3490">
        <f>I47</f>
        <v>0</v>
      </c>
      <c r="W47" s="3490"/>
      <c r="X47" s="1545"/>
      <c r="Y47" s="1567"/>
      <c r="Z47" s="1545"/>
      <c r="AA47" s="1545"/>
      <c r="AB47" s="1545"/>
      <c r="AC47" s="1545"/>
    </row>
    <row r="48" spans="1:29" ht="15.75" thickBot="1">
      <c r="A48" s="614" t="s">
        <v>2759</v>
      </c>
      <c r="B48" s="887"/>
      <c r="C48" s="2597" t="e">
        <f>R49</f>
        <v>#DIV/0!</v>
      </c>
      <c r="D48" s="2598"/>
      <c r="E48" s="2599" t="e">
        <f>R48</f>
        <v>#DIV/0!</v>
      </c>
      <c r="F48" s="2599"/>
      <c r="G48" s="2597" t="e">
        <f>T48</f>
        <v>#DIV/0!</v>
      </c>
      <c r="H48" s="2598"/>
      <c r="I48" s="2599" t="e">
        <f>V48</f>
        <v>#DIV/0!</v>
      </c>
      <c r="J48" s="2598"/>
      <c r="K48" s="1597"/>
      <c r="L48" s="2129"/>
      <c r="M48" s="2130"/>
      <c r="N48" s="2119"/>
      <c r="O48" s="2130"/>
      <c r="P48" s="3373" t="str">
        <f>A48</f>
        <v>比较价格（元/平方米）</v>
      </c>
      <c r="Q48" s="3373"/>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45"/>
      <c r="Y48" s="1545"/>
      <c r="Z48" s="1545"/>
      <c r="AA48" s="1545"/>
      <c r="AB48" s="1545"/>
      <c r="AC48" s="1545"/>
    </row>
    <row r="49" spans="1:29" ht="15.75" thickBot="1">
      <c r="A49" s="620" t="s">
        <v>2936</v>
      </c>
      <c r="B49" s="621"/>
      <c r="C49" s="2600" t="e">
        <f>R49</f>
        <v>#DIV/0!</v>
      </c>
      <c r="D49" s="2600"/>
      <c r="E49" s="2600"/>
      <c r="F49" s="2600"/>
      <c r="G49" s="2600"/>
      <c r="H49" s="2600"/>
      <c r="I49" s="2600"/>
      <c r="J49" s="2600"/>
      <c r="K49" s="1598"/>
      <c r="L49" s="2129"/>
      <c r="M49" s="2130"/>
      <c r="N49" s="2119"/>
      <c r="O49" s="2130"/>
      <c r="P49" s="3370" t="str">
        <f>A49</f>
        <v>估价对象XX用房的比较价格（楼面单价，元/平方米）</v>
      </c>
      <c r="Q49" s="3371"/>
      <c r="R49" s="3489" t="e">
        <f>IF(F1="售价",ROUND(AVERAGE(R48:V48),0),ROUND(AVERAGE(R48:V48),1))</f>
        <v>#DIV/0!</v>
      </c>
      <c r="S49" s="3489"/>
      <c r="T49" s="3489"/>
      <c r="U49" s="3489"/>
      <c r="V49" s="3489"/>
      <c r="W49" s="348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7" t="str">
        <f>YEAR(C7)&amp;"-"&amp;MONTH(C7)</f>
        <v>2019-9</v>
      </c>
      <c r="D58" s="2759">
        <f>EDATE(C58,-1)</f>
        <v>43678</v>
      </c>
      <c r="E58" s="2759">
        <f t="shared" ref="E58:O58" si="16">EDATE(D58,-1)</f>
        <v>43647</v>
      </c>
      <c r="F58" s="2759">
        <f t="shared" si="16"/>
        <v>43617</v>
      </c>
      <c r="G58" s="2759">
        <f t="shared" si="16"/>
        <v>43586</v>
      </c>
      <c r="H58" s="2759">
        <f t="shared" si="16"/>
        <v>43556</v>
      </c>
      <c r="I58" s="2759">
        <f t="shared" si="16"/>
        <v>43525</v>
      </c>
      <c r="J58" s="2759">
        <f t="shared" si="16"/>
        <v>43497</v>
      </c>
      <c r="K58" s="2759">
        <f t="shared" si="16"/>
        <v>43466</v>
      </c>
      <c r="L58" s="2759">
        <f t="shared" si="16"/>
        <v>43435</v>
      </c>
      <c r="M58" s="2759">
        <f t="shared" si="16"/>
        <v>43405</v>
      </c>
      <c r="N58" s="2759">
        <f t="shared" si="16"/>
        <v>43374</v>
      </c>
      <c r="O58" s="2759">
        <f t="shared" si="16"/>
        <v>43344</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2556</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2557</v>
      </c>
      <c r="C82" s="2562" t="s">
        <v>2558</v>
      </c>
      <c r="D82" s="2562" t="s">
        <v>2559</v>
      </c>
      <c r="E82" s="2562" t="s">
        <v>2560</v>
      </c>
      <c r="F82" s="2562" t="s">
        <v>2561</v>
      </c>
      <c r="G82" s="2562" t="s">
        <v>2562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771</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772</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751</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2555</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773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774</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775</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776</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2"/>
      <c r="G1" s="1586" t="s">
        <v>721</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521</v>
      </c>
      <c r="B4" s="512"/>
      <c r="C4" s="3379" t="s">
        <v>522</v>
      </c>
      <c r="D4" s="3380"/>
      <c r="E4" s="3413" t="s">
        <v>523</v>
      </c>
      <c r="F4" s="3414"/>
      <c r="G4" s="3379" t="s">
        <v>524</v>
      </c>
      <c r="H4" s="3380"/>
      <c r="I4" s="3379" t="s">
        <v>525</v>
      </c>
      <c r="J4" s="3380"/>
      <c r="K4" s="513" t="s">
        <v>526</v>
      </c>
      <c r="L4" s="2118"/>
      <c r="M4" s="2119"/>
      <c r="N4" s="2119"/>
      <c r="O4" s="2119"/>
      <c r="P4" s="3493" t="s">
        <v>527</v>
      </c>
      <c r="Q4" s="3382"/>
      <c r="R4" s="3387" t="s">
        <v>523</v>
      </c>
      <c r="S4" s="3388"/>
      <c r="T4" s="3387" t="s">
        <v>524</v>
      </c>
      <c r="U4" s="3388"/>
      <c r="V4" s="3374" t="s">
        <v>525</v>
      </c>
      <c r="W4" s="3374"/>
      <c r="X4" s="1553"/>
      <c r="Y4" s="3387" t="s">
        <v>527</v>
      </c>
      <c r="Z4" s="3388"/>
      <c r="AA4" s="3376" t="s">
        <v>523</v>
      </c>
      <c r="AB4" s="3376" t="s">
        <v>524</v>
      </c>
      <c r="AC4" s="3376" t="s">
        <v>525</v>
      </c>
    </row>
    <row r="5" spans="1:29" ht="15">
      <c r="A5" s="514"/>
      <c r="B5" s="515"/>
      <c r="C5" s="3395" t="s">
        <v>2930</v>
      </c>
      <c r="D5" s="3396"/>
      <c r="E5" s="3415" t="s">
        <v>2931</v>
      </c>
      <c r="F5" s="3416"/>
      <c r="G5" s="3395" t="s">
        <v>2932</v>
      </c>
      <c r="H5" s="3396"/>
      <c r="I5" s="3395" t="s">
        <v>2933</v>
      </c>
      <c r="J5" s="3396"/>
      <c r="K5" s="513"/>
      <c r="L5" s="2118"/>
      <c r="M5" s="2119"/>
      <c r="N5" s="2119"/>
      <c r="O5" s="2119"/>
      <c r="P5" s="3494"/>
      <c r="Q5" s="3384"/>
      <c r="R5" s="3389"/>
      <c r="S5" s="3390"/>
      <c r="T5" s="3389"/>
      <c r="U5" s="3390"/>
      <c r="V5" s="3374"/>
      <c r="W5" s="3374"/>
      <c r="X5" s="1553"/>
      <c r="Y5" s="3389"/>
      <c r="Z5" s="3390"/>
      <c r="AA5" s="3377"/>
      <c r="AB5" s="3377"/>
      <c r="AC5" s="3377"/>
    </row>
    <row r="6" spans="1:29" ht="15.75" thickBot="1">
      <c r="A6" s="516"/>
      <c r="B6" s="517"/>
      <c r="C6" s="3393" t="s">
        <v>2934</v>
      </c>
      <c r="D6" s="3394"/>
      <c r="E6" s="3411" t="s">
        <v>2934</v>
      </c>
      <c r="F6" s="3412"/>
      <c r="G6" s="3393" t="s">
        <v>2934</v>
      </c>
      <c r="H6" s="3394"/>
      <c r="I6" s="3393" t="s">
        <v>2934</v>
      </c>
      <c r="J6" s="3394"/>
      <c r="K6" s="513" t="s">
        <v>528</v>
      </c>
      <c r="L6" s="2118"/>
      <c r="M6" s="2119"/>
      <c r="N6" s="2119"/>
      <c r="O6" s="2119"/>
      <c r="P6" s="3495"/>
      <c r="Q6" s="3386"/>
      <c r="R6" s="3389"/>
      <c r="S6" s="3390"/>
      <c r="T6" s="3391"/>
      <c r="U6" s="3392"/>
      <c r="V6" s="3374"/>
      <c r="W6" s="3374"/>
      <c r="X6" s="1553"/>
      <c r="Y6" s="3391"/>
      <c r="Z6" s="3392"/>
      <c r="AA6" s="3378"/>
      <c r="AB6" s="3378"/>
      <c r="AC6" s="3378"/>
    </row>
    <row r="7" spans="1:29" s="1215" customFormat="1" ht="15.75" thickBot="1">
      <c r="A7" s="2867"/>
      <c r="B7" s="2874" t="s">
        <v>529</v>
      </c>
      <c r="C7" s="518">
        <f>'数据-取费表'!B2</f>
        <v>43734</v>
      </c>
      <c r="D7" s="519">
        <v>100</v>
      </c>
      <c r="E7" s="520"/>
      <c r="F7" s="521">
        <f>SUMIF(59:59,YEAR(E7)&amp;"-"&amp;MONTH(E7),60:60)</f>
        <v>0</v>
      </c>
      <c r="G7" s="520"/>
      <c r="H7" s="519">
        <f>SUMIF(59:59,YEAR(G7)&amp;"-"&amp;MONTH(G7),60:60)</f>
        <v>0</v>
      </c>
      <c r="I7" s="520"/>
      <c r="J7" s="519">
        <f>SUMIF(59:59,YEAR(I7)&amp;"-"&amp;MONTH(I7),60:60)</f>
        <v>0</v>
      </c>
      <c r="K7" s="523"/>
      <c r="L7" s="2120"/>
      <c r="M7" s="2121"/>
      <c r="N7" s="2121"/>
      <c r="O7" s="2121"/>
      <c r="P7" s="3406" t="s">
        <v>530</v>
      </c>
      <c r="Q7" s="3406"/>
      <c r="R7" s="1554" t="s">
        <v>8</v>
      </c>
      <c r="S7" s="1555">
        <f t="shared" ref="S7:S15" si="0">F7</f>
        <v>0</v>
      </c>
      <c r="T7" s="1554" t="s">
        <v>8</v>
      </c>
      <c r="U7" s="1555">
        <f t="shared" ref="U7:U15" si="1">H7</f>
        <v>0</v>
      </c>
      <c r="V7" s="1554" t="s">
        <v>8</v>
      </c>
      <c r="W7" s="1555">
        <f t="shared" ref="W7:W15" si="2">J7</f>
        <v>0</v>
      </c>
      <c r="X7" s="1556"/>
      <c r="Y7" s="3404" t="s">
        <v>530</v>
      </c>
      <c r="Z7" s="3405"/>
      <c r="AA7" s="1557" t="e">
        <f>D7/F7</f>
        <v>#DIV/0!</v>
      </c>
      <c r="AB7" s="1557" t="e">
        <f>D7/H7</f>
        <v>#DIV/0!</v>
      </c>
      <c r="AC7" s="1557" t="e">
        <f>D7/J7</f>
        <v>#DIV/0!</v>
      </c>
    </row>
    <row r="8" spans="1:29" s="1215" customFormat="1" ht="15.75" thickBot="1">
      <c r="A8" s="2868"/>
      <c r="B8" s="2875" t="s">
        <v>531</v>
      </c>
      <c r="C8" s="524" t="s">
        <v>576</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406" t="s">
        <v>533</v>
      </c>
      <c r="Q8" s="3405"/>
      <c r="R8" s="1554" t="s">
        <v>8</v>
      </c>
      <c r="S8" s="1555">
        <f t="shared" si="0"/>
        <v>0</v>
      </c>
      <c r="T8" s="1554" t="s">
        <v>8</v>
      </c>
      <c r="U8" s="1555">
        <f t="shared" si="1"/>
        <v>0</v>
      </c>
      <c r="V8" s="1554" t="s">
        <v>8</v>
      </c>
      <c r="W8" s="1555">
        <f t="shared" si="2"/>
        <v>0</v>
      </c>
      <c r="X8" s="1556"/>
      <c r="Y8" s="3404" t="s">
        <v>533</v>
      </c>
      <c r="Z8" s="3405"/>
      <c r="AA8" s="1557" t="e">
        <f t="shared" ref="AA8:AA47" si="3">D8/F8</f>
        <v>#DIV/0!</v>
      </c>
      <c r="AB8" s="1557" t="e">
        <f t="shared" ref="AB8:AB47" si="4">D8/H8</f>
        <v>#DIV/0!</v>
      </c>
      <c r="AC8" s="1557" t="e">
        <f t="shared" ref="AC8:AC47" si="5">D8/J8</f>
        <v>#DIV/0!</v>
      </c>
    </row>
    <row r="9" spans="1:29" s="1215" customFormat="1" ht="15">
      <c r="A9" s="2869"/>
      <c r="B9" s="2876" t="s">
        <v>2755</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73" t="s">
        <v>535</v>
      </c>
      <c r="Q9" s="1146" t="str">
        <f t="shared" ref="Q9:Q15" si="6">B9</f>
        <v>用途</v>
      </c>
      <c r="R9" s="1554" t="s">
        <v>8</v>
      </c>
      <c r="S9" s="1555">
        <f t="shared" si="0"/>
        <v>100</v>
      </c>
      <c r="T9" s="1554" t="s">
        <v>8</v>
      </c>
      <c r="U9" s="1555">
        <f t="shared" si="1"/>
        <v>100</v>
      </c>
      <c r="V9" s="1554" t="s">
        <v>8</v>
      </c>
      <c r="W9" s="1555">
        <f t="shared" si="2"/>
        <v>100</v>
      </c>
      <c r="X9" s="1556"/>
      <c r="Y9" s="3315" t="s">
        <v>536</v>
      </c>
      <c r="Z9" s="1145" t="str">
        <f t="shared" ref="Z9:Z15" si="7">Q9</f>
        <v>用途</v>
      </c>
      <c r="AA9" s="1557">
        <f t="shared" si="3"/>
        <v>1</v>
      </c>
      <c r="AB9" s="1557">
        <f t="shared" si="4"/>
        <v>1</v>
      </c>
      <c r="AC9" s="1557">
        <f t="shared" si="5"/>
        <v>1</v>
      </c>
    </row>
    <row r="10" spans="1:29" s="1333" customFormat="1" ht="27">
      <c r="A10" s="2870"/>
      <c r="B10" s="2875" t="s">
        <v>2756</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73"/>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71"/>
      <c r="B11" s="2875"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73"/>
      <c r="Q11" s="1146" t="str">
        <f t="shared" si="6"/>
        <v>容积率</v>
      </c>
      <c r="R11" s="1554" t="s">
        <v>8</v>
      </c>
      <c r="S11" s="1555" t="e">
        <f t="shared" si="0"/>
        <v>#N/A</v>
      </c>
      <c r="T11" s="1554" t="s">
        <v>8</v>
      </c>
      <c r="U11" s="1555" t="e">
        <f t="shared" si="1"/>
        <v>#N/A</v>
      </c>
      <c r="V11" s="1554" t="s">
        <v>8</v>
      </c>
      <c r="W11" s="1555" t="e">
        <f t="shared" si="2"/>
        <v>#N/A</v>
      </c>
      <c r="X11" s="1556"/>
      <c r="Y11" s="3315"/>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73"/>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73"/>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73"/>
      <c r="Q14" s="1146">
        <f t="shared" si="6"/>
        <v>111</v>
      </c>
      <c r="R14" s="1554" t="s">
        <v>8</v>
      </c>
      <c r="S14" s="1555">
        <f t="shared" si="0"/>
        <v>100</v>
      </c>
      <c r="T14" s="1554" t="s">
        <v>8</v>
      </c>
      <c r="U14" s="1555">
        <f t="shared" si="1"/>
        <v>100</v>
      </c>
      <c r="V14" s="1554" t="s">
        <v>8</v>
      </c>
      <c r="W14" s="1555">
        <f t="shared" si="2"/>
        <v>100</v>
      </c>
      <c r="X14" s="1556"/>
      <c r="Y14" s="3315"/>
      <c r="Z14" s="1145">
        <f t="shared" si="7"/>
        <v>111</v>
      </c>
      <c r="AA14" s="1557">
        <f t="shared" si="3"/>
        <v>1</v>
      </c>
      <c r="AB14" s="1557">
        <f t="shared" si="4"/>
        <v>1</v>
      </c>
      <c r="AC14" s="1557">
        <f t="shared" si="5"/>
        <v>1</v>
      </c>
    </row>
    <row r="15" spans="1:29" ht="71.25">
      <c r="A15" s="2865"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407" t="s">
        <v>540</v>
      </c>
      <c r="Q15" s="1558" t="str">
        <f t="shared" si="6"/>
        <v>办公集聚程度</v>
      </c>
      <c r="R15" s="1559" t="s">
        <v>8</v>
      </c>
      <c r="S15" s="1560">
        <f t="shared" si="0"/>
        <v>100</v>
      </c>
      <c r="T15" s="1559" t="s">
        <v>8</v>
      </c>
      <c r="U15" s="1560">
        <f t="shared" si="1"/>
        <v>100</v>
      </c>
      <c r="V15" s="1559" t="s">
        <v>8</v>
      </c>
      <c r="W15" s="1560">
        <f t="shared" si="2"/>
        <v>100</v>
      </c>
      <c r="X15" s="1553"/>
      <c r="Y15" s="3407"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408"/>
      <c r="Q16" s="1558"/>
      <c r="R16" s="1559"/>
      <c r="S16" s="1560"/>
      <c r="T16" s="1559"/>
      <c r="U16" s="1560"/>
      <c r="V16" s="1559"/>
      <c r="W16" s="1560"/>
      <c r="X16" s="1553"/>
      <c r="Y16" s="3408"/>
      <c r="Z16" s="1561"/>
      <c r="AA16" s="1562">
        <v>1</v>
      </c>
      <c r="AB16" s="1562">
        <v>1</v>
      </c>
      <c r="AC16" s="1562">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408"/>
      <c r="Q18" s="1558"/>
      <c r="R18" s="1559"/>
      <c r="S18" s="1560"/>
      <c r="T18" s="1559"/>
      <c r="U18" s="1560"/>
      <c r="V18" s="1559"/>
      <c r="W18" s="1560"/>
      <c r="X18" s="1553"/>
      <c r="Y18" s="3408"/>
      <c r="Z18" s="1561"/>
      <c r="AA18" s="1562">
        <v>1</v>
      </c>
      <c r="AB18" s="1562">
        <v>1</v>
      </c>
      <c r="AC18" s="1562">
        <v>1</v>
      </c>
    </row>
    <row r="19" spans="1:29" ht="42.75">
      <c r="A19" s="531"/>
      <c r="B19" s="2567"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408"/>
      <c r="Q20" s="1558"/>
      <c r="R20" s="1559"/>
      <c r="S20" s="1560"/>
      <c r="T20" s="1559"/>
      <c r="U20" s="1560"/>
      <c r="V20" s="1559"/>
      <c r="W20" s="1560"/>
      <c r="X20" s="1553"/>
      <c r="Y20" s="3408"/>
      <c r="Z20" s="1561"/>
      <c r="AA20" s="1562">
        <v>1</v>
      </c>
      <c r="AB20" s="1562">
        <v>1</v>
      </c>
      <c r="AC20" s="1562">
        <v>1</v>
      </c>
    </row>
    <row r="21" spans="1:29" ht="28.5">
      <c r="A21" s="531"/>
      <c r="B21" s="2555"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408"/>
      <c r="Q22" s="2543"/>
      <c r="R22" s="1559"/>
      <c r="S22" s="1560"/>
      <c r="T22" s="1559"/>
      <c r="U22" s="1560"/>
      <c r="V22" s="1559"/>
      <c r="W22" s="1560"/>
      <c r="X22" s="2545"/>
      <c r="Y22" s="3408"/>
      <c r="Z22" s="2544"/>
      <c r="AA22" s="1562">
        <v>1</v>
      </c>
      <c r="AB22" s="1562">
        <v>1</v>
      </c>
      <c r="AC22" s="1562">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408"/>
      <c r="Q24" s="1558"/>
      <c r="R24" s="1559"/>
      <c r="S24" s="1560"/>
      <c r="T24" s="1559"/>
      <c r="U24" s="1560"/>
      <c r="V24" s="1559"/>
      <c r="W24" s="1560"/>
      <c r="X24" s="1553"/>
      <c r="Y24" s="3408"/>
      <c r="Z24" s="1561"/>
      <c r="AA24" s="1562">
        <v>1</v>
      </c>
      <c r="AB24" s="1562">
        <v>1</v>
      </c>
      <c r="AC24" s="1562">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408"/>
      <c r="Q25" s="1558" t="str">
        <f>B25</f>
        <v>毗邻道路的类型与等级</v>
      </c>
      <c r="R25" s="1559" t="s">
        <v>8</v>
      </c>
      <c r="S25" s="1560">
        <f>F25</f>
        <v>100</v>
      </c>
      <c r="T25" s="1559" t="s">
        <v>8</v>
      </c>
      <c r="U25" s="1560">
        <f>H25</f>
        <v>100</v>
      </c>
      <c r="V25" s="1559" t="s">
        <v>8</v>
      </c>
      <c r="W25" s="1560">
        <f>J25</f>
        <v>100</v>
      </c>
      <c r="X25" s="1553"/>
      <c r="Y25" s="3408"/>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408"/>
      <c r="Q26" s="1558"/>
      <c r="R26" s="1559"/>
      <c r="S26" s="1560"/>
      <c r="T26" s="1559"/>
      <c r="U26" s="1560"/>
      <c r="V26" s="1559"/>
      <c r="W26" s="1560"/>
      <c r="X26" s="1553"/>
      <c r="Y26" s="3408"/>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408"/>
      <c r="Q27" s="1558" t="str">
        <f t="shared" ref="Q27:Q47" si="11">B27</f>
        <v>楼层</v>
      </c>
      <c r="R27" s="1559" t="s">
        <v>8</v>
      </c>
      <c r="S27" s="1560">
        <f>F27</f>
        <v>100</v>
      </c>
      <c r="T27" s="1559" t="s">
        <v>8</v>
      </c>
      <c r="U27" s="1560">
        <f>H27</f>
        <v>100</v>
      </c>
      <c r="V27" s="1559" t="s">
        <v>8</v>
      </c>
      <c r="W27" s="1560">
        <f>J27</f>
        <v>100</v>
      </c>
      <c r="X27" s="1553"/>
      <c r="Y27" s="3408"/>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408"/>
      <c r="Q28" s="1146" t="str">
        <f t="shared" si="11"/>
        <v>朝向</v>
      </c>
      <c r="R28" s="1554" t="s">
        <v>8</v>
      </c>
      <c r="S28" s="1555">
        <f>F28</f>
        <v>100</v>
      </c>
      <c r="T28" s="1554" t="s">
        <v>8</v>
      </c>
      <c r="U28" s="1555">
        <f>H28</f>
        <v>100</v>
      </c>
      <c r="V28" s="1554" t="s">
        <v>8</v>
      </c>
      <c r="W28" s="1555">
        <f>J28</f>
        <v>100</v>
      </c>
      <c r="X28" s="1556"/>
      <c r="Y28" s="3408"/>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408"/>
      <c r="Q29" s="1558">
        <f t="shared" si="11"/>
        <v>111</v>
      </c>
      <c r="R29" s="1559" t="s">
        <v>8</v>
      </c>
      <c r="S29" s="1560">
        <f t="shared" ref="S29:S47" si="12">F29</f>
        <v>100</v>
      </c>
      <c r="T29" s="1559" t="s">
        <v>8</v>
      </c>
      <c r="U29" s="1560">
        <f t="shared" ref="U29:U47" si="13">H29</f>
        <v>100</v>
      </c>
      <c r="V29" s="1559" t="s">
        <v>8</v>
      </c>
      <c r="W29" s="1560">
        <f t="shared" ref="W29:W47" si="14">J29</f>
        <v>100</v>
      </c>
      <c r="X29" s="1553"/>
      <c r="Y29" s="3408"/>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408"/>
      <c r="Q32" s="1558">
        <f t="shared" si="11"/>
        <v>111</v>
      </c>
      <c r="R32" s="1559" t="s">
        <v>8</v>
      </c>
      <c r="S32" s="1560">
        <f t="shared" si="12"/>
        <v>100</v>
      </c>
      <c r="T32" s="1559" t="s">
        <v>8</v>
      </c>
      <c r="U32" s="1560">
        <f t="shared" si="13"/>
        <v>100</v>
      </c>
      <c r="V32" s="1559" t="s">
        <v>8</v>
      </c>
      <c r="W32" s="1560">
        <f t="shared" si="14"/>
        <v>100</v>
      </c>
      <c r="X32" s="1553"/>
      <c r="Y32" s="3408"/>
      <c r="Z32" s="1561">
        <f t="shared" si="15"/>
        <v>111</v>
      </c>
      <c r="AA32" s="1562">
        <f t="shared" si="3"/>
        <v>1</v>
      </c>
      <c r="AB32" s="1562">
        <f t="shared" si="4"/>
        <v>1</v>
      </c>
      <c r="AC32" s="1562">
        <f t="shared" si="5"/>
        <v>1</v>
      </c>
    </row>
    <row r="33" spans="1:29" ht="15">
      <c r="A33" s="2862"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409" t="s">
        <v>550</v>
      </c>
      <c r="Q33" s="1558" t="str">
        <f t="shared" si="11"/>
        <v>建筑类型</v>
      </c>
      <c r="R33" s="1559" t="s">
        <v>8</v>
      </c>
      <c r="S33" s="1560">
        <f t="shared" si="12"/>
        <v>100</v>
      </c>
      <c r="T33" s="1559" t="s">
        <v>8</v>
      </c>
      <c r="U33" s="1560">
        <f t="shared" si="13"/>
        <v>100</v>
      </c>
      <c r="V33" s="1559" t="s">
        <v>8</v>
      </c>
      <c r="W33" s="1560">
        <f t="shared" si="14"/>
        <v>100</v>
      </c>
      <c r="X33" s="1553"/>
      <c r="Y33" s="3410"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10"/>
      <c r="Q34" s="1590" t="str">
        <f t="shared" si="11"/>
        <v>项目建筑规模</v>
      </c>
      <c r="R34" s="1563" t="s">
        <v>8</v>
      </c>
      <c r="S34" s="1564" t="e">
        <f t="shared" si="12"/>
        <v>#N/A</v>
      </c>
      <c r="T34" s="1563" t="s">
        <v>8</v>
      </c>
      <c r="U34" s="1564" t="e">
        <f t="shared" si="13"/>
        <v>#N/A</v>
      </c>
      <c r="V34" s="1563" t="s">
        <v>8</v>
      </c>
      <c r="W34" s="1564" t="e">
        <f t="shared" si="14"/>
        <v>#N/A</v>
      </c>
      <c r="X34" s="1565"/>
      <c r="Y34" s="3410"/>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10"/>
      <c r="Q35" s="1558" t="str">
        <f t="shared" si="11"/>
        <v>建筑结构</v>
      </c>
      <c r="R35" s="1559" t="s">
        <v>8</v>
      </c>
      <c r="S35" s="1560">
        <f t="shared" si="12"/>
        <v>100</v>
      </c>
      <c r="T35" s="1559" t="s">
        <v>8</v>
      </c>
      <c r="U35" s="1560">
        <f t="shared" si="13"/>
        <v>100</v>
      </c>
      <c r="V35" s="1559" t="s">
        <v>8</v>
      </c>
      <c r="W35" s="1560">
        <f t="shared" si="14"/>
        <v>100</v>
      </c>
      <c r="X35" s="1553"/>
      <c r="Y35" s="3410"/>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10"/>
      <c r="Q36" s="1558" t="str">
        <f t="shared" si="11"/>
        <v>公共部分装修</v>
      </c>
      <c r="R36" s="1559" t="s">
        <v>8</v>
      </c>
      <c r="S36" s="1560">
        <f t="shared" si="12"/>
        <v>100</v>
      </c>
      <c r="T36" s="1559" t="s">
        <v>8</v>
      </c>
      <c r="U36" s="1560">
        <f t="shared" si="13"/>
        <v>100</v>
      </c>
      <c r="V36" s="1559" t="s">
        <v>8</v>
      </c>
      <c r="W36" s="1560">
        <f t="shared" si="14"/>
        <v>100</v>
      </c>
      <c r="X36" s="1553"/>
      <c r="Y36" s="3410"/>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10"/>
      <c r="Q37" s="1558" t="str">
        <f t="shared" si="11"/>
        <v>成新度</v>
      </c>
      <c r="R37" s="1559" t="s">
        <v>8</v>
      </c>
      <c r="S37" s="1560" t="e">
        <f t="shared" si="12"/>
        <v>#N/A</v>
      </c>
      <c r="T37" s="1559" t="s">
        <v>8</v>
      </c>
      <c r="U37" s="1560" t="e">
        <f t="shared" si="13"/>
        <v>#N/A</v>
      </c>
      <c r="V37" s="1559" t="s">
        <v>8</v>
      </c>
      <c r="W37" s="1560" t="e">
        <f t="shared" si="14"/>
        <v>#N/A</v>
      </c>
      <c r="X37" s="1553"/>
      <c r="Y37" s="3410"/>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10"/>
      <c r="Q38" s="1146" t="str">
        <f t="shared" si="11"/>
        <v>写字楼等级</v>
      </c>
      <c r="R38" s="1554" t="s">
        <v>8</v>
      </c>
      <c r="S38" s="1555">
        <f t="shared" si="12"/>
        <v>100</v>
      </c>
      <c r="T38" s="1554" t="s">
        <v>8</v>
      </c>
      <c r="U38" s="1555">
        <f t="shared" si="13"/>
        <v>100</v>
      </c>
      <c r="V38" s="1554" t="s">
        <v>8</v>
      </c>
      <c r="W38" s="1555">
        <f t="shared" si="14"/>
        <v>100</v>
      </c>
      <c r="X38" s="1556"/>
      <c r="Y38" s="3410"/>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10" t="s">
        <v>550</v>
      </c>
      <c r="Q39" s="1558" t="str">
        <f t="shared" si="11"/>
        <v>物业管理</v>
      </c>
      <c r="R39" s="1559" t="s">
        <v>8</v>
      </c>
      <c r="S39" s="1560">
        <f t="shared" si="12"/>
        <v>100</v>
      </c>
      <c r="T39" s="1559" t="s">
        <v>8</v>
      </c>
      <c r="U39" s="1560">
        <f t="shared" si="13"/>
        <v>100</v>
      </c>
      <c r="V39" s="1559" t="s">
        <v>8</v>
      </c>
      <c r="W39" s="1560">
        <f t="shared" si="14"/>
        <v>100</v>
      </c>
      <c r="X39" s="1553"/>
      <c r="Y39" s="3410" t="s">
        <v>550</v>
      </c>
      <c r="Z39" s="1561" t="str">
        <f t="shared" si="15"/>
        <v>物业管理</v>
      </c>
      <c r="AA39" s="1562">
        <f t="shared" si="3"/>
        <v>1</v>
      </c>
      <c r="AB39" s="1562">
        <f t="shared" si="4"/>
        <v>1</v>
      </c>
      <c r="AC39" s="1562">
        <f t="shared" si="5"/>
        <v>1</v>
      </c>
    </row>
    <row r="40" spans="1:29" ht="15">
      <c r="A40" s="593"/>
      <c r="B40" s="1880"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10"/>
      <c r="Q40" s="1558" t="str">
        <f t="shared" si="11"/>
        <v>市政基础设施</v>
      </c>
      <c r="R40" s="1559" t="s">
        <v>8</v>
      </c>
      <c r="S40" s="1560">
        <f t="shared" si="12"/>
        <v>100</v>
      </c>
      <c r="T40" s="1559" t="s">
        <v>8</v>
      </c>
      <c r="U40" s="1560">
        <f t="shared" si="13"/>
        <v>100</v>
      </c>
      <c r="V40" s="1559" t="s">
        <v>8</v>
      </c>
      <c r="W40" s="1560">
        <f t="shared" si="14"/>
        <v>100</v>
      </c>
      <c r="X40" s="1553"/>
      <c r="Y40" s="3410"/>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10"/>
      <c r="Q41" s="1558" t="str">
        <f t="shared" si="11"/>
        <v>层高</v>
      </c>
      <c r="R41" s="1559" t="s">
        <v>8</v>
      </c>
      <c r="S41" s="1560">
        <f t="shared" si="12"/>
        <v>100</v>
      </c>
      <c r="T41" s="1559" t="s">
        <v>8</v>
      </c>
      <c r="U41" s="1560">
        <f t="shared" si="13"/>
        <v>100</v>
      </c>
      <c r="V41" s="1559" t="s">
        <v>8</v>
      </c>
      <c r="W41" s="1560">
        <f t="shared" si="14"/>
        <v>100</v>
      </c>
      <c r="X41" s="1553"/>
      <c r="Y41" s="3410"/>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10"/>
      <c r="Q42" s="1590" t="str">
        <f t="shared" si="11"/>
        <v>单套建筑面积</v>
      </c>
      <c r="R42" s="1563" t="s">
        <v>8</v>
      </c>
      <c r="S42" s="1564">
        <f t="shared" si="12"/>
        <v>100</v>
      </c>
      <c r="T42" s="1563" t="s">
        <v>8</v>
      </c>
      <c r="U42" s="1564">
        <f t="shared" si="13"/>
        <v>100</v>
      </c>
      <c r="V42" s="1563" t="s">
        <v>8</v>
      </c>
      <c r="W42" s="1564">
        <f t="shared" si="14"/>
        <v>100</v>
      </c>
      <c r="X42" s="1565"/>
      <c r="Y42" s="3410"/>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10"/>
      <c r="Q43" s="1558" t="str">
        <f t="shared" si="11"/>
        <v>内部装修</v>
      </c>
      <c r="R43" s="1559" t="s">
        <v>8</v>
      </c>
      <c r="S43" s="1560">
        <f t="shared" si="12"/>
        <v>100</v>
      </c>
      <c r="T43" s="1559" t="s">
        <v>8</v>
      </c>
      <c r="U43" s="1560">
        <f t="shared" si="13"/>
        <v>100</v>
      </c>
      <c r="V43" s="1559" t="s">
        <v>8</v>
      </c>
      <c r="W43" s="1560">
        <f t="shared" si="14"/>
        <v>100</v>
      </c>
      <c r="X43" s="1553"/>
      <c r="Y43" s="3410"/>
      <c r="Z43" s="1561" t="str">
        <f t="shared" si="15"/>
        <v>内部装修</v>
      </c>
      <c r="AA43" s="1562">
        <f t="shared" si="3"/>
        <v>1</v>
      </c>
      <c r="AB43" s="1562">
        <f t="shared" si="4"/>
        <v>1</v>
      </c>
      <c r="AC43" s="1562">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10"/>
      <c r="Q44" s="1558" t="str">
        <f t="shared" si="11"/>
        <v>内部装修维护情况</v>
      </c>
      <c r="R44" s="1559" t="s">
        <v>8</v>
      </c>
      <c r="S44" s="1560">
        <f t="shared" si="12"/>
        <v>100</v>
      </c>
      <c r="T44" s="1559" t="s">
        <v>8</v>
      </c>
      <c r="U44" s="1560">
        <f t="shared" si="13"/>
        <v>100</v>
      </c>
      <c r="V44" s="1559" t="s">
        <v>8</v>
      </c>
      <c r="W44" s="1560">
        <f t="shared" si="14"/>
        <v>100</v>
      </c>
      <c r="X44" s="1553"/>
      <c r="Y44" s="3410"/>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10"/>
      <c r="Q45" s="1146">
        <f t="shared" si="11"/>
        <v>111</v>
      </c>
      <c r="R45" s="1554" t="s">
        <v>8</v>
      </c>
      <c r="S45" s="1555">
        <f t="shared" si="12"/>
        <v>100</v>
      </c>
      <c r="T45" s="1554" t="s">
        <v>8</v>
      </c>
      <c r="U45" s="1555">
        <f t="shared" si="13"/>
        <v>100</v>
      </c>
      <c r="V45" s="1554" t="s">
        <v>8</v>
      </c>
      <c r="W45" s="1555">
        <f t="shared" si="14"/>
        <v>100</v>
      </c>
      <c r="X45" s="1556"/>
      <c r="Y45" s="3410"/>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10"/>
      <c r="Q46" s="1558">
        <f t="shared" si="11"/>
        <v>111</v>
      </c>
      <c r="R46" s="1559" t="s">
        <v>8</v>
      </c>
      <c r="S46" s="1560">
        <f t="shared" si="12"/>
        <v>100</v>
      </c>
      <c r="T46" s="1559" t="s">
        <v>8</v>
      </c>
      <c r="U46" s="1560">
        <f t="shared" si="13"/>
        <v>100</v>
      </c>
      <c r="V46" s="1559" t="s">
        <v>8</v>
      </c>
      <c r="W46" s="1560">
        <f t="shared" si="14"/>
        <v>100</v>
      </c>
      <c r="X46" s="1553"/>
      <c r="Y46" s="3410"/>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91"/>
      <c r="Q47" s="1558">
        <f t="shared" si="11"/>
        <v>111</v>
      </c>
      <c r="R47" s="1559" t="s">
        <v>8</v>
      </c>
      <c r="S47" s="1560">
        <f t="shared" si="12"/>
        <v>100</v>
      </c>
      <c r="T47" s="1559" t="s">
        <v>8</v>
      </c>
      <c r="U47" s="1560">
        <f t="shared" si="13"/>
        <v>100</v>
      </c>
      <c r="V47" s="1559" t="s">
        <v>8</v>
      </c>
      <c r="W47" s="1560">
        <f t="shared" si="14"/>
        <v>100</v>
      </c>
      <c r="X47" s="1553"/>
      <c r="Y47" s="3491"/>
      <c r="Z47" s="1561">
        <f t="shared" si="15"/>
        <v>111</v>
      </c>
      <c r="AA47" s="1562">
        <f t="shared" si="3"/>
        <v>1</v>
      </c>
      <c r="AB47" s="1562">
        <f t="shared" si="4"/>
        <v>1</v>
      </c>
      <c r="AC47" s="1562">
        <f t="shared" si="5"/>
        <v>1</v>
      </c>
    </row>
    <row r="48" spans="1:29" ht="15">
      <c r="A48" s="606" t="s">
        <v>736</v>
      </c>
      <c r="B48" s="886"/>
      <c r="C48" s="2591" t="s">
        <v>1</v>
      </c>
      <c r="D48" s="2592"/>
      <c r="E48" s="2593"/>
      <c r="F48" s="2594"/>
      <c r="G48" s="2595"/>
      <c r="H48" s="2596"/>
      <c r="I48" s="2593"/>
      <c r="J48" s="2596"/>
      <c r="K48" s="1596"/>
      <c r="L48" s="2129"/>
      <c r="M48" s="2119"/>
      <c r="N48" s="2119"/>
      <c r="O48" s="2119"/>
      <c r="P48" s="3371" t="str">
        <f>A48</f>
        <v>成交单价（元/平方米）</v>
      </c>
      <c r="Q48" s="3373"/>
      <c r="R48" s="3490">
        <f>E48</f>
        <v>0</v>
      </c>
      <c r="S48" s="3490"/>
      <c r="T48" s="3490">
        <f>G48</f>
        <v>0</v>
      </c>
      <c r="U48" s="3490"/>
      <c r="V48" s="3490">
        <f>I48</f>
        <v>0</v>
      </c>
      <c r="W48" s="3490"/>
      <c r="X48" s="1545"/>
      <c r="Y48" s="1567"/>
      <c r="Z48" s="1545"/>
      <c r="AA48" s="1545"/>
      <c r="AB48" s="1545"/>
      <c r="AC48" s="1545"/>
    </row>
    <row r="49" spans="1:29" ht="15.75" thickBot="1">
      <c r="A49" s="614" t="s">
        <v>2759</v>
      </c>
      <c r="B49" s="887"/>
      <c r="C49" s="2597" t="e">
        <f>R50</f>
        <v>#DIV/0!</v>
      </c>
      <c r="D49" s="2598"/>
      <c r="E49" s="2599" t="e">
        <f>R49</f>
        <v>#DIV/0!</v>
      </c>
      <c r="F49" s="2599"/>
      <c r="G49" s="2597" t="e">
        <f>T49</f>
        <v>#DIV/0!</v>
      </c>
      <c r="H49" s="2598"/>
      <c r="I49" s="2599" t="e">
        <f>V49</f>
        <v>#DIV/0!</v>
      </c>
      <c r="J49" s="2598"/>
      <c r="K49" s="1597"/>
      <c r="L49" s="2129"/>
      <c r="M49" s="2119"/>
      <c r="N49" s="2119"/>
      <c r="O49" s="2119"/>
      <c r="P49" s="3371" t="str">
        <f>A49</f>
        <v>比较价格（元/平方米）</v>
      </c>
      <c r="Q49" s="3373"/>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45"/>
      <c r="Y49" s="1545"/>
      <c r="Z49" s="1545"/>
      <c r="AA49" s="1545"/>
      <c r="AB49" s="1545"/>
      <c r="AC49" s="1545"/>
    </row>
    <row r="50" spans="1:29" ht="15.75" thickBot="1">
      <c r="A50" s="620" t="s">
        <v>2936</v>
      </c>
      <c r="B50" s="621"/>
      <c r="C50" s="2600" t="e">
        <f>R50</f>
        <v>#DIV/0!</v>
      </c>
      <c r="D50" s="2600"/>
      <c r="E50" s="2600"/>
      <c r="F50" s="2600"/>
      <c r="G50" s="2600"/>
      <c r="H50" s="2600"/>
      <c r="I50" s="2600"/>
      <c r="J50" s="2600"/>
      <c r="K50" s="1598"/>
      <c r="L50" s="2129"/>
      <c r="M50" s="2119"/>
      <c r="N50" s="2119"/>
      <c r="O50" s="2119"/>
      <c r="P50" s="3492" t="str">
        <f>A50</f>
        <v>估价对象XX用房的比较价格（楼面单价，元/平方米）</v>
      </c>
      <c r="Q50" s="3371"/>
      <c r="R50" s="3489" t="e">
        <f>IF(F1="售价",ROUND(AVERAGE(R49:V49),0),ROUND(AVERAGE(R49:V49),1))</f>
        <v>#DIV/0!</v>
      </c>
      <c r="S50" s="3489"/>
      <c r="T50" s="3489"/>
      <c r="U50" s="3489"/>
      <c r="V50" s="3489"/>
      <c r="W50" s="3489"/>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529</v>
      </c>
      <c r="B59" s="645"/>
      <c r="C59" s="2757" t="str">
        <f>YEAR(C7)&amp;"-"&amp;MONTH(C7)</f>
        <v>2019-9</v>
      </c>
      <c r="D59" s="2759">
        <f>EDATE(C59,-1)</f>
        <v>43678</v>
      </c>
      <c r="E59" s="2759">
        <f t="shared" ref="E59:O59" si="16">EDATE(D59,-1)</f>
        <v>43647</v>
      </c>
      <c r="F59" s="2759">
        <f t="shared" si="16"/>
        <v>43617</v>
      </c>
      <c r="G59" s="2759">
        <f t="shared" si="16"/>
        <v>43586</v>
      </c>
      <c r="H59" s="2759">
        <f t="shared" si="16"/>
        <v>43556</v>
      </c>
      <c r="I59" s="2759">
        <f t="shared" si="16"/>
        <v>43525</v>
      </c>
      <c r="J59" s="2759">
        <f t="shared" si="16"/>
        <v>43497</v>
      </c>
      <c r="K59" s="2759">
        <f t="shared" si="16"/>
        <v>43466</v>
      </c>
      <c r="L59" s="2759">
        <f t="shared" si="16"/>
        <v>43435</v>
      </c>
      <c r="M59" s="2759">
        <f t="shared" si="16"/>
        <v>43405</v>
      </c>
      <c r="N59" s="2759">
        <f t="shared" si="16"/>
        <v>43374</v>
      </c>
      <c r="O59" s="2759">
        <f t="shared" si="16"/>
        <v>43344</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575</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531</v>
      </c>
      <c r="B62" s="647"/>
      <c r="C62" s="659" t="s">
        <v>576</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577</v>
      </c>
      <c r="B64" s="664" t="s">
        <v>534</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539</v>
      </c>
      <c r="B77" s="664" t="s">
        <v>585</v>
      </c>
      <c r="C77" s="702" t="s">
        <v>579</v>
      </c>
      <c r="D77" s="702" t="s">
        <v>580</v>
      </c>
      <c r="E77" s="702" t="s">
        <v>581</v>
      </c>
      <c r="F77" s="702" t="s">
        <v>582</v>
      </c>
      <c r="G77" s="702" t="s">
        <v>583</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586</v>
      </c>
      <c r="C79" s="707" t="s">
        <v>579</v>
      </c>
      <c r="D79" s="707" t="s">
        <v>580</v>
      </c>
      <c r="E79" s="707" t="s">
        <v>581</v>
      </c>
      <c r="F79" s="707" t="s">
        <v>582</v>
      </c>
      <c r="G79" s="707" t="s">
        <v>583</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2556</v>
      </c>
      <c r="C81" s="707" t="s">
        <v>579</v>
      </c>
      <c r="D81" s="707" t="s">
        <v>580</v>
      </c>
      <c r="E81" s="707" t="s">
        <v>581</v>
      </c>
      <c r="F81" s="707" t="s">
        <v>582</v>
      </c>
      <c r="G81" s="707" t="s">
        <v>583</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2557</v>
      </c>
      <c r="C83" s="2562" t="s">
        <v>2558</v>
      </c>
      <c r="D83" s="2562" t="s">
        <v>2559</v>
      </c>
      <c r="E83" s="2562" t="s">
        <v>2560</v>
      </c>
      <c r="F83" s="2562" t="s">
        <v>2561</v>
      </c>
      <c r="G83" s="2562" t="s">
        <v>2562</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784</v>
      </c>
      <c r="C85" s="707" t="s">
        <v>579</v>
      </c>
      <c r="D85" s="707" t="s">
        <v>580</v>
      </c>
      <c r="E85" s="707" t="s">
        <v>581</v>
      </c>
      <c r="F85" s="707" t="s">
        <v>582</v>
      </c>
      <c r="G85" s="707" t="s">
        <v>583</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785</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551</v>
      </c>
      <c r="B101" s="664" t="s">
        <v>747</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749</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751</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786</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753</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2555</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787</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775</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755</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521</v>
      </c>
      <c r="B4" s="512"/>
      <c r="C4" s="3379" t="s">
        <v>522</v>
      </c>
      <c r="D4" s="3380"/>
      <c r="E4" s="3413" t="s">
        <v>523</v>
      </c>
      <c r="F4" s="3414"/>
      <c r="G4" s="3379" t="s">
        <v>524</v>
      </c>
      <c r="H4" s="3380"/>
      <c r="I4" s="3379" t="s">
        <v>525</v>
      </c>
      <c r="J4" s="3380"/>
      <c r="K4" s="513" t="s">
        <v>526</v>
      </c>
      <c r="L4" s="2118"/>
      <c r="M4" s="2119"/>
      <c r="N4" s="2119"/>
      <c r="O4" s="2119"/>
      <c r="P4" s="3381" t="s">
        <v>527</v>
      </c>
      <c r="Q4" s="3382"/>
      <c r="R4" s="3387" t="s">
        <v>523</v>
      </c>
      <c r="S4" s="3388"/>
      <c r="T4" s="3387" t="s">
        <v>524</v>
      </c>
      <c r="U4" s="3388"/>
      <c r="V4" s="3374" t="s">
        <v>525</v>
      </c>
      <c r="W4" s="3374"/>
      <c r="X4" s="1553"/>
      <c r="Y4" s="3387" t="s">
        <v>527</v>
      </c>
      <c r="Z4" s="3388"/>
      <c r="AA4" s="3376" t="s">
        <v>523</v>
      </c>
      <c r="AB4" s="3377" t="s">
        <v>524</v>
      </c>
      <c r="AC4" s="3376" t="s">
        <v>525</v>
      </c>
    </row>
    <row r="5" spans="1:29" ht="15">
      <c r="A5" s="514"/>
      <c r="B5" s="515"/>
      <c r="C5" s="3395" t="s">
        <v>2930</v>
      </c>
      <c r="D5" s="3396"/>
      <c r="E5" s="3415" t="s">
        <v>2931</v>
      </c>
      <c r="F5" s="3416"/>
      <c r="G5" s="3395" t="s">
        <v>2932</v>
      </c>
      <c r="H5" s="3396"/>
      <c r="I5" s="3395" t="s">
        <v>2933</v>
      </c>
      <c r="J5" s="3396"/>
      <c r="K5" s="513"/>
      <c r="L5" s="2118"/>
      <c r="M5" s="2119"/>
      <c r="N5" s="2119"/>
      <c r="O5" s="2119"/>
      <c r="P5" s="3383"/>
      <c r="Q5" s="3384"/>
      <c r="R5" s="3389"/>
      <c r="S5" s="3390"/>
      <c r="T5" s="3389"/>
      <c r="U5" s="3390"/>
      <c r="V5" s="3374"/>
      <c r="W5" s="3374"/>
      <c r="X5" s="1553"/>
      <c r="Y5" s="3389"/>
      <c r="Z5" s="3390"/>
      <c r="AA5" s="3377"/>
      <c r="AB5" s="3377"/>
      <c r="AC5" s="3377"/>
    </row>
    <row r="6" spans="1:29" ht="15.75" thickBot="1">
      <c r="A6" s="516"/>
      <c r="B6" s="517"/>
      <c r="C6" s="3393" t="s">
        <v>2934</v>
      </c>
      <c r="D6" s="3394"/>
      <c r="E6" s="3411" t="s">
        <v>2934</v>
      </c>
      <c r="F6" s="3412"/>
      <c r="G6" s="3393" t="s">
        <v>2934</v>
      </c>
      <c r="H6" s="3394"/>
      <c r="I6" s="3393" t="s">
        <v>2934</v>
      </c>
      <c r="J6" s="3394"/>
      <c r="K6" s="513" t="s">
        <v>528</v>
      </c>
      <c r="L6" s="2118"/>
      <c r="M6" s="2119"/>
      <c r="N6" s="2119"/>
      <c r="O6" s="2119"/>
      <c r="P6" s="3385"/>
      <c r="Q6" s="3386"/>
      <c r="R6" s="3389"/>
      <c r="S6" s="3390"/>
      <c r="T6" s="3391"/>
      <c r="U6" s="3392"/>
      <c r="V6" s="3374"/>
      <c r="W6" s="3374"/>
      <c r="X6" s="1553"/>
      <c r="Y6" s="3391"/>
      <c r="Z6" s="3392"/>
      <c r="AA6" s="3378"/>
      <c r="AB6" s="3378"/>
      <c r="AC6" s="3378"/>
    </row>
    <row r="7" spans="1:29" s="1215" customFormat="1" ht="15.75" thickBot="1">
      <c r="A7" s="2867"/>
      <c r="B7" s="2874" t="s">
        <v>529</v>
      </c>
      <c r="C7" s="518">
        <f>'数据-取费表'!B2</f>
        <v>43734</v>
      </c>
      <c r="D7" s="519">
        <v>100</v>
      </c>
      <c r="E7" s="520"/>
      <c r="F7" s="521">
        <f>SUMIF(52:52,YEAR(E7)&amp;"-"&amp;MONTH(E7),53:53)</f>
        <v>0</v>
      </c>
      <c r="G7" s="520"/>
      <c r="H7" s="519">
        <f>SUMIF(52:52,YEAR(G7)&amp;"-"&amp;MONTH(G7),53:53)</f>
        <v>0</v>
      </c>
      <c r="I7" s="520"/>
      <c r="J7" s="519">
        <f>SUMIF(52:52,YEAR(I7)&amp;"-"&amp;MONTH(I7),53:53)</f>
        <v>0</v>
      </c>
      <c r="K7" s="523"/>
      <c r="L7" s="2120"/>
      <c r="M7" s="2121"/>
      <c r="N7" s="2121"/>
      <c r="O7" s="2121"/>
      <c r="P7" s="3404" t="s">
        <v>530</v>
      </c>
      <c r="Q7" s="3406"/>
      <c r="R7" s="1554" t="s">
        <v>8</v>
      </c>
      <c r="S7" s="1555">
        <f t="shared" ref="S7:S15" si="0">F7</f>
        <v>0</v>
      </c>
      <c r="T7" s="1554" t="s">
        <v>8</v>
      </c>
      <c r="U7" s="1555">
        <f t="shared" ref="U7:U15" si="1">H7</f>
        <v>0</v>
      </c>
      <c r="V7" s="1554" t="s">
        <v>8</v>
      </c>
      <c r="W7" s="1555">
        <f t="shared" ref="W7:W15" si="2">J7</f>
        <v>0</v>
      </c>
      <c r="X7" s="1556"/>
      <c r="Y7" s="3404" t="s">
        <v>530</v>
      </c>
      <c r="Z7" s="3405"/>
      <c r="AA7" s="1557" t="e">
        <f>D7/F7</f>
        <v>#DIV/0!</v>
      </c>
      <c r="AB7" s="1557" t="e">
        <f>D7/H7</f>
        <v>#DIV/0!</v>
      </c>
      <c r="AC7" s="1557" t="e">
        <f>D7/J7</f>
        <v>#DIV/0!</v>
      </c>
    </row>
    <row r="8" spans="1:29" s="1215" customFormat="1" ht="15.75" thickBot="1">
      <c r="A8" s="2868"/>
      <c r="B8" s="2875" t="s">
        <v>531</v>
      </c>
      <c r="C8" s="524" t="s">
        <v>576</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40" si="3">D8/F8</f>
        <v>#DIV/0!</v>
      </c>
      <c r="AB8" s="1557" t="e">
        <f t="shared" ref="AB8:AB40" si="4">D8/H8</f>
        <v>#DIV/0!</v>
      </c>
      <c r="AC8" s="1557" t="e">
        <f t="shared" ref="AC8:AC40" si="5">D8/J8</f>
        <v>#DIV/0!</v>
      </c>
    </row>
    <row r="9" spans="1:29" s="1215" customFormat="1" ht="15">
      <c r="A9" s="2869"/>
      <c r="B9" s="2876" t="s">
        <v>2755</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73" t="s">
        <v>535</v>
      </c>
      <c r="Q9" s="1146" t="str">
        <f t="shared" ref="Q9:Q15" si="6">B9</f>
        <v>用途</v>
      </c>
      <c r="R9" s="1554" t="s">
        <v>8</v>
      </c>
      <c r="S9" s="1555">
        <f t="shared" si="0"/>
        <v>100</v>
      </c>
      <c r="T9" s="1554" t="s">
        <v>8</v>
      </c>
      <c r="U9" s="1555">
        <f t="shared" si="1"/>
        <v>100</v>
      </c>
      <c r="V9" s="1554" t="s">
        <v>8</v>
      </c>
      <c r="W9" s="1555">
        <f t="shared" si="2"/>
        <v>100</v>
      </c>
      <c r="X9" s="1556"/>
      <c r="Y9" s="3315" t="s">
        <v>536</v>
      </c>
      <c r="Z9" s="1145" t="str">
        <f t="shared" ref="Z9:Z15" si="7">Q9</f>
        <v>用途</v>
      </c>
      <c r="AA9" s="1557">
        <f t="shared" si="3"/>
        <v>1</v>
      </c>
      <c r="AB9" s="1557">
        <f t="shared" si="4"/>
        <v>1</v>
      </c>
      <c r="AC9" s="1557">
        <f t="shared" si="5"/>
        <v>1</v>
      </c>
    </row>
    <row r="10" spans="1:29" s="1333" customFormat="1" ht="27">
      <c r="A10" s="2870"/>
      <c r="B10" s="2875" t="s">
        <v>2756</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71"/>
      <c r="B11" s="2875"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73"/>
      <c r="Q11" s="1146" t="str">
        <f t="shared" si="6"/>
        <v>容积率</v>
      </c>
      <c r="R11" s="1554" t="s">
        <v>8</v>
      </c>
      <c r="S11" s="1555" t="e">
        <f t="shared" si="0"/>
        <v>#N/A</v>
      </c>
      <c r="T11" s="1554" t="s">
        <v>8</v>
      </c>
      <c r="U11" s="1555" t="e">
        <f t="shared" si="1"/>
        <v>#N/A</v>
      </c>
      <c r="V11" s="1554" t="s">
        <v>8</v>
      </c>
      <c r="W11" s="1555" t="e">
        <f t="shared" si="2"/>
        <v>#N/A</v>
      </c>
      <c r="X11" s="1556"/>
      <c r="Y11" s="3315"/>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73"/>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73"/>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73"/>
      <c r="Q14" s="1146">
        <f t="shared" si="6"/>
        <v>111</v>
      </c>
      <c r="R14" s="1554" t="s">
        <v>8</v>
      </c>
      <c r="S14" s="1555">
        <f t="shared" si="0"/>
        <v>100</v>
      </c>
      <c r="T14" s="1554" t="s">
        <v>8</v>
      </c>
      <c r="U14" s="1555">
        <f t="shared" si="1"/>
        <v>100</v>
      </c>
      <c r="V14" s="1554" t="s">
        <v>8</v>
      </c>
      <c r="W14" s="1555">
        <f t="shared" si="2"/>
        <v>100</v>
      </c>
      <c r="X14" s="1556"/>
      <c r="Y14" s="3315"/>
      <c r="Z14" s="1145">
        <f t="shared" si="7"/>
        <v>111</v>
      </c>
      <c r="AA14" s="1557">
        <f t="shared" si="3"/>
        <v>1</v>
      </c>
      <c r="AB14" s="1557">
        <f t="shared" si="4"/>
        <v>1</v>
      </c>
      <c r="AC14" s="1557">
        <f t="shared" si="5"/>
        <v>1</v>
      </c>
    </row>
    <row r="15" spans="1:29" ht="57">
      <c r="A15" s="2865"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407" t="s">
        <v>540</v>
      </c>
      <c r="Q15" s="1558" t="str">
        <f t="shared" si="6"/>
        <v>产业集聚程度</v>
      </c>
      <c r="R15" s="1559" t="s">
        <v>8</v>
      </c>
      <c r="S15" s="1560">
        <f t="shared" si="0"/>
        <v>100</v>
      </c>
      <c r="T15" s="1559" t="s">
        <v>8</v>
      </c>
      <c r="U15" s="1560">
        <f t="shared" si="1"/>
        <v>100</v>
      </c>
      <c r="V15" s="1559" t="s">
        <v>8</v>
      </c>
      <c r="W15" s="1560">
        <f t="shared" si="2"/>
        <v>100</v>
      </c>
      <c r="X15" s="1553"/>
      <c r="Y15" s="3407"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08"/>
      <c r="Q16" s="1558"/>
      <c r="R16" s="1559"/>
      <c r="S16" s="1560"/>
      <c r="T16" s="1559"/>
      <c r="U16" s="1560"/>
      <c r="V16" s="1559"/>
      <c r="W16" s="1560"/>
      <c r="X16" s="1553"/>
      <c r="Y16" s="3408"/>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08"/>
      <c r="Q18" s="1558"/>
      <c r="R18" s="1559"/>
      <c r="S18" s="1560"/>
      <c r="T18" s="1559"/>
      <c r="U18" s="1560"/>
      <c r="V18" s="1559"/>
      <c r="W18" s="1560"/>
      <c r="X18" s="1553"/>
      <c r="Y18" s="3408"/>
      <c r="Z18" s="1561"/>
      <c r="AA18" s="1562">
        <v>1</v>
      </c>
      <c r="AB18" s="1562">
        <v>1</v>
      </c>
      <c r="AC18" s="1562">
        <v>1</v>
      </c>
    </row>
    <row r="19" spans="1:29" ht="42.75">
      <c r="A19" s="531"/>
      <c r="B19" s="2567"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408"/>
      <c r="Q20" s="1558"/>
      <c r="R20" s="1559"/>
      <c r="S20" s="1560"/>
      <c r="T20" s="1559"/>
      <c r="U20" s="1560"/>
      <c r="V20" s="1559"/>
      <c r="W20" s="1560"/>
      <c r="X20" s="1553"/>
      <c r="Y20" s="3408"/>
      <c r="Z20" s="1561"/>
      <c r="AA20" s="1562">
        <v>1</v>
      </c>
      <c r="AB20" s="1562">
        <v>1</v>
      </c>
      <c r="AC20" s="1562">
        <v>1</v>
      </c>
    </row>
    <row r="21" spans="1:29" ht="28.5">
      <c r="A21" s="531"/>
      <c r="B21" s="2555"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408"/>
      <c r="Q21" s="2543" t="str">
        <f>B21</f>
        <v>基础设施水平</v>
      </c>
      <c r="R21" s="1559" t="s">
        <v>8</v>
      </c>
      <c r="S21" s="1560">
        <f>F21</f>
        <v>100</v>
      </c>
      <c r="T21" s="1559" t="s">
        <v>8</v>
      </c>
      <c r="U21" s="1560">
        <f>H21</f>
        <v>100</v>
      </c>
      <c r="V21" s="1559" t="s">
        <v>8</v>
      </c>
      <c r="W21" s="1560">
        <f>J21</f>
        <v>100</v>
      </c>
      <c r="X21" s="2545"/>
      <c r="Y21" s="3408"/>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408"/>
      <c r="Q22" s="2543"/>
      <c r="R22" s="1559"/>
      <c r="S22" s="1560"/>
      <c r="T22" s="1559"/>
      <c r="U22" s="1560"/>
      <c r="V22" s="1559"/>
      <c r="W22" s="1560"/>
      <c r="X22" s="2545"/>
      <c r="Y22" s="3408"/>
      <c r="Z22" s="2544"/>
      <c r="AA22" s="1562">
        <v>1</v>
      </c>
      <c r="AB22" s="1562">
        <v>1</v>
      </c>
      <c r="AC22" s="1562">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408"/>
      <c r="Q24" s="1558"/>
      <c r="R24" s="1559"/>
      <c r="S24" s="1560"/>
      <c r="T24" s="1559"/>
      <c r="U24" s="1560"/>
      <c r="V24" s="1559"/>
      <c r="W24" s="1560"/>
      <c r="X24" s="1553"/>
      <c r="Y24" s="3408"/>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408"/>
      <c r="Q25" s="1558">
        <f>B25</f>
        <v>111</v>
      </c>
      <c r="R25" s="1559" t="s">
        <v>8</v>
      </c>
      <c r="S25" s="1560">
        <f>F25</f>
        <v>100</v>
      </c>
      <c r="T25" s="1559" t="s">
        <v>8</v>
      </c>
      <c r="U25" s="1560">
        <f>H25</f>
        <v>100</v>
      </c>
      <c r="V25" s="1559" t="s">
        <v>8</v>
      </c>
      <c r="W25" s="1560">
        <f>J25</f>
        <v>100</v>
      </c>
      <c r="X25" s="1553"/>
      <c r="Y25" s="3408"/>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408"/>
      <c r="Q26" s="1558">
        <f t="shared" ref="Q26:Q40" si="11">B26</f>
        <v>111</v>
      </c>
      <c r="R26" s="1559" t="s">
        <v>8</v>
      </c>
      <c r="S26" s="1560">
        <f>F26</f>
        <v>100</v>
      </c>
      <c r="T26" s="1559" t="s">
        <v>8</v>
      </c>
      <c r="U26" s="1560">
        <f>H26</f>
        <v>100</v>
      </c>
      <c r="V26" s="1559" t="s">
        <v>8</v>
      </c>
      <c r="W26" s="1560">
        <f>J26</f>
        <v>100</v>
      </c>
      <c r="X26" s="1553"/>
      <c r="Y26" s="3408"/>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408"/>
      <c r="Q27" s="1146">
        <f t="shared" si="11"/>
        <v>111</v>
      </c>
      <c r="R27" s="1554" t="s">
        <v>8</v>
      </c>
      <c r="S27" s="1555">
        <f>F27</f>
        <v>100</v>
      </c>
      <c r="T27" s="1554" t="s">
        <v>8</v>
      </c>
      <c r="U27" s="1555">
        <f>H27</f>
        <v>100</v>
      </c>
      <c r="V27" s="1554" t="s">
        <v>8</v>
      </c>
      <c r="W27" s="1555">
        <f>J27</f>
        <v>100</v>
      </c>
      <c r="X27" s="1556"/>
      <c r="Y27" s="3408"/>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408"/>
      <c r="Q28" s="1558">
        <f t="shared" si="11"/>
        <v>111</v>
      </c>
      <c r="R28" s="1559" t="s">
        <v>8</v>
      </c>
      <c r="S28" s="1560">
        <f t="shared" ref="S28:S40" si="12">F28</f>
        <v>100</v>
      </c>
      <c r="T28" s="1559" t="s">
        <v>8</v>
      </c>
      <c r="U28" s="1560">
        <f t="shared" ref="U28:U40" si="13">H28</f>
        <v>100</v>
      </c>
      <c r="V28" s="1559" t="s">
        <v>8</v>
      </c>
      <c r="W28" s="1560">
        <f t="shared" ref="W28:W40" si="14">J28</f>
        <v>100</v>
      </c>
      <c r="X28" s="1553"/>
      <c r="Y28" s="3408"/>
      <c r="Z28" s="1561">
        <f t="shared" ref="Z28:Z40" si="15">Q28</f>
        <v>111</v>
      </c>
      <c r="AA28" s="1562">
        <f t="shared" si="3"/>
        <v>1</v>
      </c>
      <c r="AB28" s="1562">
        <f t="shared" si="4"/>
        <v>1</v>
      </c>
      <c r="AC28" s="1562">
        <f t="shared" si="5"/>
        <v>1</v>
      </c>
    </row>
    <row r="29" spans="1:29" ht="15">
      <c r="A29" s="2862"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409" t="s">
        <v>550</v>
      </c>
      <c r="Q29" s="1558" t="str">
        <f t="shared" si="11"/>
        <v>建筑类型</v>
      </c>
      <c r="R29" s="1559" t="s">
        <v>8</v>
      </c>
      <c r="S29" s="1560">
        <f t="shared" si="12"/>
        <v>100</v>
      </c>
      <c r="T29" s="1559" t="s">
        <v>8</v>
      </c>
      <c r="U29" s="1560">
        <f t="shared" si="13"/>
        <v>100</v>
      </c>
      <c r="V29" s="1559" t="s">
        <v>8</v>
      </c>
      <c r="W29" s="1560">
        <f t="shared" si="14"/>
        <v>100</v>
      </c>
      <c r="X29" s="1553"/>
      <c r="Y29" s="3410"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10"/>
      <c r="Q30" s="1590" t="str">
        <f t="shared" si="11"/>
        <v>项目建筑规模</v>
      </c>
      <c r="R30" s="1563" t="s">
        <v>8</v>
      </c>
      <c r="S30" s="1564" t="e">
        <f t="shared" si="12"/>
        <v>#N/A</v>
      </c>
      <c r="T30" s="1563" t="s">
        <v>8</v>
      </c>
      <c r="U30" s="1564" t="e">
        <f t="shared" si="13"/>
        <v>#N/A</v>
      </c>
      <c r="V30" s="1563" t="s">
        <v>8</v>
      </c>
      <c r="W30" s="1564" t="e">
        <f t="shared" si="14"/>
        <v>#N/A</v>
      </c>
      <c r="X30" s="1565"/>
      <c r="Y30" s="3410"/>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10"/>
      <c r="Q31" s="1558" t="str">
        <f t="shared" si="11"/>
        <v>建筑结构</v>
      </c>
      <c r="R31" s="1559" t="s">
        <v>8</v>
      </c>
      <c r="S31" s="1560">
        <f t="shared" si="12"/>
        <v>100</v>
      </c>
      <c r="T31" s="1559" t="s">
        <v>8</v>
      </c>
      <c r="U31" s="1560">
        <f t="shared" si="13"/>
        <v>100</v>
      </c>
      <c r="V31" s="1559" t="s">
        <v>8</v>
      </c>
      <c r="W31" s="1560">
        <f t="shared" si="14"/>
        <v>100</v>
      </c>
      <c r="X31" s="1553"/>
      <c r="Y31" s="3410"/>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10"/>
      <c r="Q32" s="1558" t="str">
        <f t="shared" si="11"/>
        <v>公共部分装修</v>
      </c>
      <c r="R32" s="1559" t="s">
        <v>8</v>
      </c>
      <c r="S32" s="1560">
        <f t="shared" si="12"/>
        <v>100</v>
      </c>
      <c r="T32" s="1559" t="s">
        <v>8</v>
      </c>
      <c r="U32" s="1560">
        <f t="shared" si="13"/>
        <v>100</v>
      </c>
      <c r="V32" s="1559" t="s">
        <v>8</v>
      </c>
      <c r="W32" s="1560">
        <f t="shared" si="14"/>
        <v>100</v>
      </c>
      <c r="X32" s="1553"/>
      <c r="Y32" s="3410"/>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10"/>
      <c r="Q33" s="1558" t="str">
        <f t="shared" si="11"/>
        <v>成新度</v>
      </c>
      <c r="R33" s="1559" t="s">
        <v>8</v>
      </c>
      <c r="S33" s="1560" t="e">
        <f t="shared" si="12"/>
        <v>#N/A</v>
      </c>
      <c r="T33" s="1559" t="s">
        <v>8</v>
      </c>
      <c r="U33" s="1560" t="e">
        <f t="shared" si="13"/>
        <v>#N/A</v>
      </c>
      <c r="V33" s="1559" t="s">
        <v>8</v>
      </c>
      <c r="W33" s="1560" t="e">
        <f t="shared" si="14"/>
        <v>#N/A</v>
      </c>
      <c r="X33" s="1553"/>
      <c r="Y33" s="3410"/>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10"/>
      <c r="Q34" s="1146" t="str">
        <f t="shared" si="11"/>
        <v>物业管理</v>
      </c>
      <c r="R34" s="1554" t="s">
        <v>8</v>
      </c>
      <c r="S34" s="1555">
        <f t="shared" si="12"/>
        <v>100</v>
      </c>
      <c r="T34" s="1554" t="s">
        <v>8</v>
      </c>
      <c r="U34" s="1555">
        <f t="shared" si="13"/>
        <v>100</v>
      </c>
      <c r="V34" s="1554" t="s">
        <v>8</v>
      </c>
      <c r="W34" s="1555">
        <f t="shared" si="14"/>
        <v>100</v>
      </c>
      <c r="X34" s="1556"/>
      <c r="Y34" s="3410"/>
      <c r="Z34" s="1145" t="str">
        <f t="shared" si="15"/>
        <v>物业管理</v>
      </c>
      <c r="AA34" s="1557">
        <f t="shared" si="3"/>
        <v>1</v>
      </c>
      <c r="AB34" s="1557">
        <f t="shared" si="4"/>
        <v>1</v>
      </c>
      <c r="AC34" s="1557">
        <f t="shared" si="5"/>
        <v>1</v>
      </c>
    </row>
    <row r="35" spans="1:29" ht="15">
      <c r="A35" s="593"/>
      <c r="B35" s="1880"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10" t="s">
        <v>550</v>
      </c>
      <c r="Q35" s="1558" t="str">
        <f t="shared" si="11"/>
        <v>市政基础设施</v>
      </c>
      <c r="R35" s="1559" t="s">
        <v>8</v>
      </c>
      <c r="S35" s="1560">
        <f t="shared" si="12"/>
        <v>100</v>
      </c>
      <c r="T35" s="1559" t="s">
        <v>8</v>
      </c>
      <c r="U35" s="1560">
        <f t="shared" si="13"/>
        <v>100</v>
      </c>
      <c r="V35" s="1559" t="s">
        <v>8</v>
      </c>
      <c r="W35" s="1560">
        <f t="shared" si="14"/>
        <v>100</v>
      </c>
      <c r="X35" s="1553"/>
      <c r="Y35" s="3410"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10"/>
      <c r="Q36" s="1558" t="str">
        <f t="shared" si="11"/>
        <v>内部装修</v>
      </c>
      <c r="R36" s="1559" t="s">
        <v>8</v>
      </c>
      <c r="S36" s="1560">
        <f t="shared" si="12"/>
        <v>100</v>
      </c>
      <c r="T36" s="1559" t="s">
        <v>8</v>
      </c>
      <c r="U36" s="1560">
        <f t="shared" si="13"/>
        <v>100</v>
      </c>
      <c r="V36" s="1559" t="s">
        <v>8</v>
      </c>
      <c r="W36" s="1560">
        <f t="shared" si="14"/>
        <v>100</v>
      </c>
      <c r="X36" s="1553"/>
      <c r="Y36" s="3410"/>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10"/>
      <c r="Q37" s="1558" t="str">
        <f t="shared" si="11"/>
        <v>内部装修状况</v>
      </c>
      <c r="R37" s="1559" t="s">
        <v>8</v>
      </c>
      <c r="S37" s="1560">
        <f t="shared" si="12"/>
        <v>100</v>
      </c>
      <c r="T37" s="1559" t="s">
        <v>8</v>
      </c>
      <c r="U37" s="1560">
        <f t="shared" si="13"/>
        <v>100</v>
      </c>
      <c r="V37" s="1559" t="s">
        <v>8</v>
      </c>
      <c r="W37" s="1560">
        <f t="shared" si="14"/>
        <v>100</v>
      </c>
      <c r="X37" s="1553"/>
      <c r="Y37" s="3410"/>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10"/>
      <c r="Q38" s="1590">
        <f t="shared" si="11"/>
        <v>111</v>
      </c>
      <c r="R38" s="1563" t="s">
        <v>8</v>
      </c>
      <c r="S38" s="1564">
        <f t="shared" si="12"/>
        <v>100</v>
      </c>
      <c r="T38" s="1563" t="s">
        <v>8</v>
      </c>
      <c r="U38" s="1564">
        <f t="shared" si="13"/>
        <v>100</v>
      </c>
      <c r="V38" s="1563" t="s">
        <v>8</v>
      </c>
      <c r="W38" s="1564">
        <f t="shared" si="14"/>
        <v>100</v>
      </c>
      <c r="X38" s="1565"/>
      <c r="Y38" s="3410"/>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10"/>
      <c r="Q39" s="1558">
        <f t="shared" si="11"/>
        <v>111</v>
      </c>
      <c r="R39" s="1559" t="s">
        <v>8</v>
      </c>
      <c r="S39" s="1560">
        <f t="shared" si="12"/>
        <v>100</v>
      </c>
      <c r="T39" s="1559" t="s">
        <v>8</v>
      </c>
      <c r="U39" s="1560">
        <f t="shared" si="13"/>
        <v>100</v>
      </c>
      <c r="V39" s="1559" t="s">
        <v>8</v>
      </c>
      <c r="W39" s="1560">
        <f t="shared" si="14"/>
        <v>100</v>
      </c>
      <c r="X39" s="1553"/>
      <c r="Y39" s="3410"/>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91"/>
      <c r="Q40" s="1558">
        <f t="shared" si="11"/>
        <v>111</v>
      </c>
      <c r="R40" s="1559" t="s">
        <v>8</v>
      </c>
      <c r="S40" s="1560">
        <f t="shared" si="12"/>
        <v>100</v>
      </c>
      <c r="T40" s="1559" t="s">
        <v>8</v>
      </c>
      <c r="U40" s="1560">
        <f t="shared" si="13"/>
        <v>100</v>
      </c>
      <c r="V40" s="1559" t="s">
        <v>8</v>
      </c>
      <c r="W40" s="1560">
        <f t="shared" si="14"/>
        <v>100</v>
      </c>
      <c r="X40" s="1553"/>
      <c r="Y40" s="3491"/>
      <c r="Z40" s="1561">
        <f t="shared" si="15"/>
        <v>111</v>
      </c>
      <c r="AA40" s="1562">
        <f t="shared" si="3"/>
        <v>1</v>
      </c>
      <c r="AB40" s="1562">
        <f t="shared" si="4"/>
        <v>1</v>
      </c>
      <c r="AC40" s="1562">
        <f t="shared" si="5"/>
        <v>1</v>
      </c>
    </row>
    <row r="41" spans="1:29" ht="15">
      <c r="A41" s="606" t="s">
        <v>736</v>
      </c>
      <c r="B41" s="886"/>
      <c r="C41" s="2591" t="s">
        <v>1</v>
      </c>
      <c r="D41" s="2592"/>
      <c r="E41" s="2593"/>
      <c r="F41" s="2594"/>
      <c r="G41" s="2595"/>
      <c r="H41" s="2596"/>
      <c r="I41" s="2593"/>
      <c r="J41" s="2596"/>
      <c r="K41" s="1596"/>
      <c r="L41" s="2129"/>
      <c r="M41" s="2130"/>
      <c r="N41" s="2119"/>
      <c r="O41" s="2130"/>
      <c r="P41" s="3373" t="str">
        <f>A41</f>
        <v>成交单价（元/平方米）</v>
      </c>
      <c r="Q41" s="3373"/>
      <c r="R41" s="3490">
        <f>E41</f>
        <v>0</v>
      </c>
      <c r="S41" s="3490"/>
      <c r="T41" s="3490">
        <f>G41</f>
        <v>0</v>
      </c>
      <c r="U41" s="3490"/>
      <c r="V41" s="3490">
        <f>I41</f>
        <v>0</v>
      </c>
      <c r="W41" s="3490"/>
      <c r="X41" s="1545"/>
      <c r="Y41" s="1567"/>
      <c r="Z41" s="1545"/>
      <c r="AA41" s="1545"/>
      <c r="AB41" s="1545"/>
      <c r="AC41" s="1545"/>
    </row>
    <row r="42" spans="1:29" ht="15.75" thickBot="1">
      <c r="A42" s="614" t="s">
        <v>2759</v>
      </c>
      <c r="B42" s="887"/>
      <c r="C42" s="2597" t="e">
        <f>R43</f>
        <v>#DIV/0!</v>
      </c>
      <c r="D42" s="2598"/>
      <c r="E42" s="2599" t="e">
        <f>R42</f>
        <v>#DIV/0!</v>
      </c>
      <c r="F42" s="2599"/>
      <c r="G42" s="2597" t="e">
        <f>T42</f>
        <v>#DIV/0!</v>
      </c>
      <c r="H42" s="2598"/>
      <c r="I42" s="2599" t="e">
        <f>V42</f>
        <v>#DIV/0!</v>
      </c>
      <c r="J42" s="2598"/>
      <c r="K42" s="1597"/>
      <c r="L42" s="2129"/>
      <c r="M42" s="2130"/>
      <c r="N42" s="2119"/>
      <c r="O42" s="2130"/>
      <c r="P42" s="3373" t="str">
        <f>A42</f>
        <v>比较价格（元/平方米）</v>
      </c>
      <c r="Q42" s="3373"/>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45"/>
      <c r="Y42" s="1545"/>
      <c r="Z42" s="1545"/>
      <c r="AA42" s="1545"/>
      <c r="AB42" s="1545"/>
      <c r="AC42" s="1545"/>
    </row>
    <row r="43" spans="1:29" ht="15.75" thickBot="1">
      <c r="A43" s="620" t="s">
        <v>2936</v>
      </c>
      <c r="B43" s="621"/>
      <c r="C43" s="2600" t="e">
        <f>R43</f>
        <v>#DIV/0!</v>
      </c>
      <c r="D43" s="2600"/>
      <c r="E43" s="2600"/>
      <c r="F43" s="2600"/>
      <c r="G43" s="2600"/>
      <c r="H43" s="2600"/>
      <c r="I43" s="2600"/>
      <c r="J43" s="2600"/>
      <c r="K43" s="1598"/>
      <c r="L43" s="2129"/>
      <c r="M43" s="2130"/>
      <c r="N43" s="2130"/>
      <c r="O43" s="2130"/>
      <c r="P43" s="3370" t="str">
        <f>A43</f>
        <v>估价对象XX用房的比较价格（楼面单价，元/平方米）</v>
      </c>
      <c r="Q43" s="3371"/>
      <c r="R43" s="3489" t="e">
        <f>IF(F1="售价",ROUND(AVERAGE(R42:V42),0),ROUND(AVERAGE(R42:V42),1))</f>
        <v>#DIV/0!</v>
      </c>
      <c r="S43" s="3489"/>
      <c r="T43" s="3489"/>
      <c r="U43" s="3489"/>
      <c r="V43" s="3489"/>
      <c r="W43" s="3489"/>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529</v>
      </c>
      <c r="B52" s="645"/>
      <c r="C52" s="2757" t="str">
        <f>YEAR(C7)&amp;"-"&amp;MONTH(C7)</f>
        <v>2019-9</v>
      </c>
      <c r="D52" s="2759">
        <f>EDATE(C52,-1)</f>
        <v>43678</v>
      </c>
      <c r="E52" s="2759">
        <f t="shared" ref="E52:O52" si="16">EDATE(D52,-1)</f>
        <v>43647</v>
      </c>
      <c r="F52" s="2759">
        <f t="shared" si="16"/>
        <v>43617</v>
      </c>
      <c r="G52" s="2759">
        <f t="shared" si="16"/>
        <v>43586</v>
      </c>
      <c r="H52" s="2759">
        <f t="shared" si="16"/>
        <v>43556</v>
      </c>
      <c r="I52" s="2759">
        <f t="shared" si="16"/>
        <v>43525</v>
      </c>
      <c r="J52" s="2759">
        <f t="shared" si="16"/>
        <v>43497</v>
      </c>
      <c r="K52" s="2759">
        <f t="shared" si="16"/>
        <v>43466</v>
      </c>
      <c r="L52" s="2759">
        <f t="shared" si="16"/>
        <v>43435</v>
      </c>
      <c r="M52" s="2759">
        <f t="shared" si="16"/>
        <v>43405</v>
      </c>
      <c r="N52" s="2759">
        <f t="shared" si="16"/>
        <v>43374</v>
      </c>
      <c r="O52" s="2759">
        <f t="shared" si="16"/>
        <v>43344</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575</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531</v>
      </c>
      <c r="B55" s="647"/>
      <c r="C55" s="659" t="s">
        <v>576</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577</v>
      </c>
      <c r="B57" s="664" t="s">
        <v>534</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539</v>
      </c>
      <c r="B70" s="664" t="s">
        <v>585</v>
      </c>
      <c r="C70" s="702" t="s">
        <v>579</v>
      </c>
      <c r="D70" s="702" t="s">
        <v>580</v>
      </c>
      <c r="E70" s="702" t="s">
        <v>581</v>
      </c>
      <c r="F70" s="702" t="s">
        <v>582</v>
      </c>
      <c r="G70" s="702" t="s">
        <v>583</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586</v>
      </c>
      <c r="C72" s="707" t="s">
        <v>579</v>
      </c>
      <c r="D72" s="707" t="s">
        <v>580</v>
      </c>
      <c r="E72" s="707" t="s">
        <v>581</v>
      </c>
      <c r="F72" s="707" t="s">
        <v>582</v>
      </c>
      <c r="G72" s="707" t="s">
        <v>583</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2556</v>
      </c>
      <c r="C74" s="707" t="s">
        <v>579</v>
      </c>
      <c r="D74" s="707" t="s">
        <v>580</v>
      </c>
      <c r="E74" s="707" t="s">
        <v>581</v>
      </c>
      <c r="F74" s="707" t="s">
        <v>582</v>
      </c>
      <c r="G74" s="707" t="s">
        <v>583</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2557</v>
      </c>
      <c r="C76" s="2562" t="s">
        <v>2558</v>
      </c>
      <c r="D76" s="2562" t="s">
        <v>2559</v>
      </c>
      <c r="E76" s="2562" t="s">
        <v>2560</v>
      </c>
      <c r="F76" s="2562" t="s">
        <v>2561</v>
      </c>
      <c r="G76" s="2562" t="s">
        <v>2562</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784</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551</v>
      </c>
      <c r="B88" s="664" t="s">
        <v>747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749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751</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753</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2555</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755</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2"/>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3" t="s">
        <v>2075</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79" t="s">
        <v>798</v>
      </c>
      <c r="D4" s="3380"/>
      <c r="E4" s="3379" t="s">
        <v>799</v>
      </c>
      <c r="F4" s="3380"/>
      <c r="G4" s="3379" t="s">
        <v>800</v>
      </c>
      <c r="H4" s="3380"/>
      <c r="I4" s="3379" t="s">
        <v>801</v>
      </c>
      <c r="J4" s="3380"/>
      <c r="K4" s="513" t="s">
        <v>802</v>
      </c>
      <c r="L4" s="2118"/>
      <c r="M4" s="2119"/>
      <c r="N4" s="2119"/>
      <c r="O4" s="2119"/>
      <c r="P4" s="3381" t="s">
        <v>803</v>
      </c>
      <c r="Q4" s="3382"/>
      <c r="R4" s="3387" t="s">
        <v>799</v>
      </c>
      <c r="S4" s="3388"/>
      <c r="T4" s="3387" t="s">
        <v>800</v>
      </c>
      <c r="U4" s="3388"/>
      <c r="V4" s="3374" t="s">
        <v>801</v>
      </c>
      <c r="W4" s="3374"/>
      <c r="X4" s="1553"/>
      <c r="Y4" s="3387" t="s">
        <v>803</v>
      </c>
      <c r="Z4" s="3388"/>
      <c r="AA4" s="3376" t="s">
        <v>799</v>
      </c>
      <c r="AB4" s="3377" t="s">
        <v>800</v>
      </c>
      <c r="AC4" s="3376" t="s">
        <v>801</v>
      </c>
    </row>
    <row r="5" spans="1:29" ht="15">
      <c r="A5" s="514"/>
      <c r="B5" s="515"/>
      <c r="C5" s="3395" t="s">
        <v>2930</v>
      </c>
      <c r="D5" s="3396"/>
      <c r="E5" s="3395" t="s">
        <v>2931</v>
      </c>
      <c r="F5" s="3396"/>
      <c r="G5" s="3395" t="s">
        <v>2932</v>
      </c>
      <c r="H5" s="3396"/>
      <c r="I5" s="3395" t="s">
        <v>2933</v>
      </c>
      <c r="J5" s="3396"/>
      <c r="K5" s="513"/>
      <c r="L5" s="2118"/>
      <c r="M5" s="2119"/>
      <c r="N5" s="2119"/>
      <c r="O5" s="2119"/>
      <c r="P5" s="3383"/>
      <c r="Q5" s="3384"/>
      <c r="R5" s="3389"/>
      <c r="S5" s="3390"/>
      <c r="T5" s="3389"/>
      <c r="U5" s="3390"/>
      <c r="V5" s="3374"/>
      <c r="W5" s="3374"/>
      <c r="X5" s="1553"/>
      <c r="Y5" s="3389"/>
      <c r="Z5" s="3390"/>
      <c r="AA5" s="3377"/>
      <c r="AB5" s="3377"/>
      <c r="AC5" s="3377"/>
    </row>
    <row r="6" spans="1:29" ht="15.75" thickBot="1">
      <c r="A6" s="516"/>
      <c r="B6" s="517"/>
      <c r="C6" s="3393" t="s">
        <v>2934</v>
      </c>
      <c r="D6" s="3394"/>
      <c r="E6" s="3397" t="s">
        <v>2934</v>
      </c>
      <c r="F6" s="3398"/>
      <c r="G6" s="3393" t="s">
        <v>2934</v>
      </c>
      <c r="H6" s="3394"/>
      <c r="I6" s="3393" t="s">
        <v>2934</v>
      </c>
      <c r="J6" s="3394"/>
      <c r="K6" s="513" t="s">
        <v>528</v>
      </c>
      <c r="L6" s="2118"/>
      <c r="M6" s="2119"/>
      <c r="N6" s="2119"/>
      <c r="O6" s="2119"/>
      <c r="P6" s="3385"/>
      <c r="Q6" s="3386"/>
      <c r="R6" s="3389"/>
      <c r="S6" s="3390"/>
      <c r="T6" s="3391"/>
      <c r="U6" s="3392"/>
      <c r="V6" s="3374"/>
      <c r="W6" s="3374"/>
      <c r="X6" s="1553"/>
      <c r="Y6" s="3391"/>
      <c r="Z6" s="3392"/>
      <c r="AA6" s="3378"/>
      <c r="AB6" s="3378"/>
      <c r="AC6" s="3378"/>
    </row>
    <row r="7" spans="1:29" s="1215" customFormat="1" ht="15.75" thickBot="1">
      <c r="A7" s="2867"/>
      <c r="B7" s="2874" t="s">
        <v>529</v>
      </c>
      <c r="C7" s="518">
        <f>'数据-取费表'!B2</f>
        <v>43734</v>
      </c>
      <c r="D7" s="519">
        <v>100</v>
      </c>
      <c r="E7" s="520"/>
      <c r="F7" s="521">
        <f>SUMIF(48:48,YEAR(E7)&amp;"-"&amp;MONTH(E7),49:49)</f>
        <v>0</v>
      </c>
      <c r="G7" s="522"/>
      <c r="H7" s="519">
        <f>SUMIF(48:48,YEAR(G7)&amp;"-"&amp;MONTH(G7),49:49)</f>
        <v>0</v>
      </c>
      <c r="I7" s="522"/>
      <c r="J7" s="519">
        <f>SUMIF(48:48,YEAR(I7)&amp;"-"&amp;MONTH(I7),49:49)</f>
        <v>0</v>
      </c>
      <c r="K7" s="523"/>
      <c r="L7" s="2120"/>
      <c r="M7" s="2121"/>
      <c r="N7" s="2121"/>
      <c r="O7" s="2121"/>
      <c r="P7" s="3404" t="s">
        <v>530</v>
      </c>
      <c r="Q7" s="3406"/>
      <c r="R7" s="1554" t="s">
        <v>8</v>
      </c>
      <c r="S7" s="1555">
        <f t="shared" ref="S7:S14" si="0">F7</f>
        <v>0</v>
      </c>
      <c r="T7" s="1554" t="s">
        <v>8</v>
      </c>
      <c r="U7" s="1555">
        <f t="shared" ref="U7:U14" si="1">H7</f>
        <v>0</v>
      </c>
      <c r="V7" s="1554" t="s">
        <v>8</v>
      </c>
      <c r="W7" s="1555">
        <f t="shared" ref="W7:W14" si="2">J7</f>
        <v>0</v>
      </c>
      <c r="X7" s="1556"/>
      <c r="Y7" s="3404" t="s">
        <v>530</v>
      </c>
      <c r="Z7" s="3405"/>
      <c r="AA7" s="1557" t="e">
        <f>D7/F7</f>
        <v>#DIV/0!</v>
      </c>
      <c r="AB7" s="1557" t="e">
        <f>D7/H7</f>
        <v>#DIV/0!</v>
      </c>
      <c r="AC7" s="1557" t="e">
        <f>D7/J7</f>
        <v>#DIV/0!</v>
      </c>
    </row>
    <row r="8" spans="1:29" s="1215" customFormat="1" ht="15.75" thickBot="1">
      <c r="A8" s="2868"/>
      <c r="B8" s="2875" t="s">
        <v>531</v>
      </c>
      <c r="C8" s="524" t="s">
        <v>576</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36" si="3">D8/F8</f>
        <v>#DIV/0!</v>
      </c>
      <c r="AB8" s="1557" t="e">
        <f t="shared" ref="AB8:AB36" si="4">D8/H8</f>
        <v>#DIV/0!</v>
      </c>
      <c r="AC8" s="1557" t="e">
        <f t="shared" ref="AC8:AC36" si="5">D8/J8</f>
        <v>#DIV/0!</v>
      </c>
    </row>
    <row r="9" spans="1:29" s="1215" customFormat="1" ht="15">
      <c r="A9" s="2869"/>
      <c r="B9" s="2876" t="s">
        <v>2755</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73" t="s">
        <v>535</v>
      </c>
      <c r="Q9" s="1146" t="str">
        <f t="shared" ref="Q9:Q14" si="6">B9</f>
        <v>用途</v>
      </c>
      <c r="R9" s="1554" t="s">
        <v>8</v>
      </c>
      <c r="S9" s="1555">
        <f t="shared" si="0"/>
        <v>100</v>
      </c>
      <c r="T9" s="1554" t="s">
        <v>8</v>
      </c>
      <c r="U9" s="1555">
        <f t="shared" si="1"/>
        <v>100</v>
      </c>
      <c r="V9" s="1554" t="s">
        <v>8</v>
      </c>
      <c r="W9" s="1555">
        <f t="shared" si="2"/>
        <v>100</v>
      </c>
      <c r="X9" s="1556"/>
      <c r="Y9" s="3315" t="s">
        <v>536</v>
      </c>
      <c r="Z9" s="1145" t="str">
        <f t="shared" ref="Z9:Z14" si="7">Q9</f>
        <v>用途</v>
      </c>
      <c r="AA9" s="1557">
        <f t="shared" si="3"/>
        <v>1</v>
      </c>
      <c r="AB9" s="1557">
        <f t="shared" si="4"/>
        <v>1</v>
      </c>
      <c r="AC9" s="1557">
        <f t="shared" si="5"/>
        <v>1</v>
      </c>
    </row>
    <row r="10" spans="1:29" s="1333" customFormat="1" ht="27">
      <c r="A10" s="2870"/>
      <c r="B10" s="2875" t="s">
        <v>2756</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73"/>
      <c r="Q11" s="1146">
        <f t="shared" si="6"/>
        <v>111</v>
      </c>
      <c r="R11" s="1554" t="s">
        <v>8</v>
      </c>
      <c r="S11" s="1555">
        <f t="shared" si="0"/>
        <v>100</v>
      </c>
      <c r="T11" s="1554" t="s">
        <v>8</v>
      </c>
      <c r="U11" s="1555">
        <f t="shared" si="1"/>
        <v>100</v>
      </c>
      <c r="V11" s="1554" t="s">
        <v>8</v>
      </c>
      <c r="W11" s="1555">
        <f t="shared" si="2"/>
        <v>100</v>
      </c>
      <c r="X11" s="1556"/>
      <c r="Y11" s="3315"/>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73"/>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73"/>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85.5">
      <c r="A14" s="2865" t="s">
        <v>2753</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407" t="s">
        <v>540</v>
      </c>
      <c r="Q14" s="1558" t="str">
        <f t="shared" si="6"/>
        <v>交通便捷度</v>
      </c>
      <c r="R14" s="1559" t="s">
        <v>8</v>
      </c>
      <c r="S14" s="1560">
        <f t="shared" si="0"/>
        <v>100</v>
      </c>
      <c r="T14" s="1559" t="s">
        <v>8</v>
      </c>
      <c r="U14" s="1560">
        <f t="shared" si="1"/>
        <v>100</v>
      </c>
      <c r="V14" s="1559" t="s">
        <v>8</v>
      </c>
      <c r="W14" s="1560">
        <f t="shared" si="2"/>
        <v>100</v>
      </c>
      <c r="X14" s="1553"/>
      <c r="Y14" s="3407"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408"/>
      <c r="Q15" s="1558"/>
      <c r="R15" s="1559"/>
      <c r="S15" s="1560"/>
      <c r="T15" s="1559"/>
      <c r="U15" s="1560"/>
      <c r="V15" s="1559"/>
      <c r="W15" s="1560"/>
      <c r="X15" s="1553"/>
      <c r="Y15" s="3408"/>
      <c r="Z15" s="1561"/>
      <c r="AA15" s="1562">
        <v>1</v>
      </c>
      <c r="AB15" s="1562">
        <v>1</v>
      </c>
      <c r="AC15" s="1562">
        <v>1</v>
      </c>
    </row>
    <row r="16" spans="1:29" ht="42.75">
      <c r="A16" s="514"/>
      <c r="B16" s="2567"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408"/>
      <c r="Q17" s="1558"/>
      <c r="R17" s="1559"/>
      <c r="S17" s="1560"/>
      <c r="T17" s="1559"/>
      <c r="U17" s="1560"/>
      <c r="V17" s="1559"/>
      <c r="W17" s="1560"/>
      <c r="X17" s="1553"/>
      <c r="Y17" s="3408"/>
      <c r="Z17" s="1561"/>
      <c r="AA17" s="1562">
        <v>1</v>
      </c>
      <c r="AB17" s="1562">
        <v>1</v>
      </c>
      <c r="AC17" s="1562">
        <v>1</v>
      </c>
    </row>
    <row r="18" spans="1:29" ht="28.5">
      <c r="A18" s="514"/>
      <c r="B18" s="2555"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408"/>
      <c r="Q18" s="2543" t="str">
        <f>B18</f>
        <v>基础设施水平</v>
      </c>
      <c r="R18" s="1559" t="s">
        <v>8</v>
      </c>
      <c r="S18" s="1560">
        <f>F18</f>
        <v>100</v>
      </c>
      <c r="T18" s="1559" t="s">
        <v>8</v>
      </c>
      <c r="U18" s="1560">
        <f>H18</f>
        <v>100</v>
      </c>
      <c r="V18" s="1559" t="s">
        <v>8</v>
      </c>
      <c r="W18" s="1560">
        <f>J18</f>
        <v>100</v>
      </c>
      <c r="X18" s="2545"/>
      <c r="Y18" s="3408"/>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408"/>
      <c r="Q19" s="2543"/>
      <c r="R19" s="1559"/>
      <c r="S19" s="1560"/>
      <c r="T19" s="1559"/>
      <c r="U19" s="1560"/>
      <c r="V19" s="1559"/>
      <c r="W19" s="1560"/>
      <c r="X19" s="2545"/>
      <c r="Y19" s="3408"/>
      <c r="Z19" s="2544"/>
      <c r="AA19" s="1562">
        <v>1</v>
      </c>
      <c r="AB19" s="1562">
        <v>1</v>
      </c>
      <c r="AC19" s="1562">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408"/>
      <c r="Q21" s="1558"/>
      <c r="R21" s="1559"/>
      <c r="S21" s="1560"/>
      <c r="T21" s="1559"/>
      <c r="U21" s="1560"/>
      <c r="V21" s="1559"/>
      <c r="W21" s="1560"/>
      <c r="X21" s="1553"/>
      <c r="Y21" s="3408"/>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408"/>
      <c r="Q24" s="1558">
        <f t="shared" ref="Q24:Q36"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408"/>
      <c r="Q25" s="1146">
        <f t="shared" si="11"/>
        <v>111</v>
      </c>
      <c r="R25" s="1554" t="s">
        <v>8</v>
      </c>
      <c r="S25" s="1555">
        <f>F25</f>
        <v>100</v>
      </c>
      <c r="T25" s="1554" t="s">
        <v>8</v>
      </c>
      <c r="U25" s="1555">
        <f>H25</f>
        <v>100</v>
      </c>
      <c r="V25" s="1554" t="s">
        <v>8</v>
      </c>
      <c r="W25" s="1555">
        <f>J25</f>
        <v>100</v>
      </c>
      <c r="X25" s="1556"/>
      <c r="Y25" s="3408"/>
      <c r="Z25" s="1145">
        <f>Q25</f>
        <v>111</v>
      </c>
      <c r="AA25" s="1562">
        <f>D25/F25</f>
        <v>1</v>
      </c>
      <c r="AB25" s="1562">
        <f>D25/H25</f>
        <v>1</v>
      </c>
      <c r="AC25" s="1562">
        <f>D25/J25</f>
        <v>1</v>
      </c>
    </row>
    <row r="26" spans="1:29" ht="15">
      <c r="A26" s="2862"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40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0"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10"/>
      <c r="Q27" s="1590" t="str">
        <f t="shared" si="11"/>
        <v>项目停车位配比</v>
      </c>
      <c r="R27" s="1563" t="s">
        <v>8</v>
      </c>
      <c r="S27" s="1564">
        <f t="shared" si="12"/>
        <v>100</v>
      </c>
      <c r="T27" s="1563" t="s">
        <v>8</v>
      </c>
      <c r="U27" s="1564">
        <f t="shared" si="13"/>
        <v>100</v>
      </c>
      <c r="V27" s="1563" t="s">
        <v>8</v>
      </c>
      <c r="W27" s="1564">
        <f t="shared" si="14"/>
        <v>100</v>
      </c>
      <c r="X27" s="1565"/>
      <c r="Y27" s="3410"/>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10"/>
      <c r="Q28" s="1558" t="str">
        <f t="shared" si="11"/>
        <v>公共部分装修</v>
      </c>
      <c r="R28" s="1559" t="s">
        <v>8</v>
      </c>
      <c r="S28" s="1560">
        <f t="shared" si="12"/>
        <v>100</v>
      </c>
      <c r="T28" s="1559" t="s">
        <v>8</v>
      </c>
      <c r="U28" s="1560">
        <f t="shared" si="13"/>
        <v>100</v>
      </c>
      <c r="V28" s="1559" t="s">
        <v>8</v>
      </c>
      <c r="W28" s="1560">
        <f t="shared" si="14"/>
        <v>100</v>
      </c>
      <c r="X28" s="1553"/>
      <c r="Y28" s="3410"/>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10"/>
      <c r="Q29" s="1558" t="str">
        <f t="shared" si="11"/>
        <v>成新率</v>
      </c>
      <c r="R29" s="1559" t="s">
        <v>8</v>
      </c>
      <c r="S29" s="1560" t="e">
        <f t="shared" si="12"/>
        <v>#N/A</v>
      </c>
      <c r="T29" s="1559" t="s">
        <v>8</v>
      </c>
      <c r="U29" s="1560" t="e">
        <f t="shared" si="13"/>
        <v>#N/A</v>
      </c>
      <c r="V29" s="1559" t="s">
        <v>8</v>
      </c>
      <c r="W29" s="1560" t="e">
        <f t="shared" si="14"/>
        <v>#N/A</v>
      </c>
      <c r="X29" s="1553"/>
      <c r="Y29" s="3410"/>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10"/>
      <c r="Q30" s="1558" t="str">
        <f t="shared" si="11"/>
        <v>物业等级</v>
      </c>
      <c r="R30" s="1559" t="s">
        <v>8</v>
      </c>
      <c r="S30" s="1560">
        <f t="shared" si="12"/>
        <v>100</v>
      </c>
      <c r="T30" s="1559" t="s">
        <v>8</v>
      </c>
      <c r="U30" s="1560">
        <f t="shared" si="13"/>
        <v>100</v>
      </c>
      <c r="V30" s="1559" t="s">
        <v>8</v>
      </c>
      <c r="W30" s="1560">
        <f t="shared" si="14"/>
        <v>100</v>
      </c>
      <c r="X30" s="1553"/>
      <c r="Y30" s="3410"/>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10"/>
      <c r="Q31" s="1146" t="str">
        <f t="shared" si="11"/>
        <v>停车位面积</v>
      </c>
      <c r="R31" s="1554" t="s">
        <v>8</v>
      </c>
      <c r="S31" s="1555" t="e">
        <f t="shared" si="12"/>
        <v>#N/A</v>
      </c>
      <c r="T31" s="1554" t="s">
        <v>8</v>
      </c>
      <c r="U31" s="1555" t="e">
        <f t="shared" si="13"/>
        <v>#N/A</v>
      </c>
      <c r="V31" s="1554" t="s">
        <v>8</v>
      </c>
      <c r="W31" s="1555" t="e">
        <f t="shared" si="14"/>
        <v>#N/A</v>
      </c>
      <c r="X31" s="1556"/>
      <c r="Y31" s="3410"/>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10" t="s">
        <v>550</v>
      </c>
      <c r="Q32" s="1558" t="str">
        <f t="shared" si="11"/>
        <v>车位类型</v>
      </c>
      <c r="R32" s="1559" t="s">
        <v>8</v>
      </c>
      <c r="S32" s="1560">
        <f t="shared" si="12"/>
        <v>100</v>
      </c>
      <c r="T32" s="1559" t="s">
        <v>8</v>
      </c>
      <c r="U32" s="1560">
        <f t="shared" si="13"/>
        <v>100</v>
      </c>
      <c r="V32" s="1559" t="s">
        <v>8</v>
      </c>
      <c r="W32" s="1560">
        <f t="shared" si="14"/>
        <v>100</v>
      </c>
      <c r="X32" s="1553"/>
      <c r="Y32" s="3410"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10"/>
      <c r="Q33" s="1558" t="str">
        <f t="shared" si="11"/>
        <v>是否直接入户</v>
      </c>
      <c r="R33" s="1559" t="s">
        <v>8</v>
      </c>
      <c r="S33" s="1560">
        <f t="shared" si="12"/>
        <v>100</v>
      </c>
      <c r="T33" s="1559" t="s">
        <v>8</v>
      </c>
      <c r="U33" s="1560">
        <f t="shared" si="13"/>
        <v>100</v>
      </c>
      <c r="V33" s="1559" t="s">
        <v>8</v>
      </c>
      <c r="W33" s="1560">
        <f t="shared" si="14"/>
        <v>100</v>
      </c>
      <c r="X33" s="1553"/>
      <c r="Y33" s="3410"/>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10"/>
      <c r="Q35" s="1590">
        <f t="shared" si="11"/>
        <v>111</v>
      </c>
      <c r="R35" s="1563" t="s">
        <v>8</v>
      </c>
      <c r="S35" s="1564">
        <f t="shared" si="12"/>
        <v>100</v>
      </c>
      <c r="T35" s="1563" t="s">
        <v>8</v>
      </c>
      <c r="U35" s="1564">
        <f t="shared" si="13"/>
        <v>100</v>
      </c>
      <c r="V35" s="1563" t="s">
        <v>8</v>
      </c>
      <c r="W35" s="1564">
        <f t="shared" si="14"/>
        <v>100</v>
      </c>
      <c r="X35" s="1565"/>
      <c r="Y35" s="3410"/>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10"/>
      <c r="Q36" s="1558">
        <f t="shared" si="11"/>
        <v>111</v>
      </c>
      <c r="R36" s="1559" t="s">
        <v>8</v>
      </c>
      <c r="S36" s="1560">
        <f t="shared" si="12"/>
        <v>100</v>
      </c>
      <c r="T36" s="1559" t="s">
        <v>8</v>
      </c>
      <c r="U36" s="1560">
        <f t="shared" si="13"/>
        <v>100</v>
      </c>
      <c r="V36" s="1559" t="s">
        <v>8</v>
      </c>
      <c r="W36" s="1560">
        <f t="shared" si="14"/>
        <v>100</v>
      </c>
      <c r="X36" s="1553"/>
      <c r="Y36" s="3410"/>
      <c r="Z36" s="1561">
        <f t="shared" si="15"/>
        <v>111</v>
      </c>
      <c r="AA36" s="1562">
        <f t="shared" si="3"/>
        <v>1</v>
      </c>
      <c r="AB36" s="1562">
        <f t="shared" si="4"/>
        <v>1</v>
      </c>
      <c r="AC36" s="1562">
        <f t="shared" si="5"/>
        <v>1</v>
      </c>
    </row>
    <row r="37" spans="1:29" ht="15">
      <c r="A37" s="1831" t="s">
        <v>2076</v>
      </c>
      <c r="B37" s="1832" t="s">
        <v>2077</v>
      </c>
      <c r="C37" s="2591" t="s">
        <v>1</v>
      </c>
      <c r="D37" s="2592"/>
      <c r="E37" s="2593"/>
      <c r="F37" s="2594"/>
      <c r="G37" s="2595"/>
      <c r="H37" s="2596"/>
      <c r="I37" s="2593"/>
      <c r="J37" s="2596"/>
      <c r="K37" s="1596"/>
      <c r="L37" s="2129"/>
      <c r="M37" s="2130"/>
      <c r="N37" s="2119"/>
      <c r="O37" s="2130"/>
      <c r="P37" s="3373" t="str">
        <f>A37</f>
        <v>成交单价</v>
      </c>
      <c r="Q37" s="3373"/>
      <c r="R37" s="3490">
        <f>E37</f>
        <v>0</v>
      </c>
      <c r="S37" s="3490"/>
      <c r="T37" s="3490">
        <f>G37</f>
        <v>0</v>
      </c>
      <c r="U37" s="3490"/>
      <c r="V37" s="3490">
        <f>I37</f>
        <v>0</v>
      </c>
      <c r="W37" s="3490"/>
      <c r="X37" s="1545"/>
      <c r="Y37" s="1567"/>
      <c r="Z37" s="1545"/>
      <c r="AA37" s="1545"/>
      <c r="AB37" s="1545"/>
      <c r="AC37" s="1545"/>
    </row>
    <row r="38" spans="1:29" ht="15.75" thickBot="1">
      <c r="A38" s="614" t="s">
        <v>2759</v>
      </c>
      <c r="B38" s="887"/>
      <c r="C38" s="2597" t="e">
        <f>R39</f>
        <v>#DIV/0!</v>
      </c>
      <c r="D38" s="2598"/>
      <c r="E38" s="2599" t="e">
        <f>R38</f>
        <v>#DIV/0!</v>
      </c>
      <c r="F38" s="2599"/>
      <c r="G38" s="2597" t="e">
        <f>T38</f>
        <v>#DIV/0!</v>
      </c>
      <c r="H38" s="2598"/>
      <c r="I38" s="2599" t="e">
        <f>V38</f>
        <v>#DIV/0!</v>
      </c>
      <c r="J38" s="2598"/>
      <c r="K38" s="1597"/>
      <c r="L38" s="2129"/>
      <c r="M38" s="2130"/>
      <c r="N38" s="2130"/>
      <c r="O38" s="2130"/>
      <c r="P38" s="3373" t="str">
        <f>A38</f>
        <v>比较价格（元/平方米）</v>
      </c>
      <c r="Q38" s="3373"/>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45"/>
      <c r="Y38" s="1545"/>
      <c r="Z38" s="1545"/>
      <c r="AA38" s="1545"/>
      <c r="AB38" s="1545"/>
      <c r="AC38" s="1545"/>
    </row>
    <row r="39" spans="1:29" ht="15.75" thickBot="1">
      <c r="A39" s="620" t="s">
        <v>2936</v>
      </c>
      <c r="B39" s="621"/>
      <c r="C39" s="2600" t="e">
        <f>R39</f>
        <v>#DIV/0!</v>
      </c>
      <c r="D39" s="2600"/>
      <c r="E39" s="2600"/>
      <c r="F39" s="2600"/>
      <c r="G39" s="2600"/>
      <c r="H39" s="2600"/>
      <c r="I39" s="2600"/>
      <c r="J39" s="2600"/>
      <c r="K39" s="1598"/>
      <c r="L39" s="2129"/>
      <c r="M39" s="2130"/>
      <c r="N39" s="2130"/>
      <c r="O39" s="2130"/>
      <c r="P39" s="3370" t="str">
        <f>A39</f>
        <v>估价对象XX用房的比较价格（楼面单价，元/平方米）</v>
      </c>
      <c r="Q39" s="3371"/>
      <c r="R39" s="3489" t="e">
        <f>IF(F1="售价",ROUND(AVERAGE(R38:V38),0),ROUND(AVERAGE(R38:V38),1))</f>
        <v>#DIV/0!</v>
      </c>
      <c r="S39" s="3489"/>
      <c r="T39" s="3489"/>
      <c r="U39" s="3489"/>
      <c r="V39" s="3489"/>
      <c r="W39" s="3489"/>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529</v>
      </c>
      <c r="B48" s="645"/>
      <c r="C48" s="2757" t="str">
        <f>YEAR(C7)&amp;"-"&amp;MONTH(C7)</f>
        <v>2019-9</v>
      </c>
      <c r="D48" s="2759">
        <f>EDATE(C48,-1)</f>
        <v>43678</v>
      </c>
      <c r="E48" s="2759">
        <f t="shared" ref="E48:O48" si="16">EDATE(D48,-1)</f>
        <v>43647</v>
      </c>
      <c r="F48" s="2759">
        <f t="shared" si="16"/>
        <v>43617</v>
      </c>
      <c r="G48" s="2759">
        <f t="shared" si="16"/>
        <v>43586</v>
      </c>
      <c r="H48" s="2759">
        <f t="shared" si="16"/>
        <v>43556</v>
      </c>
      <c r="I48" s="2759">
        <f t="shared" si="16"/>
        <v>43525</v>
      </c>
      <c r="J48" s="2759">
        <f t="shared" si="16"/>
        <v>43497</v>
      </c>
      <c r="K48" s="2759">
        <f t="shared" si="16"/>
        <v>43466</v>
      </c>
      <c r="L48" s="2759">
        <f t="shared" si="16"/>
        <v>43435</v>
      </c>
      <c r="M48" s="2759">
        <f t="shared" si="16"/>
        <v>43405</v>
      </c>
      <c r="N48" s="2759">
        <f t="shared" si="16"/>
        <v>43374</v>
      </c>
      <c r="O48" s="2759">
        <f t="shared" si="16"/>
        <v>43344</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575</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531</v>
      </c>
      <c r="B51" s="647"/>
      <c r="C51" s="659" t="s">
        <v>576</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577</v>
      </c>
      <c r="B53" s="664" t="s">
        <v>534</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2556</v>
      </c>
      <c r="C65" s="707" t="s">
        <v>579</v>
      </c>
      <c r="D65" s="707" t="s">
        <v>580</v>
      </c>
      <c r="E65" s="707" t="s">
        <v>581</v>
      </c>
      <c r="F65" s="707" t="s">
        <v>582</v>
      </c>
      <c r="G65" s="707" t="s">
        <v>583</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2557</v>
      </c>
      <c r="C67" s="2562" t="s">
        <v>2558</v>
      </c>
      <c r="D67" s="2562" t="s">
        <v>2559</v>
      </c>
      <c r="E67" s="2562" t="s">
        <v>2560</v>
      </c>
      <c r="F67" s="2562" t="s">
        <v>2561</v>
      </c>
      <c r="G67" s="2562" t="s">
        <v>2562</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744</v>
      </c>
      <c r="C69" s="707" t="s">
        <v>579</v>
      </c>
      <c r="D69" s="707" t="s">
        <v>580</v>
      </c>
      <c r="E69" s="707" t="s">
        <v>581</v>
      </c>
      <c r="F69" s="707" t="s">
        <v>582</v>
      </c>
      <c r="G69" s="707" t="s">
        <v>583</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745</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551</v>
      </c>
      <c r="B79" s="664" t="s">
        <v>814</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751</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817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819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820</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2"/>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79" t="s">
        <v>798</v>
      </c>
      <c r="D4" s="3380"/>
      <c r="E4" s="3413" t="s">
        <v>799</v>
      </c>
      <c r="F4" s="3414"/>
      <c r="G4" s="3379" t="s">
        <v>800</v>
      </c>
      <c r="H4" s="3380"/>
      <c r="I4" s="3379" t="s">
        <v>801</v>
      </c>
      <c r="J4" s="3380"/>
      <c r="K4" s="513" t="s">
        <v>802</v>
      </c>
      <c r="L4" s="2118"/>
      <c r="M4" s="2119"/>
      <c r="N4" s="2119"/>
      <c r="O4" s="2119"/>
      <c r="P4" s="3381" t="s">
        <v>803</v>
      </c>
      <c r="Q4" s="3382"/>
      <c r="R4" s="3387" t="s">
        <v>799</v>
      </c>
      <c r="S4" s="3388"/>
      <c r="T4" s="3387" t="s">
        <v>800</v>
      </c>
      <c r="U4" s="3388"/>
      <c r="V4" s="3374" t="s">
        <v>801</v>
      </c>
      <c r="W4" s="3374"/>
      <c r="X4" s="1553"/>
      <c r="Y4" s="3387" t="s">
        <v>803</v>
      </c>
      <c r="Z4" s="3388"/>
      <c r="AA4" s="3376" t="s">
        <v>799</v>
      </c>
      <c r="AB4" s="3377" t="s">
        <v>800</v>
      </c>
      <c r="AC4" s="3376" t="s">
        <v>801</v>
      </c>
    </row>
    <row r="5" spans="1:29" ht="15">
      <c r="A5" s="514"/>
      <c r="B5" s="515"/>
      <c r="C5" s="3395" t="s">
        <v>2930</v>
      </c>
      <c r="D5" s="3396"/>
      <c r="E5" s="3415" t="s">
        <v>2931</v>
      </c>
      <c r="F5" s="3416"/>
      <c r="G5" s="3395" t="s">
        <v>2932</v>
      </c>
      <c r="H5" s="3396"/>
      <c r="I5" s="3395" t="s">
        <v>2933</v>
      </c>
      <c r="J5" s="3396"/>
      <c r="K5" s="513"/>
      <c r="L5" s="2118"/>
      <c r="M5" s="2119"/>
      <c r="N5" s="2119"/>
      <c r="O5" s="2119"/>
      <c r="P5" s="3383"/>
      <c r="Q5" s="3384"/>
      <c r="R5" s="3389"/>
      <c r="S5" s="3390"/>
      <c r="T5" s="3389"/>
      <c r="U5" s="3390"/>
      <c r="V5" s="3374"/>
      <c r="W5" s="3374"/>
      <c r="X5" s="1553"/>
      <c r="Y5" s="3389"/>
      <c r="Z5" s="3390"/>
      <c r="AA5" s="3377"/>
      <c r="AB5" s="3377"/>
      <c r="AC5" s="3377"/>
    </row>
    <row r="6" spans="1:29" ht="15.75" thickBot="1">
      <c r="A6" s="516"/>
      <c r="B6" s="517"/>
      <c r="C6" s="3393" t="s">
        <v>2934</v>
      </c>
      <c r="D6" s="3394"/>
      <c r="E6" s="3411" t="s">
        <v>2934</v>
      </c>
      <c r="F6" s="3412"/>
      <c r="G6" s="3393" t="s">
        <v>2934</v>
      </c>
      <c r="H6" s="3394"/>
      <c r="I6" s="3393" t="s">
        <v>2934</v>
      </c>
      <c r="J6" s="3394"/>
      <c r="K6" s="513" t="s">
        <v>528</v>
      </c>
      <c r="L6" s="2118"/>
      <c r="M6" s="2119"/>
      <c r="N6" s="2119"/>
      <c r="O6" s="2119"/>
      <c r="P6" s="3385"/>
      <c r="Q6" s="3386"/>
      <c r="R6" s="3389"/>
      <c r="S6" s="3390"/>
      <c r="T6" s="3391"/>
      <c r="U6" s="3392"/>
      <c r="V6" s="3374"/>
      <c r="W6" s="3374"/>
      <c r="X6" s="1553"/>
      <c r="Y6" s="3391"/>
      <c r="Z6" s="3392"/>
      <c r="AA6" s="3378"/>
      <c r="AB6" s="3378"/>
      <c r="AC6" s="3378"/>
    </row>
    <row r="7" spans="1:29" s="1215" customFormat="1" ht="15.75" thickBot="1">
      <c r="A7" s="2867"/>
      <c r="B7" s="2874" t="s">
        <v>529</v>
      </c>
      <c r="C7" s="518">
        <f>'数据-取费表'!B2</f>
        <v>43734</v>
      </c>
      <c r="D7" s="519">
        <v>100</v>
      </c>
      <c r="E7" s="520"/>
      <c r="F7" s="521">
        <f>SUMIF(46:46,YEAR(E7)&amp;"-"&amp;MONTH(E7),47:47)</f>
        <v>0</v>
      </c>
      <c r="G7" s="522"/>
      <c r="H7" s="519">
        <f>SUMIF(46:46,YEAR(G7)&amp;"-"&amp;MONTH(G7),47:47)</f>
        <v>0</v>
      </c>
      <c r="I7" s="522"/>
      <c r="J7" s="519">
        <f>SUMIF(46:46,YEAR(I7)&amp;"-"&amp;MONTH(I7),47:47)</f>
        <v>0</v>
      </c>
      <c r="K7" s="523"/>
      <c r="L7" s="2120"/>
      <c r="M7" s="2121"/>
      <c r="N7" s="2121"/>
      <c r="O7" s="2121"/>
      <c r="P7" s="3404" t="s">
        <v>530</v>
      </c>
      <c r="Q7" s="3406"/>
      <c r="R7" s="1554" t="s">
        <v>8</v>
      </c>
      <c r="S7" s="1555">
        <f t="shared" ref="S7:S14" si="0">F7</f>
        <v>0</v>
      </c>
      <c r="T7" s="1554" t="s">
        <v>8</v>
      </c>
      <c r="U7" s="1555">
        <f t="shared" ref="U7:U14" si="1">H7</f>
        <v>0</v>
      </c>
      <c r="V7" s="1554" t="s">
        <v>8</v>
      </c>
      <c r="W7" s="1555">
        <f t="shared" ref="W7:W14" si="2">J7</f>
        <v>0</v>
      </c>
      <c r="X7" s="1556"/>
      <c r="Y7" s="3404" t="s">
        <v>530</v>
      </c>
      <c r="Z7" s="3405"/>
      <c r="AA7" s="1557" t="e">
        <f>D7/F7</f>
        <v>#DIV/0!</v>
      </c>
      <c r="AB7" s="1557" t="e">
        <f>D7/H7</f>
        <v>#DIV/0!</v>
      </c>
      <c r="AC7" s="1557" t="e">
        <f>D7/J7</f>
        <v>#DIV/0!</v>
      </c>
    </row>
    <row r="8" spans="1:29" s="1215" customFormat="1" ht="15.75" thickBot="1">
      <c r="A8" s="2868"/>
      <c r="B8" s="2875" t="s">
        <v>531</v>
      </c>
      <c r="C8" s="524" t="s">
        <v>576</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404" t="s">
        <v>533</v>
      </c>
      <c r="Q8" s="3405"/>
      <c r="R8" s="1554" t="s">
        <v>8</v>
      </c>
      <c r="S8" s="1555">
        <f t="shared" si="0"/>
        <v>0</v>
      </c>
      <c r="T8" s="1554" t="s">
        <v>8</v>
      </c>
      <c r="U8" s="1555">
        <f t="shared" si="1"/>
        <v>0</v>
      </c>
      <c r="V8" s="1554" t="s">
        <v>8</v>
      </c>
      <c r="W8" s="1555">
        <f t="shared" si="2"/>
        <v>0</v>
      </c>
      <c r="X8" s="1556"/>
      <c r="Y8" s="3404" t="s">
        <v>533</v>
      </c>
      <c r="Z8" s="3405"/>
      <c r="AA8" s="1557" t="e">
        <f t="shared" ref="AA8:AA34" si="3">D8/F8</f>
        <v>#DIV/0!</v>
      </c>
      <c r="AB8" s="1557" t="e">
        <f t="shared" ref="AB8:AB34" si="4">D8/H8</f>
        <v>#DIV/0!</v>
      </c>
      <c r="AC8" s="1557" t="e">
        <f t="shared" ref="AC8:AC34" si="5">D8/J8</f>
        <v>#DIV/0!</v>
      </c>
    </row>
    <row r="9" spans="1:29" s="1215" customFormat="1" ht="15">
      <c r="A9" s="2869"/>
      <c r="B9" s="2876" t="s">
        <v>2755</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73" t="s">
        <v>535</v>
      </c>
      <c r="Q9" s="1146" t="str">
        <f t="shared" ref="Q9:Q14" si="6">B9</f>
        <v>用途</v>
      </c>
      <c r="R9" s="1554" t="s">
        <v>8</v>
      </c>
      <c r="S9" s="1555">
        <f t="shared" si="0"/>
        <v>100</v>
      </c>
      <c r="T9" s="1554" t="s">
        <v>8</v>
      </c>
      <c r="U9" s="1555">
        <f t="shared" si="1"/>
        <v>100</v>
      </c>
      <c r="V9" s="1554" t="s">
        <v>8</v>
      </c>
      <c r="W9" s="1555">
        <f t="shared" si="2"/>
        <v>100</v>
      </c>
      <c r="X9" s="1556"/>
      <c r="Y9" s="3315" t="s">
        <v>536</v>
      </c>
      <c r="Z9" s="1145" t="str">
        <f t="shared" ref="Z9:Z14" si="7">Q9</f>
        <v>用途</v>
      </c>
      <c r="AA9" s="1557">
        <f t="shared" si="3"/>
        <v>1</v>
      </c>
      <c r="AB9" s="1557">
        <f t="shared" si="4"/>
        <v>1</v>
      </c>
      <c r="AC9" s="1557">
        <f t="shared" si="5"/>
        <v>1</v>
      </c>
    </row>
    <row r="10" spans="1:29" s="1333" customFormat="1" ht="27">
      <c r="A10" s="2870"/>
      <c r="B10" s="2875" t="s">
        <v>2756</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73"/>
      <c r="Q11" s="1146">
        <f t="shared" si="6"/>
        <v>111</v>
      </c>
      <c r="R11" s="1554" t="s">
        <v>8</v>
      </c>
      <c r="S11" s="1555">
        <f t="shared" si="0"/>
        <v>100</v>
      </c>
      <c r="T11" s="1554" t="s">
        <v>8</v>
      </c>
      <c r="U11" s="1555">
        <f t="shared" si="1"/>
        <v>100</v>
      </c>
      <c r="V11" s="1554" t="s">
        <v>8</v>
      </c>
      <c r="W11" s="1555">
        <f t="shared" si="2"/>
        <v>100</v>
      </c>
      <c r="X11" s="1556"/>
      <c r="Y11" s="3315"/>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73"/>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73"/>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85.5">
      <c r="A14" s="2865" t="s">
        <v>2753</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407" t="s">
        <v>540</v>
      </c>
      <c r="Q14" s="1558" t="str">
        <f t="shared" si="6"/>
        <v>交通便捷度</v>
      </c>
      <c r="R14" s="1559" t="s">
        <v>8</v>
      </c>
      <c r="S14" s="1560">
        <f t="shared" si="0"/>
        <v>100</v>
      </c>
      <c r="T14" s="1559" t="s">
        <v>8</v>
      </c>
      <c r="U14" s="1560">
        <f t="shared" si="1"/>
        <v>100</v>
      </c>
      <c r="V14" s="1559" t="s">
        <v>8</v>
      </c>
      <c r="W14" s="1560">
        <f t="shared" si="2"/>
        <v>100</v>
      </c>
      <c r="X14" s="1553"/>
      <c r="Y14" s="3407"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408"/>
      <c r="Q15" s="1558"/>
      <c r="R15" s="1559"/>
      <c r="S15" s="1560"/>
      <c r="T15" s="1559"/>
      <c r="U15" s="1560"/>
      <c r="V15" s="1559"/>
      <c r="W15" s="1560"/>
      <c r="X15" s="1553"/>
      <c r="Y15" s="3408"/>
      <c r="Z15" s="1561"/>
      <c r="AA15" s="1562">
        <v>1</v>
      </c>
      <c r="AB15" s="1562">
        <v>1</v>
      </c>
      <c r="AC15" s="1562">
        <v>1</v>
      </c>
    </row>
    <row r="16" spans="1:29" ht="42.75">
      <c r="A16" s="531"/>
      <c r="B16" s="2567"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408"/>
      <c r="Q17" s="1558"/>
      <c r="R17" s="1559"/>
      <c r="S17" s="1560"/>
      <c r="T17" s="1559"/>
      <c r="U17" s="1560"/>
      <c r="V17" s="1559"/>
      <c r="W17" s="1560"/>
      <c r="X17" s="1553"/>
      <c r="Y17" s="3408"/>
      <c r="Z17" s="1561"/>
      <c r="AA17" s="1562">
        <v>1</v>
      </c>
      <c r="AB17" s="1562">
        <v>1</v>
      </c>
      <c r="AC17" s="1562">
        <v>1</v>
      </c>
    </row>
    <row r="18" spans="1:29" ht="28.5">
      <c r="A18" s="531"/>
      <c r="B18" s="2555"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408"/>
      <c r="Q18" s="2543" t="str">
        <f>B18</f>
        <v>基础设施水平</v>
      </c>
      <c r="R18" s="1559" t="s">
        <v>8</v>
      </c>
      <c r="S18" s="1560">
        <f>F18</f>
        <v>100</v>
      </c>
      <c r="T18" s="1559" t="s">
        <v>8</v>
      </c>
      <c r="U18" s="1560">
        <f>H18</f>
        <v>100</v>
      </c>
      <c r="V18" s="1559" t="s">
        <v>8</v>
      </c>
      <c r="W18" s="1560">
        <f>J18</f>
        <v>100</v>
      </c>
      <c r="X18" s="2545"/>
      <c r="Y18" s="3408"/>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408"/>
      <c r="Q19" s="2543"/>
      <c r="R19" s="1559"/>
      <c r="S19" s="1560"/>
      <c r="T19" s="1559"/>
      <c r="U19" s="1560"/>
      <c r="V19" s="1559"/>
      <c r="W19" s="1560"/>
      <c r="X19" s="2545"/>
      <c r="Y19" s="3408"/>
      <c r="Z19" s="2544"/>
      <c r="AA19" s="1562">
        <v>1</v>
      </c>
      <c r="AB19" s="1562">
        <v>1</v>
      </c>
      <c r="AC19" s="1562">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408"/>
      <c r="Q21" s="1558"/>
      <c r="R21" s="1559"/>
      <c r="S21" s="1560"/>
      <c r="T21" s="1559"/>
      <c r="U21" s="1560"/>
      <c r="V21" s="1559"/>
      <c r="W21" s="1560"/>
      <c r="X21" s="1553"/>
      <c r="Y21" s="3408"/>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408"/>
      <c r="Q24" s="1558">
        <f t="shared" ref="Q24:Q34"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408"/>
      <c r="Q25" s="1146">
        <f t="shared" si="11"/>
        <v>111</v>
      </c>
      <c r="R25" s="1554" t="s">
        <v>8</v>
      </c>
      <c r="S25" s="1555">
        <f>F25</f>
        <v>100</v>
      </c>
      <c r="T25" s="1554" t="s">
        <v>8</v>
      </c>
      <c r="U25" s="1555">
        <f>H25</f>
        <v>100</v>
      </c>
      <c r="V25" s="1554" t="s">
        <v>8</v>
      </c>
      <c r="W25" s="1555">
        <f>J25</f>
        <v>100</v>
      </c>
      <c r="X25" s="1556"/>
      <c r="Y25" s="3408"/>
      <c r="Z25" s="1145">
        <f>Q25</f>
        <v>111</v>
      </c>
      <c r="AA25" s="1562">
        <f>D25/F25</f>
        <v>1</v>
      </c>
      <c r="AB25" s="1562">
        <f>D25/H25</f>
        <v>1</v>
      </c>
      <c r="AC25" s="1562">
        <f>D25/J25</f>
        <v>1</v>
      </c>
    </row>
    <row r="26" spans="1:29" ht="15">
      <c r="A26" s="2862"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40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0"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10"/>
      <c r="Q27" s="1590" t="str">
        <f t="shared" si="11"/>
        <v>成新率</v>
      </c>
      <c r="R27" s="1563" t="s">
        <v>8</v>
      </c>
      <c r="S27" s="1564" t="e">
        <f t="shared" si="12"/>
        <v>#N/A</v>
      </c>
      <c r="T27" s="1563" t="s">
        <v>8</v>
      </c>
      <c r="U27" s="1564" t="e">
        <f t="shared" si="13"/>
        <v>#N/A</v>
      </c>
      <c r="V27" s="1563" t="s">
        <v>8</v>
      </c>
      <c r="W27" s="1564" t="e">
        <f t="shared" si="14"/>
        <v>#N/A</v>
      </c>
      <c r="X27" s="1565"/>
      <c r="Y27" s="3410"/>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10"/>
      <c r="Q28" s="1558" t="str">
        <f t="shared" si="11"/>
        <v>物业等级</v>
      </c>
      <c r="R28" s="1559" t="s">
        <v>8</v>
      </c>
      <c r="S28" s="1560">
        <f t="shared" si="12"/>
        <v>100</v>
      </c>
      <c r="T28" s="1559" t="s">
        <v>8</v>
      </c>
      <c r="U28" s="1560">
        <f t="shared" si="13"/>
        <v>100</v>
      </c>
      <c r="V28" s="1559" t="s">
        <v>8</v>
      </c>
      <c r="W28" s="1560">
        <f t="shared" si="14"/>
        <v>100</v>
      </c>
      <c r="X28" s="1553"/>
      <c r="Y28" s="3410"/>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10"/>
      <c r="Q29" s="1558" t="str">
        <f t="shared" si="11"/>
        <v>有无电梯</v>
      </c>
      <c r="R29" s="1559" t="s">
        <v>8</v>
      </c>
      <c r="S29" s="1560">
        <f t="shared" si="12"/>
        <v>100</v>
      </c>
      <c r="T29" s="1559" t="s">
        <v>8</v>
      </c>
      <c r="U29" s="1560">
        <f t="shared" si="13"/>
        <v>100</v>
      </c>
      <c r="V29" s="1559" t="s">
        <v>8</v>
      </c>
      <c r="W29" s="1560">
        <f t="shared" si="14"/>
        <v>100</v>
      </c>
      <c r="X29" s="1553"/>
      <c r="Y29" s="3410"/>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10"/>
      <c r="Q30" s="1558" t="str">
        <f t="shared" si="11"/>
        <v>建筑面积</v>
      </c>
      <c r="R30" s="1559" t="s">
        <v>8</v>
      </c>
      <c r="S30" s="1560" t="e">
        <f t="shared" si="12"/>
        <v>#N/A</v>
      </c>
      <c r="T30" s="1559" t="s">
        <v>8</v>
      </c>
      <c r="U30" s="1560" t="e">
        <f t="shared" si="13"/>
        <v>#N/A</v>
      </c>
      <c r="V30" s="1559" t="s">
        <v>8</v>
      </c>
      <c r="W30" s="1560" t="e">
        <f t="shared" si="14"/>
        <v>#N/A</v>
      </c>
      <c r="X30" s="1553"/>
      <c r="Y30" s="3410"/>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10"/>
      <c r="Q31" s="1146" t="str">
        <f t="shared" si="11"/>
        <v>是否封闭</v>
      </c>
      <c r="R31" s="1554" t="s">
        <v>8</v>
      </c>
      <c r="S31" s="1555">
        <f t="shared" si="12"/>
        <v>100</v>
      </c>
      <c r="T31" s="1554" t="s">
        <v>8</v>
      </c>
      <c r="U31" s="1555">
        <f t="shared" si="13"/>
        <v>100</v>
      </c>
      <c r="V31" s="1554" t="s">
        <v>8</v>
      </c>
      <c r="W31" s="1555">
        <f t="shared" si="14"/>
        <v>100</v>
      </c>
      <c r="X31" s="1556"/>
      <c r="Y31" s="3410"/>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10" t="s">
        <v>550</v>
      </c>
      <c r="Q32" s="1558">
        <f t="shared" si="11"/>
        <v>111</v>
      </c>
      <c r="R32" s="1559" t="s">
        <v>8</v>
      </c>
      <c r="S32" s="1560">
        <f t="shared" si="12"/>
        <v>100</v>
      </c>
      <c r="T32" s="1559" t="s">
        <v>8</v>
      </c>
      <c r="U32" s="1560">
        <f t="shared" si="13"/>
        <v>100</v>
      </c>
      <c r="V32" s="1559" t="s">
        <v>8</v>
      </c>
      <c r="W32" s="1560">
        <f t="shared" si="14"/>
        <v>100</v>
      </c>
      <c r="X32" s="1553"/>
      <c r="Y32" s="3410"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10"/>
      <c r="Q33" s="1558">
        <f t="shared" si="11"/>
        <v>111</v>
      </c>
      <c r="R33" s="1559" t="s">
        <v>8</v>
      </c>
      <c r="S33" s="1560">
        <f t="shared" si="12"/>
        <v>100</v>
      </c>
      <c r="T33" s="1559" t="s">
        <v>8</v>
      </c>
      <c r="U33" s="1560">
        <f t="shared" si="13"/>
        <v>100</v>
      </c>
      <c r="V33" s="1559" t="s">
        <v>8</v>
      </c>
      <c r="W33" s="1560">
        <f t="shared" si="14"/>
        <v>100</v>
      </c>
      <c r="X33" s="1553"/>
      <c r="Y33" s="3410"/>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ht="15">
      <c r="A35" s="606" t="s">
        <v>736</v>
      </c>
      <c r="B35" s="886"/>
      <c r="C35" s="2591" t="s">
        <v>1</v>
      </c>
      <c r="D35" s="2592"/>
      <c r="E35" s="2593"/>
      <c r="F35" s="2594"/>
      <c r="G35" s="2595"/>
      <c r="H35" s="2596"/>
      <c r="I35" s="2593"/>
      <c r="J35" s="2596"/>
      <c r="K35" s="1596"/>
      <c r="L35" s="2129"/>
      <c r="M35" s="2130"/>
      <c r="N35" s="2119"/>
      <c r="O35" s="2130"/>
      <c r="P35" s="3373" t="str">
        <f>A35</f>
        <v>成交单价（元/平方米）</v>
      </c>
      <c r="Q35" s="3373"/>
      <c r="R35" s="3490">
        <f>E35</f>
        <v>0</v>
      </c>
      <c r="S35" s="3490"/>
      <c r="T35" s="3490">
        <f>G35</f>
        <v>0</v>
      </c>
      <c r="U35" s="3490"/>
      <c r="V35" s="3490">
        <f>I35</f>
        <v>0</v>
      </c>
      <c r="W35" s="3490"/>
      <c r="X35" s="1545"/>
      <c r="Y35" s="1567"/>
      <c r="Z35" s="1545"/>
      <c r="AA35" s="1545"/>
      <c r="AB35" s="1545"/>
      <c r="AC35" s="1545"/>
    </row>
    <row r="36" spans="1:29" ht="15.75" thickBot="1">
      <c r="A36" s="614" t="s">
        <v>2759</v>
      </c>
      <c r="B36" s="887"/>
      <c r="C36" s="2597" t="e">
        <f>R37</f>
        <v>#DIV/0!</v>
      </c>
      <c r="D36" s="2598"/>
      <c r="E36" s="2599" t="e">
        <f>R36</f>
        <v>#DIV/0!</v>
      </c>
      <c r="F36" s="2599"/>
      <c r="G36" s="2597" t="e">
        <f>T36</f>
        <v>#DIV/0!</v>
      </c>
      <c r="H36" s="2598"/>
      <c r="I36" s="2599" t="e">
        <f>V36</f>
        <v>#DIV/0!</v>
      </c>
      <c r="J36" s="2598"/>
      <c r="K36" s="1597"/>
      <c r="L36" s="2129"/>
      <c r="M36" s="2130"/>
      <c r="N36" s="2119"/>
      <c r="O36" s="2130"/>
      <c r="P36" s="3373" t="str">
        <f>A36</f>
        <v>比较价格（元/平方米）</v>
      </c>
      <c r="Q36" s="3373"/>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45"/>
      <c r="Y36" s="1545"/>
      <c r="Z36" s="1545"/>
      <c r="AA36" s="1545"/>
      <c r="AB36" s="1545"/>
      <c r="AC36" s="1545"/>
    </row>
    <row r="37" spans="1:29" ht="15.75" thickBot="1">
      <c r="A37" s="620" t="s">
        <v>2936</v>
      </c>
      <c r="B37" s="621"/>
      <c r="C37" s="2600" t="e">
        <f>R37</f>
        <v>#DIV/0!</v>
      </c>
      <c r="D37" s="2600"/>
      <c r="E37" s="2600"/>
      <c r="F37" s="2600"/>
      <c r="G37" s="2600"/>
      <c r="H37" s="2600"/>
      <c r="I37" s="2600"/>
      <c r="J37" s="2600"/>
      <c r="K37" s="1598"/>
      <c r="L37" s="2129"/>
      <c r="M37" s="2130"/>
      <c r="N37" s="2130"/>
      <c r="O37" s="2130"/>
      <c r="P37" s="3370" t="str">
        <f>A37</f>
        <v>估价对象XX用房的比较价格（楼面单价，元/平方米）</v>
      </c>
      <c r="Q37" s="3371"/>
      <c r="R37" s="3489" t="e">
        <f>IF(F1="售价",ROUND(AVERAGE(R36:V36),0),ROUND(AVERAGE(R36:V36),1))</f>
        <v>#DIV/0!</v>
      </c>
      <c r="S37" s="3489"/>
      <c r="T37" s="3489"/>
      <c r="U37" s="3489"/>
      <c r="V37" s="3489"/>
      <c r="W37" s="3489"/>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529</v>
      </c>
      <c r="B46" s="645"/>
      <c r="C46" s="2757" t="str">
        <f>YEAR(C7)&amp;"-"&amp;MONTH(C7)</f>
        <v>2019-9</v>
      </c>
      <c r="D46" s="2759">
        <f>EDATE(C46,-1)</f>
        <v>43678</v>
      </c>
      <c r="E46" s="2759">
        <f t="shared" ref="E46:O46" si="16">EDATE(D46,-1)</f>
        <v>43647</v>
      </c>
      <c r="F46" s="2759">
        <f t="shared" si="16"/>
        <v>43617</v>
      </c>
      <c r="G46" s="2759">
        <f t="shared" si="16"/>
        <v>43586</v>
      </c>
      <c r="H46" s="2759">
        <f t="shared" si="16"/>
        <v>43556</v>
      </c>
      <c r="I46" s="2759">
        <f t="shared" si="16"/>
        <v>43525</v>
      </c>
      <c r="J46" s="2759">
        <f t="shared" si="16"/>
        <v>43497</v>
      </c>
      <c r="K46" s="2759">
        <f t="shared" si="16"/>
        <v>43466</v>
      </c>
      <c r="L46" s="2759">
        <f t="shared" si="16"/>
        <v>43435</v>
      </c>
      <c r="M46" s="2759">
        <f t="shared" si="16"/>
        <v>43405</v>
      </c>
      <c r="N46" s="2759">
        <f t="shared" si="16"/>
        <v>43374</v>
      </c>
      <c r="O46" s="2759">
        <f t="shared" si="16"/>
        <v>43344</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575</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531</v>
      </c>
      <c r="B49" s="647"/>
      <c r="C49" s="659" t="s">
        <v>576</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577</v>
      </c>
      <c r="B51" s="664" t="s">
        <v>534</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2556</v>
      </c>
      <c r="C63" s="707" t="s">
        <v>579</v>
      </c>
      <c r="D63" s="707" t="s">
        <v>580</v>
      </c>
      <c r="E63" s="707" t="s">
        <v>581</v>
      </c>
      <c r="F63" s="707" t="s">
        <v>582</v>
      </c>
      <c r="G63" s="707" t="s">
        <v>583</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2557</v>
      </c>
      <c r="C65" s="2562" t="s">
        <v>2558</v>
      </c>
      <c r="D65" s="2562" t="s">
        <v>2559</v>
      </c>
      <c r="E65" s="2562" t="s">
        <v>2560</v>
      </c>
      <c r="F65" s="2562" t="s">
        <v>2561</v>
      </c>
      <c r="G65" s="2562" t="s">
        <v>2562</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744</v>
      </c>
      <c r="C67" s="707" t="s">
        <v>579</v>
      </c>
      <c r="D67" s="707" t="s">
        <v>580</v>
      </c>
      <c r="E67" s="707" t="s">
        <v>581</v>
      </c>
      <c r="F67" s="707" t="s">
        <v>582</v>
      </c>
      <c r="G67" s="707" t="s">
        <v>583</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745</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551</v>
      </c>
      <c r="B77" s="664" t="s">
        <v>751</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817</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825</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827</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61815.58平方米。根据《建设工程规划许可证》[]、《出让合同》[]，估价对象规划建筑面积为92723.37平方米。</v>
      </c>
    </row>
    <row r="7" spans="1:4" ht="93.75">
      <c r="A7" s="2828" t="s">
        <v>2747</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2019年9月26日（评估专业人员勘察现场之日）</v>
      </c>
    </row>
    <row r="12" spans="1:4" ht="18.75">
      <c r="A12" s="1782" t="s">
        <v>2024</v>
      </c>
    </row>
    <row r="13" spans="1:4" ht="18.75">
      <c r="A13" s="1776" t="s">
        <v>2070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根据《国有土地使用证》[]，估价对象（分摊）出让国有建设用地使用权面积为61815.58平方米。根据《建设工程规划许可证》[]、《出让合同》[]，估价对象规划建筑面积为92723.37平方米。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30" t="s">
        <v>2748</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L31" sqref="L31"/>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2302</v>
      </c>
      <c r="C1" s="3499" t="s">
        <v>2303</v>
      </c>
      <c r="D1" s="3500"/>
      <c r="E1" s="3500"/>
      <c r="F1" s="3500"/>
      <c r="G1" s="3500"/>
      <c r="H1" s="3500"/>
      <c r="I1" s="3500"/>
      <c r="J1" s="3500"/>
      <c r="K1" s="3500"/>
      <c r="L1" s="3500"/>
      <c r="M1" s="3500"/>
      <c r="N1" s="3500"/>
      <c r="O1" s="3500"/>
      <c r="P1" s="3500"/>
      <c r="Q1" s="3500"/>
      <c r="R1" s="3500"/>
      <c r="S1" s="3501"/>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38.25">
      <c r="A2" s="2220"/>
      <c r="B2" s="948" t="s">
        <v>2305</v>
      </c>
      <c r="C2" s="949" t="str">
        <f t="shared" ref="C2:L2" si="0">C3&amp;"(含)"&amp;"-"&amp;D3</f>
        <v>0(含)-100000</v>
      </c>
      <c r="D2" s="950" t="str">
        <f t="shared" si="0"/>
        <v>100000(含)-500000</v>
      </c>
      <c r="E2" s="950" t="str">
        <f t="shared" si="0"/>
        <v>500000(含)-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v>0</v>
      </c>
      <c r="D3" s="954">
        <v>100000</v>
      </c>
      <c r="E3" s="954">
        <v>500000</v>
      </c>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100</v>
      </c>
      <c r="D4" s="2231">
        <v>102</v>
      </c>
      <c r="E4" s="2231">
        <v>104</v>
      </c>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2928</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2927</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2940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 ca="1">S22</f>
        <v>16221</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f ca="1">R22</f>
        <v>601</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269891.46999999997</v>
      </c>
      <c r="C22" s="3496" t="s">
        <v>20</v>
      </c>
      <c r="D22" s="3497"/>
      <c r="E22" s="3497"/>
      <c r="F22" s="3497"/>
      <c r="G22" s="3497"/>
      <c r="H22" s="3497"/>
      <c r="I22" s="3497"/>
      <c r="J22" s="3497"/>
      <c r="K22" s="3497"/>
      <c r="L22" s="3497"/>
      <c r="M22" s="3497"/>
      <c r="N22" s="3497"/>
      <c r="O22" s="3497"/>
      <c r="P22" s="3497"/>
      <c r="Q22" s="3498"/>
      <c r="R22" s="489">
        <f ca="1">ROUND(S22*10000/B22,0)</f>
        <v>601</v>
      </c>
      <c r="S22" s="53">
        <f ca="1">SUM(S24:S10000)</f>
        <v>16221</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v>1604</v>
      </c>
      <c r="B24" s="960">
        <f>'数据-基础表'!I13</f>
        <v>92723.37</v>
      </c>
      <c r="C24" s="961">
        <v>1</v>
      </c>
      <c r="D24" s="962"/>
      <c r="E24" s="961">
        <v>1</v>
      </c>
      <c r="F24" s="962"/>
      <c r="G24" s="961">
        <v>1</v>
      </c>
      <c r="H24" s="962"/>
      <c r="I24" s="961">
        <v>1</v>
      </c>
      <c r="J24" s="962"/>
      <c r="K24" s="961">
        <v>1</v>
      </c>
      <c r="L24" s="962"/>
      <c r="M24" s="961">
        <v>1</v>
      </c>
      <c r="N24" s="962"/>
      <c r="O24" s="961">
        <v>1</v>
      </c>
      <c r="P24" s="962"/>
      <c r="Q24" s="961">
        <v>1</v>
      </c>
      <c r="R24" s="963">
        <f ca="1">结果表!N38</f>
        <v>601</v>
      </c>
      <c r="S24" s="961">
        <f t="shared" ref="S24:S54" ca="1" si="11">ROUND(R24*B24/10000,0)</f>
        <v>5573</v>
      </c>
      <c r="T24" s="1958"/>
      <c r="U24" s="1958"/>
      <c r="V24" s="1958"/>
      <c r="W24" s="1958"/>
      <c r="X24" s="1958"/>
      <c r="Y24" s="1958"/>
      <c r="Z24" s="1958"/>
      <c r="AA24" s="1958"/>
      <c r="AB24" s="1958"/>
      <c r="AC24" s="1958"/>
      <c r="AD24" s="1958"/>
      <c r="AE24" s="1958"/>
      <c r="AF24" s="1958"/>
      <c r="AG24" s="1958"/>
      <c r="AH24" s="1958"/>
      <c r="AI24" s="1958"/>
    </row>
    <row r="25" spans="1:45">
      <c r="A25" s="964">
        <v>1605</v>
      </c>
      <c r="B25" s="137">
        <v>77383.45</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 ca="1">IF(B25="",0,ROUND($R$24*C25*E25*G25*I25*K25*M25*O25*Q25,0))</f>
        <v>601</v>
      </c>
      <c r="S25" s="798">
        <f ca="1">ROUND(R25*B25/10000,0)</f>
        <v>4651</v>
      </c>
    </row>
    <row r="26" spans="1:45">
      <c r="A26" s="964">
        <v>1606</v>
      </c>
      <c r="B26" s="137">
        <f>ROUND((66523.1*1.5),2)</f>
        <v>99784.65</v>
      </c>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ca="1" si="20">IF(B26="",0,ROUND($R$24*C26*E26*G26*I26*K26*M26*O26*Q26,0))</f>
        <v>601</v>
      </c>
      <c r="S26" s="798">
        <f t="shared" ca="1" si="11"/>
        <v>5997</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IF(B34="",1,(LOOKUP(B34,$3:$3,$4:$4)-LOOKUP($B$24,$3:$3,$4:$4)+100)/100)</f>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IF(B34="",0,ROUND($R$24*C34*E34*G34*I34*K34*M34*O34*Q34,0))</f>
        <v>0</v>
      </c>
      <c r="S34" s="798">
        <f>ROUND(R34*B34/10000,0)</f>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1"/>
      <c r="S525" s="256"/>
    </row>
    <row r="526" spans="1:19">
      <c r="A526" s="256"/>
      <c r="B526" s="57"/>
      <c r="C526" s="57"/>
      <c r="D526" s="57"/>
      <c r="E526" s="57"/>
      <c r="F526" s="57"/>
      <c r="G526" s="57"/>
      <c r="H526" s="57"/>
      <c r="I526" s="57"/>
      <c r="J526" s="57"/>
      <c r="K526" s="57"/>
      <c r="L526" s="57"/>
      <c r="M526" s="57"/>
      <c r="N526" s="57"/>
      <c r="O526" s="57"/>
      <c r="P526" s="57"/>
      <c r="Q526" s="57"/>
      <c r="R526" s="2211"/>
      <c r="S526" s="256"/>
    </row>
    <row r="527" spans="1:19">
      <c r="A527" s="256"/>
      <c r="B527" s="57"/>
      <c r="C527" s="57"/>
      <c r="D527" s="57"/>
      <c r="E527" s="57"/>
      <c r="F527" s="57"/>
      <c r="G527" s="57"/>
      <c r="H527" s="57"/>
      <c r="I527" s="57"/>
      <c r="J527" s="57"/>
      <c r="K527" s="57"/>
      <c r="L527" s="57"/>
      <c r="M527" s="57"/>
      <c r="N527" s="57"/>
      <c r="O527" s="57"/>
      <c r="P527" s="57"/>
      <c r="Q527" s="57"/>
      <c r="R527" s="2211"/>
      <c r="S527" s="256"/>
    </row>
    <row r="528" spans="1:19">
      <c r="A528" s="256"/>
      <c r="B528" s="57"/>
      <c r="C528" s="57"/>
      <c r="D528" s="57"/>
      <c r="E528" s="57"/>
      <c r="F528" s="57"/>
      <c r="G528" s="57"/>
      <c r="H528" s="57"/>
      <c r="I528" s="57"/>
      <c r="J528" s="57"/>
      <c r="K528" s="57"/>
      <c r="L528" s="57"/>
      <c r="M528" s="57"/>
      <c r="N528" s="57"/>
      <c r="O528" s="57"/>
      <c r="P528" s="57"/>
      <c r="Q528" s="57"/>
      <c r="R528" s="2211"/>
      <c r="S528" s="256"/>
    </row>
    <row r="529" spans="1:19">
      <c r="A529" s="256"/>
      <c r="B529" s="57"/>
      <c r="C529" s="57"/>
      <c r="D529" s="57"/>
      <c r="E529" s="57"/>
      <c r="F529" s="57"/>
      <c r="G529" s="57"/>
      <c r="H529" s="57"/>
      <c r="I529" s="57"/>
      <c r="J529" s="57"/>
      <c r="K529" s="57"/>
      <c r="L529" s="57"/>
      <c r="M529" s="57"/>
      <c r="N529" s="57"/>
      <c r="O529" s="57"/>
      <c r="P529" s="57"/>
      <c r="Q529" s="57"/>
      <c r="R529" s="2211"/>
      <c r="S529" s="256"/>
    </row>
    <row r="530" spans="1:19">
      <c r="A530" s="256"/>
      <c r="B530" s="57"/>
      <c r="C530" s="57"/>
      <c r="D530" s="57"/>
      <c r="E530" s="57"/>
      <c r="F530" s="57"/>
      <c r="G530" s="57"/>
      <c r="H530" s="57"/>
      <c r="I530" s="57"/>
      <c r="J530" s="57"/>
      <c r="K530" s="57"/>
      <c r="L530" s="57"/>
      <c r="M530" s="57"/>
      <c r="N530" s="57"/>
      <c r="O530" s="57"/>
      <c r="P530" s="57"/>
      <c r="Q530" s="57"/>
      <c r="R530" s="2211"/>
      <c r="S530" s="256"/>
    </row>
    <row r="531" spans="1:19">
      <c r="A531" s="256"/>
      <c r="B531" s="57"/>
      <c r="C531" s="57"/>
      <c r="D531" s="57"/>
      <c r="E531" s="57"/>
      <c r="F531" s="57"/>
      <c r="G531" s="57"/>
      <c r="H531" s="57"/>
      <c r="I531" s="57"/>
      <c r="J531" s="57"/>
      <c r="K531" s="57"/>
      <c r="L531" s="57"/>
      <c r="M531" s="57"/>
      <c r="N531" s="57"/>
      <c r="O531" s="57"/>
      <c r="P531" s="57"/>
      <c r="Q531" s="57"/>
      <c r="R531" s="2211"/>
      <c r="S531" s="256"/>
    </row>
    <row r="532" spans="1:19">
      <c r="A532" s="256"/>
      <c r="B532" s="57"/>
      <c r="C532" s="57"/>
      <c r="D532" s="57"/>
      <c r="E532" s="57"/>
      <c r="F532" s="57"/>
      <c r="G532" s="57"/>
      <c r="H532" s="57"/>
      <c r="I532" s="57"/>
      <c r="J532" s="57"/>
      <c r="K532" s="57"/>
      <c r="L532" s="57"/>
      <c r="M532" s="57"/>
      <c r="N532" s="57"/>
      <c r="O532" s="57"/>
      <c r="P532" s="57"/>
      <c r="Q532" s="57"/>
      <c r="R532" s="2211"/>
      <c r="S532" s="256"/>
    </row>
    <row r="533" spans="1:19">
      <c r="A533" s="256"/>
      <c r="B533" s="57"/>
      <c r="C533" s="57"/>
      <c r="D533" s="57"/>
      <c r="E533" s="57"/>
      <c r="F533" s="57"/>
      <c r="G533" s="57"/>
      <c r="H533" s="57"/>
      <c r="I533" s="57"/>
      <c r="J533" s="57"/>
      <c r="K533" s="57"/>
      <c r="L533" s="57"/>
      <c r="M533" s="57"/>
      <c r="N533" s="57"/>
      <c r="O533" s="57"/>
      <c r="P533" s="57"/>
      <c r="Q533" s="57"/>
      <c r="R533" s="2211"/>
      <c r="S533" s="256"/>
    </row>
    <row r="534" spans="1:19">
      <c r="A534" s="256"/>
      <c r="B534" s="57"/>
      <c r="C534" s="57"/>
      <c r="D534" s="57"/>
      <c r="E534" s="57"/>
      <c r="F534" s="57"/>
      <c r="G534" s="57"/>
      <c r="H534" s="57"/>
      <c r="I534" s="57"/>
      <c r="J534" s="57"/>
      <c r="K534" s="57"/>
      <c r="L534" s="57"/>
      <c r="M534" s="57"/>
      <c r="N534" s="57"/>
      <c r="O534" s="57"/>
      <c r="P534" s="57"/>
      <c r="Q534" s="57"/>
      <c r="R534" s="2211"/>
      <c r="S534" s="256"/>
    </row>
    <row r="535" spans="1:19">
      <c r="A535" s="256"/>
      <c r="B535" s="57"/>
      <c r="C535" s="57"/>
      <c r="D535" s="57"/>
      <c r="E535" s="57"/>
      <c r="F535" s="57"/>
      <c r="G535" s="57"/>
      <c r="H535" s="57"/>
      <c r="I535" s="57"/>
      <c r="J535" s="57"/>
      <c r="K535" s="57"/>
      <c r="L535" s="57"/>
      <c r="M535" s="57"/>
      <c r="N535" s="57"/>
      <c r="O535" s="57"/>
      <c r="P535" s="57"/>
      <c r="Q535" s="57"/>
      <c r="R535" s="2211"/>
      <c r="S535" s="256"/>
    </row>
    <row r="536" spans="1:19">
      <c r="A536" s="256"/>
      <c r="B536" s="57"/>
      <c r="C536" s="57"/>
      <c r="D536" s="57"/>
      <c r="E536" s="57"/>
      <c r="F536" s="57"/>
      <c r="G536" s="57"/>
      <c r="H536" s="57"/>
      <c r="I536" s="57"/>
      <c r="J536" s="57"/>
      <c r="K536" s="57"/>
      <c r="L536" s="57"/>
      <c r="M536" s="57"/>
      <c r="N536" s="57"/>
      <c r="O536" s="57"/>
      <c r="P536" s="57"/>
      <c r="Q536" s="57"/>
      <c r="R536" s="2211"/>
      <c r="S536" s="256"/>
    </row>
    <row r="537" spans="1:19">
      <c r="A537" s="256"/>
      <c r="B537" s="57"/>
      <c r="C537" s="57"/>
      <c r="D537" s="57"/>
      <c r="E537" s="57"/>
      <c r="F537" s="57"/>
      <c r="G537" s="57"/>
      <c r="H537" s="57"/>
      <c r="I537" s="57"/>
      <c r="J537" s="57"/>
      <c r="K537" s="57"/>
      <c r="L537" s="57"/>
      <c r="M537" s="57"/>
      <c r="N537" s="57"/>
      <c r="O537" s="57"/>
      <c r="P537" s="57"/>
      <c r="Q537" s="57"/>
      <c r="R537" s="2211"/>
      <c r="S537" s="256"/>
    </row>
    <row r="538" spans="1:19">
      <c r="A538" s="256"/>
      <c r="B538" s="57"/>
      <c r="C538" s="57"/>
      <c r="D538" s="57"/>
      <c r="E538" s="57"/>
      <c r="F538" s="57"/>
      <c r="G538" s="57"/>
      <c r="H538" s="57"/>
      <c r="I538" s="57"/>
      <c r="J538" s="57"/>
      <c r="K538" s="57"/>
      <c r="L538" s="57"/>
      <c r="M538" s="57"/>
      <c r="N538" s="57"/>
      <c r="O538" s="57"/>
      <c r="P538" s="57"/>
      <c r="Q538" s="57"/>
      <c r="R538" s="2211"/>
      <c r="S538" s="256"/>
    </row>
    <row r="539" spans="1:19">
      <c r="A539" s="256"/>
      <c r="B539" s="57"/>
      <c r="C539" s="57"/>
      <c r="D539" s="57"/>
      <c r="E539" s="57"/>
      <c r="F539" s="57"/>
      <c r="G539" s="57"/>
      <c r="H539" s="57"/>
      <c r="I539" s="57"/>
      <c r="J539" s="57"/>
      <c r="K539" s="57"/>
      <c r="L539" s="57"/>
      <c r="M539" s="57"/>
      <c r="N539" s="57"/>
      <c r="O539" s="57"/>
      <c r="P539" s="57"/>
      <c r="Q539" s="57"/>
      <c r="R539" s="2211"/>
      <c r="S539" s="256"/>
    </row>
    <row r="540" spans="1:19">
      <c r="A540" s="256"/>
      <c r="B540" s="57"/>
      <c r="C540" s="57"/>
      <c r="D540" s="57"/>
      <c r="E540" s="57"/>
      <c r="F540" s="57"/>
      <c r="G540" s="57"/>
      <c r="H540" s="57"/>
      <c r="I540" s="57"/>
      <c r="J540" s="57"/>
      <c r="K540" s="57"/>
      <c r="L540" s="57"/>
      <c r="M540" s="57"/>
      <c r="N540" s="57"/>
      <c r="O540" s="57"/>
      <c r="P540" s="57"/>
      <c r="Q540" s="57"/>
      <c r="R540" s="2211"/>
      <c r="S540" s="256"/>
    </row>
    <row r="541" spans="1:19">
      <c r="A541" s="256"/>
      <c r="B541" s="57"/>
      <c r="C541" s="57"/>
      <c r="D541" s="57"/>
      <c r="E541" s="57"/>
      <c r="F541" s="57"/>
      <c r="G541" s="57"/>
      <c r="H541" s="57"/>
      <c r="I541" s="57"/>
      <c r="J541" s="57"/>
      <c r="K541" s="57"/>
      <c r="L541" s="57"/>
      <c r="M541" s="57"/>
      <c r="N541" s="57"/>
      <c r="O541" s="57"/>
      <c r="P541" s="57"/>
      <c r="Q541" s="57"/>
      <c r="R541" s="2211"/>
      <c r="S541" s="256"/>
    </row>
    <row r="542" spans="1:19">
      <c r="A542" s="256"/>
      <c r="B542" s="57"/>
      <c r="C542" s="57"/>
      <c r="D542" s="57"/>
      <c r="E542" s="57"/>
      <c r="F542" s="57"/>
      <c r="G542" s="57"/>
      <c r="H542" s="57"/>
      <c r="I542" s="57"/>
      <c r="J542" s="57"/>
      <c r="K542" s="57"/>
      <c r="L542" s="57"/>
      <c r="M542" s="57"/>
      <c r="N542" s="57"/>
      <c r="O542" s="57"/>
      <c r="P542" s="57"/>
      <c r="Q542" s="57"/>
      <c r="R542" s="2211"/>
      <c r="S542" s="256"/>
    </row>
    <row r="543" spans="1:19">
      <c r="A543" s="256"/>
      <c r="B543" s="57"/>
      <c r="C543" s="57"/>
      <c r="D543" s="57"/>
      <c r="E543" s="57"/>
      <c r="F543" s="57"/>
      <c r="G543" s="57"/>
      <c r="H543" s="57"/>
      <c r="I543" s="57"/>
      <c r="J543" s="57"/>
      <c r="K543" s="57"/>
      <c r="L543" s="57"/>
      <c r="M543" s="57"/>
      <c r="N543" s="57"/>
      <c r="O543" s="57"/>
      <c r="P543" s="57"/>
      <c r="Q543" s="57"/>
      <c r="R543" s="2211"/>
      <c r="S543" s="256"/>
    </row>
    <row r="544" spans="1:19">
      <c r="A544" s="256"/>
      <c r="B544" s="57"/>
      <c r="C544" s="57"/>
      <c r="D544" s="57"/>
      <c r="E544" s="57"/>
      <c r="F544" s="57"/>
      <c r="G544" s="57"/>
      <c r="H544" s="57"/>
      <c r="I544" s="57"/>
      <c r="J544" s="57"/>
      <c r="K544" s="57"/>
      <c r="L544" s="57"/>
      <c r="M544" s="57"/>
      <c r="N544" s="57"/>
      <c r="O544" s="57"/>
      <c r="P544" s="57"/>
      <c r="Q544" s="57"/>
      <c r="R544" s="2211"/>
      <c r="S544" s="256"/>
    </row>
    <row r="545" spans="1:19">
      <c r="A545" s="256"/>
      <c r="B545" s="57"/>
      <c r="C545" s="57"/>
      <c r="D545" s="57"/>
      <c r="E545" s="57"/>
      <c r="F545" s="57"/>
      <c r="G545" s="57"/>
      <c r="H545" s="57"/>
      <c r="I545" s="57"/>
      <c r="J545" s="57"/>
      <c r="K545" s="57"/>
      <c r="L545" s="57"/>
      <c r="M545" s="57"/>
      <c r="N545" s="57"/>
      <c r="O545" s="57"/>
      <c r="P545" s="57"/>
      <c r="Q545" s="57"/>
      <c r="R545" s="2211"/>
      <c r="S545" s="256"/>
    </row>
    <row r="546" spans="1:19">
      <c r="A546" s="256"/>
      <c r="B546" s="57"/>
      <c r="C546" s="57"/>
      <c r="D546" s="57"/>
      <c r="E546" s="57"/>
      <c r="F546" s="57"/>
      <c r="G546" s="57"/>
      <c r="H546" s="57"/>
      <c r="I546" s="57"/>
      <c r="J546" s="57"/>
      <c r="K546" s="57"/>
      <c r="L546" s="57"/>
      <c r="M546" s="57"/>
      <c r="N546" s="57"/>
      <c r="O546" s="57"/>
      <c r="P546" s="57"/>
      <c r="Q546" s="57"/>
      <c r="R546" s="2211"/>
      <c r="S546" s="256"/>
    </row>
    <row r="547" spans="1:19">
      <c r="A547" s="256"/>
      <c r="B547" s="57"/>
      <c r="C547" s="57"/>
      <c r="D547" s="57"/>
      <c r="E547" s="57"/>
      <c r="F547" s="57"/>
      <c r="G547" s="57"/>
      <c r="H547" s="57"/>
      <c r="I547" s="57"/>
      <c r="J547" s="57"/>
      <c r="K547" s="57"/>
      <c r="L547" s="57"/>
      <c r="M547" s="57"/>
      <c r="N547" s="57"/>
      <c r="O547" s="57"/>
      <c r="P547" s="57"/>
      <c r="Q547" s="57"/>
      <c r="R547" s="2211"/>
      <c r="S547" s="256"/>
    </row>
    <row r="548" spans="1:19">
      <c r="A548" s="256"/>
      <c r="B548" s="57"/>
      <c r="C548" s="57"/>
      <c r="D548" s="57"/>
      <c r="E548" s="57"/>
      <c r="F548" s="57"/>
      <c r="G548" s="57"/>
      <c r="H548" s="57"/>
      <c r="I548" s="57"/>
      <c r="J548" s="57"/>
      <c r="K548" s="57"/>
      <c r="L548" s="57"/>
      <c r="M548" s="57"/>
      <c r="N548" s="57"/>
      <c r="O548" s="57"/>
      <c r="P548" s="57"/>
      <c r="Q548" s="57"/>
      <c r="R548" s="2211"/>
      <c r="S548" s="256"/>
    </row>
    <row r="549" spans="1:19">
      <c r="A549" s="256"/>
      <c r="B549" s="57"/>
      <c r="C549" s="57"/>
      <c r="D549" s="57"/>
      <c r="E549" s="57"/>
      <c r="F549" s="57"/>
      <c r="G549" s="57"/>
      <c r="H549" s="57"/>
      <c r="I549" s="57"/>
      <c r="J549" s="57"/>
      <c r="K549" s="57"/>
      <c r="L549" s="57"/>
      <c r="M549" s="57"/>
      <c r="N549" s="57"/>
      <c r="O549" s="57"/>
      <c r="P549" s="57"/>
      <c r="Q549" s="57"/>
      <c r="R549" s="2211"/>
      <c r="S549" s="256"/>
    </row>
    <row r="550" spans="1:19">
      <c r="A550" s="256"/>
      <c r="B550" s="57"/>
      <c r="C550" s="57"/>
      <c r="D550" s="57"/>
      <c r="E550" s="57"/>
      <c r="F550" s="57"/>
      <c r="G550" s="57"/>
      <c r="H550" s="57"/>
      <c r="I550" s="57"/>
      <c r="J550" s="57"/>
      <c r="K550" s="57"/>
      <c r="L550" s="57"/>
      <c r="M550" s="57"/>
      <c r="N550" s="57"/>
      <c r="O550" s="57"/>
      <c r="P550" s="57"/>
      <c r="Q550" s="57"/>
      <c r="R550" s="2211"/>
      <c r="S550" s="256"/>
    </row>
    <row r="551" spans="1:19">
      <c r="A551" s="256"/>
      <c r="B551" s="57"/>
      <c r="C551" s="57"/>
      <c r="D551" s="57"/>
      <c r="E551" s="57"/>
      <c r="F551" s="57"/>
      <c r="G551" s="57"/>
      <c r="H551" s="57"/>
      <c r="I551" s="57"/>
      <c r="J551" s="57"/>
      <c r="K551" s="57"/>
      <c r="L551" s="57"/>
      <c r="M551" s="57"/>
      <c r="N551" s="57"/>
      <c r="O551" s="57"/>
      <c r="P551" s="57"/>
      <c r="Q551" s="57"/>
      <c r="R551" s="2211"/>
      <c r="S551" s="256"/>
    </row>
    <row r="552" spans="1:19">
      <c r="A552" s="256"/>
      <c r="B552" s="57"/>
      <c r="C552" s="57"/>
      <c r="D552" s="57"/>
      <c r="E552" s="57"/>
      <c r="F552" s="57"/>
      <c r="G552" s="57"/>
      <c r="H552" s="57"/>
      <c r="I552" s="57"/>
      <c r="J552" s="57"/>
      <c r="K552" s="57"/>
      <c r="L552" s="57"/>
      <c r="M552" s="57"/>
      <c r="N552" s="57"/>
      <c r="O552" s="57"/>
      <c r="P552" s="57"/>
      <c r="Q552" s="57"/>
      <c r="R552" s="2211"/>
      <c r="S552" s="256"/>
    </row>
    <row r="553" spans="1:19">
      <c r="A553" s="256"/>
      <c r="B553" s="57"/>
      <c r="C553" s="57"/>
      <c r="D553" s="57"/>
      <c r="E553" s="57"/>
      <c r="F553" s="57"/>
      <c r="G553" s="57"/>
      <c r="H553" s="57"/>
      <c r="I553" s="57"/>
      <c r="J553" s="57"/>
      <c r="K553" s="57"/>
      <c r="L553" s="57"/>
      <c r="M553" s="57"/>
      <c r="N553" s="57"/>
      <c r="O553" s="57"/>
      <c r="P553" s="57"/>
      <c r="Q553" s="57"/>
      <c r="R553" s="2211"/>
      <c r="S553" s="256"/>
    </row>
    <row r="554" spans="1:19">
      <c r="A554" s="256"/>
      <c r="B554" s="57"/>
      <c r="C554" s="57"/>
      <c r="D554" s="57"/>
      <c r="E554" s="57"/>
      <c r="F554" s="57"/>
      <c r="G554" s="57"/>
      <c r="H554" s="57"/>
      <c r="I554" s="57"/>
      <c r="J554" s="57"/>
      <c r="K554" s="57"/>
      <c r="L554" s="57"/>
      <c r="M554" s="57"/>
      <c r="N554" s="57"/>
      <c r="O554" s="57"/>
      <c r="P554" s="57"/>
      <c r="Q554" s="57"/>
      <c r="R554" s="2211"/>
      <c r="S554" s="256"/>
    </row>
    <row r="555" spans="1:19">
      <c r="A555" s="256"/>
      <c r="B555" s="57"/>
      <c r="C555" s="57"/>
      <c r="D555" s="57"/>
      <c r="E555" s="57"/>
      <c r="F555" s="57"/>
      <c r="G555" s="57"/>
      <c r="H555" s="57"/>
      <c r="I555" s="57"/>
      <c r="J555" s="57"/>
      <c r="K555" s="57"/>
      <c r="L555" s="57"/>
      <c r="M555" s="57"/>
      <c r="N555" s="57"/>
      <c r="O555" s="57"/>
      <c r="P555" s="57"/>
      <c r="Q555" s="57"/>
      <c r="R555" s="2211"/>
      <c r="S555" s="256"/>
    </row>
    <row r="556" spans="1:19">
      <c r="A556" s="256"/>
      <c r="B556" s="57"/>
      <c r="C556" s="57"/>
      <c r="D556" s="57"/>
      <c r="E556" s="57"/>
      <c r="F556" s="57"/>
      <c r="G556" s="57"/>
      <c r="H556" s="57"/>
      <c r="I556" s="57"/>
      <c r="J556" s="57"/>
      <c r="K556" s="57"/>
      <c r="L556" s="57"/>
      <c r="M556" s="57"/>
      <c r="N556" s="57"/>
      <c r="O556" s="57"/>
      <c r="P556" s="57"/>
      <c r="Q556" s="57"/>
      <c r="R556" s="2211"/>
      <c r="S556" s="256"/>
    </row>
    <row r="557" spans="1:19">
      <c r="A557" s="256"/>
      <c r="B557" s="57"/>
      <c r="C557" s="57"/>
      <c r="D557" s="57"/>
      <c r="E557" s="57"/>
      <c r="F557" s="57"/>
      <c r="G557" s="57"/>
      <c r="H557" s="57"/>
      <c r="I557" s="57"/>
      <c r="J557" s="57"/>
      <c r="K557" s="57"/>
      <c r="L557" s="57"/>
      <c r="M557" s="57"/>
      <c r="N557" s="57"/>
      <c r="O557" s="57"/>
      <c r="P557" s="57"/>
      <c r="Q557" s="57"/>
      <c r="R557" s="2211"/>
      <c r="S557" s="256"/>
    </row>
    <row r="558" spans="1:19">
      <c r="A558" s="256"/>
      <c r="B558" s="57"/>
      <c r="C558" s="57"/>
      <c r="D558" s="57"/>
      <c r="E558" s="57"/>
      <c r="F558" s="57"/>
      <c r="G558" s="57"/>
      <c r="H558" s="57"/>
      <c r="I558" s="57"/>
      <c r="J558" s="57"/>
      <c r="K558" s="57"/>
      <c r="L558" s="57"/>
      <c r="M558" s="57"/>
      <c r="N558" s="57"/>
      <c r="O558" s="57"/>
      <c r="P558" s="57"/>
      <c r="Q558" s="57"/>
      <c r="R558" s="2211"/>
      <c r="S558" s="256"/>
    </row>
    <row r="559" spans="1:19">
      <c r="A559" s="256"/>
      <c r="B559" s="57"/>
      <c r="C559" s="57"/>
      <c r="D559" s="57"/>
      <c r="E559" s="57"/>
      <c r="F559" s="57"/>
      <c r="G559" s="57"/>
      <c r="H559" s="57"/>
      <c r="I559" s="57"/>
      <c r="J559" s="57"/>
      <c r="K559" s="57"/>
      <c r="L559" s="57"/>
      <c r="M559" s="57"/>
      <c r="N559" s="57"/>
      <c r="O559" s="57"/>
      <c r="P559" s="57"/>
      <c r="Q559" s="57"/>
      <c r="R559" s="2211"/>
      <c r="S559" s="256"/>
    </row>
    <row r="560" spans="1:19">
      <c r="A560" s="256"/>
      <c r="B560" s="57"/>
      <c r="C560" s="57"/>
      <c r="D560" s="57"/>
      <c r="E560" s="57"/>
      <c r="F560" s="57"/>
      <c r="G560" s="57"/>
      <c r="H560" s="57"/>
      <c r="I560" s="57"/>
      <c r="J560" s="57"/>
      <c r="K560" s="57"/>
      <c r="L560" s="57"/>
      <c r="M560" s="57"/>
      <c r="N560" s="57"/>
      <c r="O560" s="57"/>
      <c r="P560" s="57"/>
      <c r="Q560" s="57"/>
      <c r="R560" s="2211"/>
      <c r="S560" s="256"/>
    </row>
    <row r="561" spans="1:19">
      <c r="A561" s="256"/>
      <c r="B561" s="57"/>
      <c r="C561" s="57"/>
      <c r="D561" s="57"/>
      <c r="E561" s="57"/>
      <c r="F561" s="57"/>
      <c r="G561" s="57"/>
      <c r="H561" s="57"/>
      <c r="I561" s="57"/>
      <c r="J561" s="57"/>
      <c r="K561" s="57"/>
      <c r="L561" s="57"/>
      <c r="M561" s="57"/>
      <c r="N561" s="57"/>
      <c r="O561" s="57"/>
      <c r="P561" s="57"/>
      <c r="Q561" s="57"/>
      <c r="R561" s="2211"/>
      <c r="S561" s="256"/>
    </row>
    <row r="562" spans="1:19">
      <c r="A562" s="256"/>
      <c r="B562" s="57"/>
      <c r="C562" s="57"/>
      <c r="D562" s="57"/>
      <c r="E562" s="57"/>
      <c r="F562" s="57"/>
      <c r="G562" s="57"/>
      <c r="H562" s="57"/>
      <c r="I562" s="57"/>
      <c r="J562" s="57"/>
      <c r="K562" s="57"/>
      <c r="L562" s="57"/>
      <c r="M562" s="57"/>
      <c r="N562" s="57"/>
      <c r="O562" s="57"/>
      <c r="P562" s="57"/>
      <c r="Q562" s="57"/>
      <c r="R562" s="2211"/>
      <c r="S562" s="256"/>
    </row>
    <row r="563" spans="1:19">
      <c r="A563" s="256"/>
      <c r="B563" s="57"/>
      <c r="C563" s="57"/>
      <c r="D563" s="57"/>
      <c r="E563" s="57"/>
      <c r="F563" s="57"/>
      <c r="G563" s="57"/>
      <c r="H563" s="57"/>
      <c r="I563" s="57"/>
      <c r="J563" s="57"/>
      <c r="K563" s="57"/>
      <c r="L563" s="57"/>
      <c r="M563" s="57"/>
      <c r="N563" s="57"/>
      <c r="O563" s="57"/>
      <c r="P563" s="57"/>
      <c r="Q563" s="57"/>
      <c r="R563" s="2211"/>
      <c r="S563" s="256"/>
    </row>
    <row r="564" spans="1:19">
      <c r="A564" s="256"/>
      <c r="B564" s="57"/>
      <c r="C564" s="57"/>
      <c r="D564" s="57"/>
      <c r="E564" s="57"/>
      <c r="F564" s="57"/>
      <c r="G564" s="57"/>
      <c r="H564" s="57"/>
      <c r="I564" s="57"/>
      <c r="J564" s="57"/>
      <c r="K564" s="57"/>
      <c r="L564" s="57"/>
      <c r="M564" s="57"/>
      <c r="N564" s="57"/>
      <c r="O564" s="57"/>
      <c r="P564" s="57"/>
      <c r="Q564" s="57"/>
      <c r="R564" s="2211"/>
      <c r="S564" s="256"/>
    </row>
    <row r="565" spans="1:19">
      <c r="A565" s="256"/>
      <c r="B565" s="57"/>
      <c r="C565" s="57"/>
      <c r="D565" s="57"/>
      <c r="E565" s="57"/>
      <c r="F565" s="57"/>
      <c r="G565" s="57"/>
      <c r="H565" s="57"/>
      <c r="I565" s="57"/>
      <c r="J565" s="57"/>
      <c r="K565" s="57"/>
      <c r="L565" s="57"/>
      <c r="M565" s="57"/>
      <c r="N565" s="57"/>
      <c r="O565" s="57"/>
      <c r="P565" s="57"/>
      <c r="Q565" s="57"/>
      <c r="R565" s="2211"/>
      <c r="S565" s="256"/>
    </row>
    <row r="566" spans="1:19">
      <c r="A566" s="256"/>
      <c r="B566" s="57"/>
      <c r="C566" s="57"/>
      <c r="D566" s="57"/>
      <c r="E566" s="57"/>
      <c r="F566" s="57"/>
      <c r="G566" s="57"/>
      <c r="H566" s="57"/>
      <c r="I566" s="57"/>
      <c r="J566" s="57"/>
      <c r="K566" s="57"/>
      <c r="L566" s="57"/>
      <c r="M566" s="57"/>
      <c r="N566" s="57"/>
      <c r="O566" s="57"/>
      <c r="P566" s="57"/>
      <c r="Q566" s="57"/>
      <c r="R566" s="2211"/>
      <c r="S566" s="256"/>
    </row>
    <row r="567" spans="1:19">
      <c r="A567" s="256"/>
      <c r="B567" s="57"/>
      <c r="C567" s="57"/>
      <c r="D567" s="57"/>
      <c r="E567" s="57"/>
      <c r="F567" s="57"/>
      <c r="G567" s="57"/>
      <c r="H567" s="57"/>
      <c r="I567" s="57"/>
      <c r="J567" s="57"/>
      <c r="K567" s="57"/>
      <c r="L567" s="57"/>
      <c r="M567" s="57"/>
      <c r="N567" s="57"/>
      <c r="O567" s="57"/>
      <c r="P567" s="57"/>
      <c r="Q567" s="57"/>
      <c r="R567" s="2211"/>
      <c r="S567" s="256"/>
    </row>
    <row r="568" spans="1:19">
      <c r="A568" s="256"/>
      <c r="B568" s="57"/>
      <c r="C568" s="57"/>
      <c r="D568" s="57"/>
      <c r="E568" s="57"/>
      <c r="F568" s="57"/>
      <c r="G568" s="57"/>
      <c r="H568" s="57"/>
      <c r="I568" s="57"/>
      <c r="J568" s="57"/>
      <c r="K568" s="57"/>
      <c r="L568" s="57"/>
      <c r="M568" s="57"/>
      <c r="N568" s="57"/>
      <c r="O568" s="57"/>
      <c r="P568" s="57"/>
      <c r="Q568" s="57"/>
      <c r="R568" s="2211"/>
      <c r="S568" s="256"/>
    </row>
    <row r="569" spans="1:19">
      <c r="A569" s="256"/>
      <c r="B569" s="57"/>
      <c r="C569" s="57"/>
      <c r="D569" s="57"/>
      <c r="E569" s="57"/>
      <c r="F569" s="57"/>
      <c r="G569" s="57"/>
      <c r="H569" s="57"/>
      <c r="I569" s="57"/>
      <c r="J569" s="57"/>
      <c r="K569" s="57"/>
      <c r="L569" s="57"/>
      <c r="M569" s="57"/>
      <c r="N569" s="57"/>
      <c r="O569" s="57"/>
      <c r="P569" s="57"/>
      <c r="Q569" s="57"/>
      <c r="R569" s="2211"/>
      <c r="S569" s="256"/>
    </row>
    <row r="570" spans="1:19">
      <c r="A570" s="256"/>
      <c r="B570" s="57"/>
      <c r="C570" s="57"/>
      <c r="D570" s="57"/>
      <c r="E570" s="57"/>
      <c r="F570" s="57"/>
      <c r="G570" s="57"/>
      <c r="H570" s="57"/>
      <c r="I570" s="57"/>
      <c r="J570" s="57"/>
      <c r="K570" s="57"/>
      <c r="L570" s="57"/>
      <c r="M570" s="57"/>
      <c r="N570" s="57"/>
      <c r="O570" s="57"/>
      <c r="P570" s="57"/>
      <c r="Q570" s="57"/>
      <c r="R570" s="2211"/>
      <c r="S570" s="256"/>
    </row>
    <row r="571" spans="1:19">
      <c r="A571" s="256"/>
      <c r="B571" s="57"/>
      <c r="C571" s="57"/>
      <c r="D571" s="57"/>
      <c r="E571" s="57"/>
      <c r="F571" s="57"/>
      <c r="G571" s="57"/>
      <c r="H571" s="57"/>
      <c r="I571" s="57"/>
      <c r="J571" s="57"/>
      <c r="K571" s="57"/>
      <c r="L571" s="57"/>
      <c r="M571" s="57"/>
      <c r="N571" s="57"/>
      <c r="O571" s="57"/>
      <c r="P571" s="57"/>
      <c r="Q571" s="57"/>
      <c r="R571" s="2211"/>
      <c r="S571" s="256"/>
    </row>
    <row r="572" spans="1:19">
      <c r="A572" s="256"/>
      <c r="B572" s="57"/>
      <c r="C572" s="57"/>
      <c r="D572" s="57"/>
      <c r="E572" s="57"/>
      <c r="F572" s="57"/>
      <c r="G572" s="57"/>
      <c r="H572" s="57"/>
      <c r="I572" s="57"/>
      <c r="J572" s="57"/>
      <c r="K572" s="57"/>
      <c r="L572" s="57"/>
      <c r="M572" s="57"/>
      <c r="N572" s="57"/>
      <c r="O572" s="57"/>
      <c r="P572" s="57"/>
      <c r="Q572" s="57"/>
      <c r="R572" s="2211"/>
      <c r="S572" s="256"/>
    </row>
    <row r="573" spans="1:19">
      <c r="A573" s="256"/>
      <c r="B573" s="57"/>
      <c r="C573" s="57"/>
      <c r="D573" s="57"/>
      <c r="E573" s="57"/>
      <c r="F573" s="57"/>
      <c r="G573" s="57"/>
      <c r="H573" s="57"/>
      <c r="I573" s="57"/>
      <c r="J573" s="57"/>
      <c r="K573" s="57"/>
      <c r="L573" s="57"/>
      <c r="M573" s="57"/>
      <c r="N573" s="57"/>
      <c r="O573" s="57"/>
      <c r="P573" s="57"/>
      <c r="Q573" s="57"/>
      <c r="R573" s="2211"/>
      <c r="S573" s="256"/>
    </row>
    <row r="574" spans="1:19">
      <c r="A574" s="256"/>
      <c r="B574" s="57"/>
      <c r="C574" s="57"/>
      <c r="D574" s="57"/>
      <c r="E574" s="57"/>
      <c r="F574" s="57"/>
      <c r="G574" s="57"/>
      <c r="H574" s="57"/>
      <c r="I574" s="57"/>
      <c r="J574" s="57"/>
      <c r="K574" s="57"/>
      <c r="L574" s="57"/>
      <c r="M574" s="57"/>
      <c r="N574" s="57"/>
      <c r="O574" s="57"/>
      <c r="P574" s="57"/>
      <c r="Q574" s="57"/>
      <c r="R574" s="2211"/>
      <c r="S574" s="256"/>
    </row>
    <row r="575" spans="1:19">
      <c r="A575" s="256"/>
      <c r="B575" s="57"/>
      <c r="C575" s="57"/>
      <c r="D575" s="57"/>
      <c r="E575" s="57"/>
      <c r="F575" s="57"/>
      <c r="G575" s="57"/>
      <c r="H575" s="57"/>
      <c r="I575" s="57"/>
      <c r="J575" s="57"/>
      <c r="K575" s="57"/>
      <c r="L575" s="57"/>
      <c r="M575" s="57"/>
      <c r="N575" s="57"/>
      <c r="O575" s="57"/>
      <c r="P575" s="57"/>
      <c r="Q575" s="57"/>
      <c r="R575" s="2211"/>
      <c r="S575" s="256"/>
    </row>
    <row r="576" spans="1:19">
      <c r="A576" s="256"/>
      <c r="B576" s="57"/>
      <c r="C576" s="57"/>
      <c r="D576" s="57"/>
      <c r="E576" s="57"/>
      <c r="F576" s="57"/>
      <c r="G576" s="57"/>
      <c r="H576" s="57"/>
      <c r="I576" s="57"/>
      <c r="J576" s="57"/>
      <c r="K576" s="57"/>
      <c r="L576" s="57"/>
      <c r="M576" s="57"/>
      <c r="N576" s="57"/>
      <c r="O576" s="57"/>
      <c r="P576" s="57"/>
      <c r="Q576" s="57"/>
      <c r="R576" s="2211"/>
      <c r="S576" s="256"/>
    </row>
    <row r="577" spans="1:19">
      <c r="A577" s="256"/>
      <c r="B577" s="57"/>
      <c r="C577" s="57"/>
      <c r="D577" s="57"/>
      <c r="E577" s="57"/>
      <c r="F577" s="57"/>
      <c r="G577" s="57"/>
      <c r="H577" s="57"/>
      <c r="I577" s="57"/>
      <c r="J577" s="57"/>
      <c r="K577" s="57"/>
      <c r="L577" s="57"/>
      <c r="M577" s="57"/>
      <c r="N577" s="57"/>
      <c r="O577" s="57"/>
      <c r="P577" s="57"/>
      <c r="Q577" s="57"/>
      <c r="R577" s="2211"/>
      <c r="S577" s="256"/>
    </row>
    <row r="578" spans="1:19">
      <c r="A578" s="256"/>
      <c r="B578" s="57"/>
      <c r="C578" s="57"/>
      <c r="D578" s="57"/>
      <c r="E578" s="57"/>
      <c r="F578" s="57"/>
      <c r="G578" s="57"/>
      <c r="H578" s="57"/>
      <c r="I578" s="57"/>
      <c r="J578" s="57"/>
      <c r="K578" s="57"/>
      <c r="L578" s="57"/>
      <c r="M578" s="57"/>
      <c r="N578" s="57"/>
      <c r="O578" s="57"/>
      <c r="P578" s="57"/>
      <c r="Q578" s="57"/>
      <c r="R578" s="2211"/>
      <c r="S578" s="256"/>
    </row>
    <row r="579" spans="1:19">
      <c r="A579" s="256"/>
      <c r="B579" s="57"/>
      <c r="C579" s="57"/>
      <c r="D579" s="57"/>
      <c r="E579" s="57"/>
      <c r="F579" s="57"/>
      <c r="G579" s="57"/>
      <c r="H579" s="57"/>
      <c r="I579" s="57"/>
      <c r="J579" s="57"/>
      <c r="K579" s="57"/>
      <c r="L579" s="57"/>
      <c r="M579" s="57"/>
      <c r="N579" s="57"/>
      <c r="O579" s="57"/>
      <c r="P579" s="57"/>
      <c r="Q579" s="57"/>
      <c r="R579" s="2211"/>
      <c r="S579" s="256"/>
    </row>
    <row r="580" spans="1:19">
      <c r="A580" s="256"/>
      <c r="B580" s="57"/>
      <c r="C580" s="57"/>
      <c r="D580" s="57"/>
      <c r="E580" s="57"/>
      <c r="F580" s="57"/>
      <c r="G580" s="57"/>
      <c r="H580" s="57"/>
      <c r="I580" s="57"/>
      <c r="J580" s="57"/>
      <c r="K580" s="57"/>
      <c r="L580" s="57"/>
      <c r="M580" s="57"/>
      <c r="N580" s="57"/>
      <c r="O580" s="57"/>
      <c r="P580" s="57"/>
      <c r="Q580" s="57"/>
      <c r="R580" s="2211"/>
      <c r="S580" s="256"/>
    </row>
    <row r="581" spans="1:19">
      <c r="A581" s="256"/>
      <c r="B581" s="57"/>
      <c r="C581" s="57"/>
      <c r="D581" s="57"/>
      <c r="E581" s="57"/>
      <c r="F581" s="57"/>
      <c r="G581" s="57"/>
      <c r="H581" s="57"/>
      <c r="I581" s="57"/>
      <c r="J581" s="57"/>
      <c r="K581" s="57"/>
      <c r="L581" s="57"/>
      <c r="M581" s="57"/>
      <c r="N581" s="57"/>
      <c r="O581" s="57"/>
      <c r="P581" s="57"/>
      <c r="Q581" s="57"/>
      <c r="R581" s="2211"/>
      <c r="S581" s="256"/>
    </row>
    <row r="582" spans="1:19">
      <c r="A582" s="256"/>
      <c r="B582" s="57"/>
      <c r="C582" s="57"/>
      <c r="D582" s="57"/>
      <c r="E582" s="57"/>
      <c r="F582" s="57"/>
      <c r="G582" s="57"/>
      <c r="H582" s="57"/>
      <c r="I582" s="57"/>
      <c r="J582" s="57"/>
      <c r="K582" s="57"/>
      <c r="L582" s="57"/>
      <c r="M582" s="57"/>
      <c r="N582" s="57"/>
      <c r="O582" s="57"/>
      <c r="P582" s="57"/>
      <c r="Q582" s="57"/>
      <c r="R582" s="2211"/>
      <c r="S582" s="256"/>
    </row>
    <row r="583" spans="1:19">
      <c r="A583" s="256"/>
      <c r="B583" s="57"/>
      <c r="C583" s="57"/>
      <c r="D583" s="57"/>
      <c r="E583" s="57"/>
      <c r="F583" s="57"/>
      <c r="G583" s="57"/>
      <c r="H583" s="57"/>
      <c r="I583" s="57"/>
      <c r="J583" s="57"/>
      <c r="K583" s="57"/>
      <c r="L583" s="57"/>
      <c r="M583" s="57"/>
      <c r="N583" s="57"/>
      <c r="O583" s="57"/>
      <c r="P583" s="57"/>
      <c r="Q583" s="57"/>
      <c r="R583" s="2211"/>
      <c r="S583" s="256"/>
    </row>
    <row r="584" spans="1:19">
      <c r="A584" s="256"/>
      <c r="B584" s="57"/>
      <c r="C584" s="57"/>
      <c r="D584" s="57"/>
      <c r="E584" s="57"/>
      <c r="F584" s="57"/>
      <c r="G584" s="57"/>
      <c r="H584" s="57"/>
      <c r="I584" s="57"/>
      <c r="J584" s="57"/>
      <c r="K584" s="57"/>
      <c r="L584" s="57"/>
      <c r="M584" s="57"/>
      <c r="N584" s="57"/>
      <c r="O584" s="57"/>
      <c r="P584" s="57"/>
      <c r="Q584" s="57"/>
      <c r="R584" s="2211"/>
      <c r="S584" s="256"/>
    </row>
    <row r="585" spans="1:19">
      <c r="A585" s="256"/>
      <c r="B585" s="57"/>
      <c r="C585" s="57"/>
      <c r="D585" s="57"/>
      <c r="E585" s="57"/>
      <c r="F585" s="57"/>
      <c r="G585" s="57"/>
      <c r="H585" s="57"/>
      <c r="I585" s="57"/>
      <c r="J585" s="57"/>
      <c r="K585" s="57"/>
      <c r="L585" s="57"/>
      <c r="M585" s="57"/>
      <c r="N585" s="57"/>
      <c r="O585" s="57"/>
      <c r="P585" s="57"/>
      <c r="Q585" s="57"/>
      <c r="R585" s="2211"/>
      <c r="S585" s="256"/>
    </row>
    <row r="586" spans="1:19">
      <c r="A586" s="256"/>
      <c r="B586" s="57"/>
      <c r="C586" s="57"/>
      <c r="D586" s="57"/>
      <c r="E586" s="57"/>
      <c r="F586" s="57"/>
      <c r="G586" s="57"/>
      <c r="H586" s="57"/>
      <c r="I586" s="57"/>
      <c r="J586" s="57"/>
      <c r="K586" s="57"/>
      <c r="L586" s="57"/>
      <c r="M586" s="57"/>
      <c r="N586" s="57"/>
      <c r="O586" s="57"/>
      <c r="P586" s="57"/>
      <c r="Q586" s="57"/>
      <c r="R586" s="2211"/>
      <c r="S586" s="256"/>
    </row>
    <row r="587" spans="1:19">
      <c r="A587" s="256"/>
      <c r="B587" s="57"/>
      <c r="C587" s="57"/>
      <c r="D587" s="57"/>
      <c r="E587" s="57"/>
      <c r="F587" s="57"/>
      <c r="G587" s="57"/>
      <c r="H587" s="57"/>
      <c r="I587" s="57"/>
      <c r="J587" s="57"/>
      <c r="K587" s="57"/>
      <c r="L587" s="57"/>
      <c r="M587" s="57"/>
      <c r="N587" s="57"/>
      <c r="O587" s="57"/>
      <c r="P587" s="57"/>
      <c r="Q587" s="57"/>
      <c r="R587" s="2211"/>
      <c r="S587" s="256"/>
    </row>
    <row r="588" spans="1:19">
      <c r="A588" s="256"/>
      <c r="B588" s="57"/>
      <c r="C588" s="57"/>
      <c r="D588" s="57"/>
      <c r="E588" s="57"/>
      <c r="F588" s="57"/>
      <c r="G588" s="57"/>
      <c r="H588" s="57"/>
      <c r="I588" s="57"/>
      <c r="J588" s="57"/>
      <c r="K588" s="57"/>
      <c r="L588" s="57"/>
      <c r="M588" s="57"/>
      <c r="N588" s="57"/>
      <c r="O588" s="57"/>
      <c r="P588" s="57"/>
      <c r="Q588" s="57"/>
      <c r="R588" s="2211"/>
      <c r="S588" s="256"/>
    </row>
    <row r="589" spans="1:19">
      <c r="A589" s="256"/>
      <c r="B589" s="57"/>
      <c r="C589" s="57"/>
      <c r="D589" s="57"/>
      <c r="E589" s="57"/>
      <c r="F589" s="57"/>
      <c r="G589" s="57"/>
      <c r="H589" s="57"/>
      <c r="I589" s="57"/>
      <c r="J589" s="57"/>
      <c r="K589" s="57"/>
      <c r="L589" s="57"/>
      <c r="M589" s="57"/>
      <c r="N589" s="57"/>
      <c r="O589" s="57"/>
      <c r="P589" s="57"/>
      <c r="Q589" s="57"/>
      <c r="R589" s="2211"/>
      <c r="S589" s="256"/>
    </row>
    <row r="590" spans="1:19">
      <c r="A590" s="256"/>
      <c r="B590" s="57"/>
      <c r="C590" s="57"/>
      <c r="D590" s="57"/>
      <c r="E590" s="57"/>
      <c r="F590" s="57"/>
      <c r="G590" s="57"/>
      <c r="H590" s="57"/>
      <c r="I590" s="57"/>
      <c r="J590" s="57"/>
      <c r="K590" s="57"/>
      <c r="L590" s="57"/>
      <c r="M590" s="57"/>
      <c r="N590" s="57"/>
      <c r="O590" s="57"/>
      <c r="P590" s="57"/>
      <c r="Q590" s="57"/>
      <c r="R590" s="2211"/>
      <c r="S590" s="256"/>
    </row>
    <row r="591" spans="1:19">
      <c r="A591" s="256"/>
      <c r="B591" s="57"/>
      <c r="C591" s="57"/>
      <c r="D591" s="57"/>
      <c r="E591" s="57"/>
      <c r="F591" s="57"/>
      <c r="G591" s="57"/>
      <c r="H591" s="57"/>
      <c r="I591" s="57"/>
      <c r="J591" s="57"/>
      <c r="K591" s="57"/>
      <c r="L591" s="57"/>
      <c r="M591" s="57"/>
      <c r="N591" s="57"/>
      <c r="O591" s="57"/>
      <c r="P591" s="57"/>
      <c r="Q591" s="57"/>
      <c r="R591" s="2211"/>
      <c r="S591" s="256"/>
    </row>
    <row r="592" spans="1:19">
      <c r="A592" s="256"/>
      <c r="B592" s="57"/>
      <c r="C592" s="57"/>
      <c r="D592" s="57"/>
      <c r="E592" s="57"/>
      <c r="F592" s="57"/>
      <c r="G592" s="57"/>
      <c r="H592" s="57"/>
      <c r="I592" s="57"/>
      <c r="J592" s="57"/>
      <c r="K592" s="57"/>
      <c r="L592" s="57"/>
      <c r="M592" s="57"/>
      <c r="N592" s="57"/>
      <c r="O592" s="57"/>
      <c r="P592" s="57"/>
      <c r="Q592" s="57"/>
      <c r="R592" s="2211"/>
      <c r="S592" s="256"/>
    </row>
    <row r="593" spans="1:19">
      <c r="A593" s="256"/>
      <c r="B593" s="57"/>
      <c r="C593" s="57"/>
      <c r="D593" s="57"/>
      <c r="E593" s="57"/>
      <c r="F593" s="57"/>
      <c r="G593" s="57"/>
      <c r="H593" s="57"/>
      <c r="I593" s="57"/>
      <c r="J593" s="57"/>
      <c r="K593" s="57"/>
      <c r="L593" s="57"/>
      <c r="M593" s="57"/>
      <c r="N593" s="57"/>
      <c r="O593" s="57"/>
      <c r="P593" s="57"/>
      <c r="Q593" s="57"/>
      <c r="R593" s="2211"/>
      <c r="S593" s="256"/>
    </row>
    <row r="594" spans="1:19">
      <c r="A594" s="256"/>
      <c r="B594" s="57"/>
      <c r="C594" s="57"/>
      <c r="D594" s="57"/>
      <c r="E594" s="57"/>
      <c r="F594" s="57"/>
      <c r="G594" s="57"/>
      <c r="H594" s="57"/>
      <c r="I594" s="57"/>
      <c r="J594" s="57"/>
      <c r="K594" s="57"/>
      <c r="L594" s="57"/>
      <c r="M594" s="57"/>
      <c r="N594" s="57"/>
      <c r="O594" s="57"/>
      <c r="P594" s="57"/>
      <c r="Q594" s="57"/>
      <c r="R594" s="2211"/>
      <c r="S594" s="256"/>
    </row>
    <row r="595" spans="1:19">
      <c r="A595" s="256"/>
      <c r="B595" s="57"/>
      <c r="C595" s="57"/>
      <c r="D595" s="57"/>
      <c r="E595" s="57"/>
      <c r="F595" s="57"/>
      <c r="G595" s="57"/>
      <c r="H595" s="57"/>
      <c r="I595" s="57"/>
      <c r="J595" s="57"/>
      <c r="K595" s="57"/>
      <c r="L595" s="57"/>
      <c r="M595" s="57"/>
      <c r="N595" s="57"/>
      <c r="O595" s="57"/>
      <c r="P595" s="57"/>
      <c r="Q595" s="57"/>
      <c r="R595" s="2211"/>
      <c r="S595" s="256"/>
    </row>
    <row r="596" spans="1:19">
      <c r="A596" s="256"/>
      <c r="B596" s="57"/>
      <c r="C596" s="57"/>
      <c r="D596" s="57"/>
      <c r="E596" s="57"/>
      <c r="F596" s="57"/>
      <c r="G596" s="57"/>
      <c r="H596" s="57"/>
      <c r="I596" s="57"/>
      <c r="J596" s="57"/>
      <c r="K596" s="57"/>
      <c r="L596" s="57"/>
      <c r="M596" s="57"/>
      <c r="N596" s="57"/>
      <c r="O596" s="57"/>
      <c r="P596" s="57"/>
      <c r="Q596" s="57"/>
      <c r="R596" s="2211"/>
      <c r="S596" s="256"/>
    </row>
    <row r="597" spans="1:19">
      <c r="A597" s="256"/>
      <c r="B597" s="57"/>
      <c r="C597" s="57"/>
      <c r="D597" s="57"/>
      <c r="E597" s="57"/>
      <c r="F597" s="57"/>
      <c r="G597" s="57"/>
      <c r="H597" s="57"/>
      <c r="I597" s="57"/>
      <c r="J597" s="57"/>
      <c r="K597" s="57"/>
      <c r="L597" s="57"/>
      <c r="M597" s="57"/>
      <c r="N597" s="57"/>
      <c r="O597" s="57"/>
      <c r="P597" s="57"/>
      <c r="Q597" s="57"/>
      <c r="R597" s="2211"/>
      <c r="S597" s="256"/>
    </row>
    <row r="598" spans="1:19">
      <c r="A598" s="256"/>
      <c r="B598" s="57"/>
      <c r="C598" s="57"/>
      <c r="D598" s="57"/>
      <c r="E598" s="57"/>
      <c r="F598" s="57"/>
      <c r="G598" s="57"/>
      <c r="H598" s="57"/>
      <c r="I598" s="57"/>
      <c r="J598" s="57"/>
      <c r="K598" s="57"/>
      <c r="L598" s="57"/>
      <c r="M598" s="57"/>
      <c r="N598" s="57"/>
      <c r="O598" s="57"/>
      <c r="P598" s="57"/>
      <c r="Q598" s="57"/>
      <c r="R598" s="2211"/>
      <c r="S598" s="256"/>
    </row>
    <row r="599" spans="1:19">
      <c r="A599" s="256"/>
      <c r="B599" s="57"/>
      <c r="C599" s="57"/>
      <c r="D599" s="57"/>
      <c r="E599" s="57"/>
      <c r="F599" s="57"/>
      <c r="G599" s="57"/>
      <c r="H599" s="57"/>
      <c r="I599" s="57"/>
      <c r="J599" s="57"/>
      <c r="K599" s="57"/>
      <c r="L599" s="57"/>
      <c r="M599" s="57"/>
      <c r="N599" s="57"/>
      <c r="O599" s="57"/>
      <c r="P599" s="57"/>
      <c r="Q599" s="57"/>
      <c r="R599" s="2211"/>
      <c r="S599" s="256"/>
    </row>
    <row r="600" spans="1:19">
      <c r="A600" s="256"/>
      <c r="B600" s="57"/>
      <c r="C600" s="57"/>
      <c r="D600" s="57"/>
      <c r="E600" s="57"/>
      <c r="F600" s="57"/>
      <c r="G600" s="57"/>
      <c r="H600" s="57"/>
      <c r="I600" s="57"/>
      <c r="J600" s="57"/>
      <c r="K600" s="57"/>
      <c r="L600" s="57"/>
      <c r="M600" s="57"/>
      <c r="N600" s="57"/>
      <c r="O600" s="57"/>
      <c r="P600" s="57"/>
      <c r="Q600" s="57"/>
      <c r="R600" s="2211"/>
      <c r="S600" s="256"/>
    </row>
    <row r="601" spans="1:19">
      <c r="A601" s="256"/>
      <c r="B601" s="57"/>
      <c r="C601" s="57"/>
      <c r="D601" s="57"/>
      <c r="E601" s="57"/>
      <c r="F601" s="57"/>
      <c r="G601" s="57"/>
      <c r="H601" s="57"/>
      <c r="I601" s="57"/>
      <c r="J601" s="57"/>
      <c r="K601" s="57"/>
      <c r="L601" s="57"/>
      <c r="M601" s="57"/>
      <c r="N601" s="57"/>
      <c r="O601" s="57"/>
      <c r="P601" s="57"/>
      <c r="Q601" s="57"/>
      <c r="R601" s="2211"/>
      <c r="S601" s="256"/>
    </row>
    <row r="602" spans="1:19">
      <c r="A602" s="256"/>
      <c r="B602" s="57"/>
      <c r="C602" s="57"/>
      <c r="D602" s="57"/>
      <c r="E602" s="57"/>
      <c r="F602" s="57"/>
      <c r="G602" s="57"/>
      <c r="H602" s="57"/>
      <c r="I602" s="57"/>
      <c r="J602" s="57"/>
      <c r="K602" s="57"/>
      <c r="L602" s="57"/>
      <c r="M602" s="57"/>
      <c r="N602" s="57"/>
      <c r="O602" s="57"/>
      <c r="P602" s="57"/>
      <c r="Q602" s="57"/>
      <c r="R602" s="2211"/>
      <c r="S602" s="256"/>
    </row>
    <row r="603" spans="1:19">
      <c r="A603" s="256"/>
      <c r="B603" s="57"/>
      <c r="C603" s="57"/>
      <c r="D603" s="57"/>
      <c r="E603" s="57"/>
      <c r="F603" s="57"/>
      <c r="G603" s="57"/>
      <c r="H603" s="57"/>
      <c r="I603" s="57"/>
      <c r="J603" s="57"/>
      <c r="K603" s="57"/>
      <c r="L603" s="57"/>
      <c r="M603" s="57"/>
      <c r="N603" s="57"/>
      <c r="O603" s="57"/>
      <c r="P603" s="57"/>
      <c r="Q603" s="57"/>
      <c r="R603" s="2211"/>
      <c r="S603" s="256"/>
    </row>
    <row r="604" spans="1:19">
      <c r="A604" s="256"/>
      <c r="B604" s="57"/>
      <c r="C604" s="57"/>
      <c r="D604" s="57"/>
      <c r="E604" s="57"/>
      <c r="F604" s="57"/>
      <c r="G604" s="57"/>
      <c r="H604" s="57"/>
      <c r="I604" s="57"/>
      <c r="J604" s="57"/>
      <c r="K604" s="57"/>
      <c r="L604" s="57"/>
      <c r="M604" s="57"/>
      <c r="N604" s="57"/>
      <c r="O604" s="57"/>
      <c r="P604" s="57"/>
      <c r="Q604" s="57"/>
      <c r="R604" s="2211"/>
      <c r="S604" s="256"/>
    </row>
    <row r="605" spans="1:19">
      <c r="A605" s="256"/>
      <c r="B605" s="57"/>
      <c r="C605" s="57"/>
      <c r="D605" s="57"/>
      <c r="E605" s="57"/>
      <c r="F605" s="57"/>
      <c r="G605" s="57"/>
      <c r="H605" s="57"/>
      <c r="I605" s="57"/>
      <c r="J605" s="57"/>
      <c r="K605" s="57"/>
      <c r="L605" s="57"/>
      <c r="M605" s="57"/>
      <c r="N605" s="57"/>
      <c r="O605" s="57"/>
      <c r="P605" s="57"/>
      <c r="Q605" s="57"/>
      <c r="R605" s="2211"/>
      <c r="S605" s="256"/>
    </row>
    <row r="606" spans="1:19">
      <c r="A606" s="256"/>
      <c r="B606" s="57"/>
      <c r="C606" s="57"/>
      <c r="D606" s="57"/>
      <c r="E606" s="57"/>
      <c r="F606" s="57"/>
      <c r="G606" s="57"/>
      <c r="H606" s="57"/>
      <c r="I606" s="57"/>
      <c r="J606" s="57"/>
      <c r="K606" s="57"/>
      <c r="L606" s="57"/>
      <c r="M606" s="57"/>
      <c r="N606" s="57"/>
      <c r="O606" s="57"/>
      <c r="P606" s="57"/>
      <c r="Q606" s="57"/>
      <c r="R606" s="2211"/>
      <c r="S606" s="256"/>
    </row>
    <row r="607" spans="1:19">
      <c r="A607" s="256"/>
      <c r="B607" s="57"/>
      <c r="C607" s="57"/>
      <c r="D607" s="57"/>
      <c r="E607" s="57"/>
      <c r="F607" s="57"/>
      <c r="G607" s="57"/>
      <c r="H607" s="57"/>
      <c r="I607" s="57"/>
      <c r="J607" s="57"/>
      <c r="K607" s="57"/>
      <c r="L607" s="57"/>
      <c r="M607" s="57"/>
      <c r="N607" s="57"/>
      <c r="O607" s="57"/>
      <c r="P607" s="57"/>
      <c r="Q607" s="57"/>
      <c r="R607" s="2211"/>
      <c r="S607" s="256"/>
    </row>
    <row r="608" spans="1:19">
      <c r="A608" s="256"/>
      <c r="B608" s="57"/>
      <c r="C608" s="57"/>
      <c r="D608" s="57"/>
      <c r="E608" s="57"/>
      <c r="F608" s="57"/>
      <c r="G608" s="57"/>
      <c r="H608" s="57"/>
      <c r="I608" s="57"/>
      <c r="J608" s="57"/>
      <c r="K608" s="57"/>
      <c r="L608" s="57"/>
      <c r="M608" s="57"/>
      <c r="N608" s="57"/>
      <c r="O608" s="57"/>
      <c r="P608" s="57"/>
      <c r="Q608" s="57"/>
      <c r="R608" s="2211"/>
      <c r="S608" s="256"/>
    </row>
    <row r="609" spans="1:19">
      <c r="A609" s="256"/>
      <c r="B609" s="57"/>
      <c r="C609" s="57"/>
      <c r="D609" s="57"/>
      <c r="E609" s="57"/>
      <c r="F609" s="57"/>
      <c r="G609" s="57"/>
      <c r="H609" s="57"/>
      <c r="I609" s="57"/>
      <c r="J609" s="57"/>
      <c r="K609" s="57"/>
      <c r="L609" s="57"/>
      <c r="M609" s="57"/>
      <c r="N609" s="57"/>
      <c r="O609" s="57"/>
      <c r="P609" s="57"/>
      <c r="Q609" s="57"/>
      <c r="R609" s="2211"/>
      <c r="S609" s="256"/>
    </row>
    <row r="610" spans="1:19">
      <c r="A610" s="256"/>
      <c r="B610" s="57"/>
      <c r="C610" s="57"/>
      <c r="D610" s="57"/>
      <c r="E610" s="57"/>
      <c r="F610" s="57"/>
      <c r="G610" s="57"/>
      <c r="H610" s="57"/>
      <c r="I610" s="57"/>
      <c r="J610" s="57"/>
      <c r="K610" s="57"/>
      <c r="L610" s="57"/>
      <c r="M610" s="57"/>
      <c r="N610" s="57"/>
      <c r="O610" s="57"/>
      <c r="P610" s="57"/>
      <c r="Q610" s="57"/>
      <c r="R610" s="2211"/>
      <c r="S610" s="256"/>
    </row>
    <row r="611" spans="1:19">
      <c r="A611" s="256"/>
      <c r="B611" s="57"/>
      <c r="C611" s="57"/>
      <c r="D611" s="57"/>
      <c r="E611" s="57"/>
      <c r="F611" s="57"/>
      <c r="G611" s="57"/>
      <c r="H611" s="57"/>
      <c r="I611" s="57"/>
      <c r="J611" s="57"/>
      <c r="K611" s="57"/>
      <c r="L611" s="57"/>
      <c r="M611" s="57"/>
      <c r="N611" s="57"/>
      <c r="O611" s="57"/>
      <c r="P611" s="57"/>
      <c r="Q611" s="57"/>
      <c r="R611" s="2211"/>
      <c r="S611" s="256"/>
    </row>
    <row r="612" spans="1:19">
      <c r="A612" s="256"/>
      <c r="B612" s="57"/>
      <c r="C612" s="57"/>
      <c r="D612" s="57"/>
      <c r="E612" s="57"/>
      <c r="F612" s="57"/>
      <c r="G612" s="57"/>
      <c r="H612" s="57"/>
      <c r="I612" s="57"/>
      <c r="J612" s="57"/>
      <c r="K612" s="57"/>
      <c r="L612" s="57"/>
      <c r="M612" s="57"/>
      <c r="N612" s="57"/>
      <c r="O612" s="57"/>
      <c r="P612" s="57"/>
      <c r="Q612" s="57"/>
      <c r="R612" s="2211"/>
      <c r="S612" s="256"/>
    </row>
    <row r="613" spans="1:19">
      <c r="A613" s="256"/>
      <c r="B613" s="57"/>
      <c r="C613" s="57"/>
      <c r="D613" s="57"/>
      <c r="E613" s="57"/>
      <c r="F613" s="57"/>
      <c r="G613" s="57"/>
      <c r="H613" s="57"/>
      <c r="I613" s="57"/>
      <c r="J613" s="57"/>
      <c r="K613" s="57"/>
      <c r="L613" s="57"/>
      <c r="M613" s="57"/>
      <c r="N613" s="57"/>
      <c r="O613" s="57"/>
      <c r="P613" s="57"/>
      <c r="Q613" s="57"/>
      <c r="R613" s="2211"/>
      <c r="S613" s="256"/>
    </row>
    <row r="614" spans="1:19">
      <c r="A614" s="256"/>
      <c r="B614" s="57"/>
      <c r="C614" s="57"/>
      <c r="D614" s="57"/>
      <c r="E614" s="57"/>
      <c r="F614" s="57"/>
      <c r="G614" s="57"/>
      <c r="H614" s="57"/>
      <c r="I614" s="57"/>
      <c r="J614" s="57"/>
      <c r="K614" s="57"/>
      <c r="L614" s="57"/>
      <c r="M614" s="57"/>
      <c r="N614" s="57"/>
      <c r="O614" s="57"/>
      <c r="P614" s="57"/>
      <c r="Q614" s="57"/>
      <c r="R614" s="2211"/>
      <c r="S614" s="256"/>
    </row>
    <row r="615" spans="1:19">
      <c r="A615" s="256"/>
      <c r="B615" s="57"/>
      <c r="C615" s="57"/>
      <c r="D615" s="57"/>
      <c r="E615" s="57"/>
      <c r="F615" s="57"/>
      <c r="G615" s="57"/>
      <c r="H615" s="57"/>
      <c r="I615" s="57"/>
      <c r="J615" s="57"/>
      <c r="K615" s="57"/>
      <c r="L615" s="57"/>
      <c r="M615" s="57"/>
      <c r="N615" s="57"/>
      <c r="O615" s="57"/>
      <c r="P615" s="57"/>
      <c r="Q615" s="57"/>
      <c r="R615" s="2211"/>
      <c r="S615" s="256"/>
    </row>
    <row r="616" spans="1:19">
      <c r="A616" s="256"/>
      <c r="B616" s="57"/>
      <c r="C616" s="57"/>
      <c r="D616" s="57"/>
      <c r="E616" s="57"/>
      <c r="F616" s="57"/>
      <c r="G616" s="57"/>
      <c r="H616" s="57"/>
      <c r="I616" s="57"/>
      <c r="J616" s="57"/>
      <c r="K616" s="57"/>
      <c r="L616" s="57"/>
      <c r="M616" s="57"/>
      <c r="N616" s="57"/>
      <c r="O616" s="57"/>
      <c r="P616" s="57"/>
      <c r="Q616" s="57"/>
      <c r="R616" s="2211"/>
      <c r="S616" s="256"/>
    </row>
    <row r="617" spans="1:19">
      <c r="A617" s="256"/>
      <c r="B617" s="57"/>
      <c r="C617" s="57"/>
      <c r="D617" s="57"/>
      <c r="E617" s="57"/>
      <c r="F617" s="57"/>
      <c r="G617" s="57"/>
      <c r="H617" s="57"/>
      <c r="I617" s="57"/>
      <c r="J617" s="57"/>
      <c r="K617" s="57"/>
      <c r="L617" s="57"/>
      <c r="M617" s="57"/>
      <c r="N617" s="57"/>
      <c r="O617" s="57"/>
      <c r="P617" s="57"/>
      <c r="Q617" s="57"/>
      <c r="R617" s="2211"/>
      <c r="S617" s="256"/>
    </row>
    <row r="618" spans="1:19">
      <c r="A618" s="256"/>
      <c r="B618" s="57"/>
      <c r="C618" s="57"/>
      <c r="D618" s="57"/>
      <c r="E618" s="57"/>
      <c r="F618" s="57"/>
      <c r="G618" s="57"/>
      <c r="H618" s="57"/>
      <c r="I618" s="57"/>
      <c r="J618" s="57"/>
      <c r="K618" s="57"/>
      <c r="L618" s="57"/>
      <c r="M618" s="57"/>
      <c r="N618" s="57"/>
      <c r="O618" s="57"/>
      <c r="P618" s="57"/>
      <c r="Q618" s="57"/>
      <c r="R618" s="2211"/>
      <c r="S618" s="256"/>
    </row>
    <row r="619" spans="1:19">
      <c r="A619" s="256"/>
      <c r="B619" s="57"/>
      <c r="C619" s="57"/>
      <c r="D619" s="57"/>
      <c r="E619" s="57"/>
      <c r="F619" s="57"/>
      <c r="G619" s="57"/>
      <c r="H619" s="57"/>
      <c r="I619" s="57"/>
      <c r="J619" s="57"/>
      <c r="K619" s="57"/>
      <c r="L619" s="57"/>
      <c r="M619" s="57"/>
      <c r="N619" s="57"/>
      <c r="O619" s="57"/>
      <c r="P619" s="57"/>
      <c r="Q619" s="57"/>
      <c r="R619" s="2211"/>
      <c r="S619" s="256"/>
    </row>
    <row r="620" spans="1:19">
      <c r="A620" s="256"/>
      <c r="B620" s="57"/>
      <c r="C620" s="57"/>
      <c r="D620" s="57"/>
      <c r="E620" s="57"/>
      <c r="F620" s="57"/>
      <c r="G620" s="57"/>
      <c r="H620" s="57"/>
      <c r="I620" s="57"/>
      <c r="J620" s="57"/>
      <c r="K620" s="57"/>
      <c r="L620" s="57"/>
      <c r="M620" s="57"/>
      <c r="N620" s="57"/>
      <c r="O620" s="57"/>
      <c r="P620" s="57"/>
      <c r="Q620" s="57"/>
      <c r="R620" s="2211"/>
      <c r="S620" s="256"/>
    </row>
    <row r="621" spans="1:19">
      <c r="A621" s="256"/>
      <c r="B621" s="57"/>
      <c r="C621" s="57"/>
      <c r="D621" s="57"/>
      <c r="E621" s="57"/>
      <c r="F621" s="57"/>
      <c r="G621" s="57"/>
      <c r="H621" s="57"/>
      <c r="I621" s="57"/>
      <c r="J621" s="57"/>
      <c r="K621" s="57"/>
      <c r="L621" s="57"/>
      <c r="M621" s="57"/>
      <c r="N621" s="57"/>
      <c r="O621" s="57"/>
      <c r="P621" s="57"/>
      <c r="Q621" s="57"/>
      <c r="R621" s="2211"/>
      <c r="S621" s="256"/>
    </row>
    <row r="622" spans="1:19">
      <c r="A622" s="256"/>
      <c r="B622" s="57"/>
      <c r="C622" s="57"/>
      <c r="D622" s="57"/>
      <c r="E622" s="57"/>
      <c r="F622" s="57"/>
      <c r="G622" s="57"/>
      <c r="H622" s="57"/>
      <c r="I622" s="57"/>
      <c r="J622" s="57"/>
      <c r="K622" s="57"/>
      <c r="L622" s="57"/>
      <c r="M622" s="57"/>
      <c r="N622" s="57"/>
      <c r="O622" s="57"/>
      <c r="P622" s="57"/>
      <c r="Q622" s="57"/>
      <c r="R622" s="2211"/>
      <c r="S622" s="256"/>
    </row>
    <row r="623" spans="1:19">
      <c r="A623" s="256"/>
      <c r="B623" s="57"/>
      <c r="C623" s="57"/>
      <c r="D623" s="57"/>
      <c r="E623" s="57"/>
      <c r="F623" s="57"/>
      <c r="G623" s="57"/>
      <c r="H623" s="57"/>
      <c r="I623" s="57"/>
      <c r="J623" s="57"/>
      <c r="K623" s="57"/>
      <c r="L623" s="57"/>
      <c r="M623" s="57"/>
      <c r="N623" s="57"/>
      <c r="O623" s="57"/>
      <c r="P623" s="57"/>
      <c r="Q623" s="57"/>
      <c r="R623" s="2211"/>
      <c r="S623" s="256"/>
    </row>
    <row r="624" spans="1:19">
      <c r="A624" s="256"/>
      <c r="B624" s="57"/>
      <c r="C624" s="57"/>
      <c r="D624" s="57"/>
      <c r="E624" s="57"/>
      <c r="F624" s="57"/>
      <c r="G624" s="57"/>
      <c r="H624" s="57"/>
      <c r="I624" s="57"/>
      <c r="J624" s="57"/>
      <c r="K624" s="57"/>
      <c r="L624" s="57"/>
      <c r="M624" s="57"/>
      <c r="N624" s="57"/>
      <c r="O624" s="57"/>
      <c r="P624" s="57"/>
      <c r="Q624" s="57"/>
      <c r="R624" s="2211"/>
      <c r="S624" s="256"/>
    </row>
    <row r="625" spans="1:19">
      <c r="A625" s="256"/>
      <c r="B625" s="57"/>
      <c r="C625" s="57"/>
      <c r="D625" s="57"/>
      <c r="E625" s="57"/>
      <c r="F625" s="57"/>
      <c r="G625" s="57"/>
      <c r="H625" s="57"/>
      <c r="I625" s="57"/>
      <c r="J625" s="57"/>
      <c r="K625" s="57"/>
      <c r="L625" s="57"/>
      <c r="M625" s="57"/>
      <c r="N625" s="57"/>
      <c r="O625" s="57"/>
      <c r="P625" s="57"/>
      <c r="Q625" s="57"/>
      <c r="R625" s="2211"/>
      <c r="S625" s="256"/>
    </row>
    <row r="626" spans="1:19">
      <c r="A626" s="256"/>
      <c r="B626" s="57"/>
      <c r="C626" s="57"/>
      <c r="D626" s="57"/>
      <c r="E626" s="57"/>
      <c r="F626" s="57"/>
      <c r="G626" s="57"/>
      <c r="H626" s="57"/>
      <c r="I626" s="57"/>
      <c r="J626" s="57"/>
      <c r="K626" s="57"/>
      <c r="L626" s="57"/>
      <c r="M626" s="57"/>
      <c r="N626" s="57"/>
      <c r="O626" s="57"/>
      <c r="P626" s="57"/>
      <c r="Q626" s="57"/>
      <c r="R626" s="2211"/>
      <c r="S626" s="256"/>
    </row>
    <row r="627" spans="1:19">
      <c r="A627" s="256"/>
      <c r="B627" s="57"/>
      <c r="C627" s="57"/>
      <c r="D627" s="57"/>
      <c r="E627" s="57"/>
      <c r="F627" s="57"/>
      <c r="G627" s="57"/>
      <c r="H627" s="57"/>
      <c r="I627" s="57"/>
      <c r="J627" s="57"/>
      <c r="K627" s="57"/>
      <c r="L627" s="57"/>
      <c r="M627" s="57"/>
      <c r="N627" s="57"/>
      <c r="O627" s="57"/>
      <c r="P627" s="57"/>
      <c r="Q627" s="57"/>
      <c r="R627" s="2211"/>
      <c r="S627" s="256"/>
    </row>
    <row r="628" spans="1:19">
      <c r="A628" s="256"/>
      <c r="B628" s="57"/>
      <c r="C628" s="57"/>
      <c r="D628" s="57"/>
      <c r="E628" s="57"/>
      <c r="F628" s="57"/>
      <c r="G628" s="57"/>
      <c r="H628" s="57"/>
      <c r="I628" s="57"/>
      <c r="J628" s="57"/>
      <c r="K628" s="57"/>
      <c r="L628" s="57"/>
      <c r="M628" s="57"/>
      <c r="N628" s="57"/>
      <c r="O628" s="57"/>
      <c r="P628" s="57"/>
      <c r="Q628" s="57"/>
      <c r="R628" s="2211"/>
      <c r="S628" s="256"/>
    </row>
    <row r="629" spans="1:19">
      <c r="A629" s="256"/>
      <c r="B629" s="57"/>
      <c r="C629" s="57"/>
      <c r="D629" s="57"/>
      <c r="E629" s="57"/>
      <c r="F629" s="57"/>
      <c r="G629" s="57"/>
      <c r="H629" s="57"/>
      <c r="I629" s="57"/>
      <c r="J629" s="57"/>
      <c r="K629" s="57"/>
      <c r="L629" s="57"/>
      <c r="M629" s="57"/>
      <c r="N629" s="57"/>
      <c r="O629" s="57"/>
      <c r="P629" s="57"/>
      <c r="Q629" s="57"/>
      <c r="R629" s="2211"/>
      <c r="S629" s="256"/>
    </row>
    <row r="630" spans="1:19">
      <c r="A630" s="256"/>
      <c r="B630" s="57"/>
      <c r="C630" s="57"/>
      <c r="D630" s="57"/>
      <c r="E630" s="57"/>
      <c r="F630" s="57"/>
      <c r="G630" s="57"/>
      <c r="H630" s="57"/>
      <c r="I630" s="57"/>
      <c r="J630" s="57"/>
      <c r="K630" s="57"/>
      <c r="L630" s="57"/>
      <c r="M630" s="57"/>
      <c r="N630" s="57"/>
      <c r="O630" s="57"/>
      <c r="P630" s="57"/>
      <c r="Q630" s="57"/>
      <c r="R630" s="2211"/>
      <c r="S630" s="256"/>
    </row>
    <row r="631" spans="1:19">
      <c r="A631" s="256"/>
      <c r="B631" s="57"/>
      <c r="C631" s="57"/>
      <c r="D631" s="57"/>
      <c r="E631" s="57"/>
      <c r="F631" s="57"/>
      <c r="G631" s="57"/>
      <c r="H631" s="57"/>
      <c r="I631" s="57"/>
      <c r="J631" s="57"/>
      <c r="K631" s="57"/>
      <c r="L631" s="57"/>
      <c r="M631" s="57"/>
      <c r="N631" s="57"/>
      <c r="O631" s="57"/>
      <c r="P631" s="57"/>
      <c r="Q631" s="57"/>
      <c r="R631" s="2211"/>
      <c r="S631" s="256"/>
    </row>
    <row r="632" spans="1:19">
      <c r="A632" s="256"/>
      <c r="B632" s="57"/>
      <c r="C632" s="57"/>
      <c r="D632" s="57"/>
      <c r="E632" s="57"/>
      <c r="F632" s="57"/>
      <c r="G632" s="57"/>
      <c r="H632" s="57"/>
      <c r="I632" s="57"/>
      <c r="J632" s="57"/>
      <c r="K632" s="57"/>
      <c r="L632" s="57"/>
      <c r="M632" s="57"/>
      <c r="N632" s="57"/>
      <c r="O632" s="57"/>
      <c r="P632" s="57"/>
      <c r="Q632" s="57"/>
      <c r="R632" s="2211"/>
      <c r="S632" s="256"/>
    </row>
    <row r="633" spans="1:19">
      <c r="A633" s="256"/>
      <c r="B633" s="57"/>
      <c r="C633" s="57"/>
      <c r="D633" s="57"/>
      <c r="E633" s="57"/>
      <c r="F633" s="57"/>
      <c r="G633" s="57"/>
      <c r="H633" s="57"/>
      <c r="I633" s="57"/>
      <c r="J633" s="57"/>
      <c r="K633" s="57"/>
      <c r="L633" s="57"/>
      <c r="M633" s="57"/>
      <c r="N633" s="57"/>
      <c r="O633" s="57"/>
      <c r="P633" s="57"/>
      <c r="Q633" s="57"/>
      <c r="R633" s="2211"/>
      <c r="S633" s="256"/>
    </row>
    <row r="634" spans="1:19">
      <c r="A634" s="256"/>
      <c r="B634" s="57"/>
      <c r="C634" s="57"/>
      <c r="D634" s="57"/>
      <c r="E634" s="57"/>
      <c r="F634" s="57"/>
      <c r="G634" s="57"/>
      <c r="H634" s="57"/>
      <c r="I634" s="57"/>
      <c r="J634" s="57"/>
      <c r="K634" s="57"/>
      <c r="L634" s="57"/>
      <c r="M634" s="57"/>
      <c r="N634" s="57"/>
      <c r="O634" s="57"/>
      <c r="P634" s="57"/>
      <c r="Q634" s="57"/>
      <c r="R634" s="2211"/>
      <c r="S634" s="256"/>
    </row>
    <row r="635" spans="1:19">
      <c r="A635" s="256"/>
      <c r="B635" s="57"/>
      <c r="C635" s="57"/>
      <c r="D635" s="57"/>
      <c r="E635" s="57"/>
      <c r="F635" s="57"/>
      <c r="G635" s="57"/>
      <c r="H635" s="57"/>
      <c r="I635" s="57"/>
      <c r="J635" s="57"/>
      <c r="K635" s="57"/>
      <c r="L635" s="57"/>
      <c r="M635" s="57"/>
      <c r="N635" s="57"/>
      <c r="O635" s="57"/>
      <c r="P635" s="57"/>
      <c r="Q635" s="57"/>
      <c r="R635" s="2211"/>
      <c r="S635" s="256"/>
    </row>
    <row r="636" spans="1:19">
      <c r="A636" s="256"/>
      <c r="B636" s="57"/>
      <c r="C636" s="57"/>
      <c r="D636" s="57"/>
      <c r="E636" s="57"/>
      <c r="F636" s="57"/>
      <c r="G636" s="57"/>
      <c r="H636" s="57"/>
      <c r="I636" s="57"/>
      <c r="J636" s="57"/>
      <c r="K636" s="57"/>
      <c r="L636" s="57"/>
      <c r="M636" s="57"/>
      <c r="N636" s="57"/>
      <c r="O636" s="57"/>
      <c r="P636" s="57"/>
      <c r="Q636" s="57"/>
      <c r="R636" s="2211"/>
      <c r="S636" s="256"/>
    </row>
    <row r="637" spans="1:19">
      <c r="A637" s="256"/>
      <c r="B637" s="57"/>
      <c r="C637" s="57"/>
      <c r="D637" s="57"/>
      <c r="E637" s="57"/>
      <c r="F637" s="57"/>
      <c r="G637" s="57"/>
      <c r="H637" s="57"/>
      <c r="I637" s="57"/>
      <c r="J637" s="57"/>
      <c r="K637" s="57"/>
      <c r="L637" s="57"/>
      <c r="M637" s="57"/>
      <c r="N637" s="57"/>
      <c r="O637" s="57"/>
      <c r="P637" s="57"/>
      <c r="Q637" s="57"/>
      <c r="R637" s="2211"/>
      <c r="S637" s="256"/>
    </row>
    <row r="638" spans="1:19">
      <c r="A638" s="256"/>
      <c r="B638" s="57"/>
      <c r="C638" s="57"/>
      <c r="D638" s="57"/>
      <c r="E638" s="57"/>
      <c r="F638" s="57"/>
      <c r="G638" s="57"/>
      <c r="H638" s="57"/>
      <c r="I638" s="57"/>
      <c r="J638" s="57"/>
      <c r="K638" s="57"/>
      <c r="L638" s="57"/>
      <c r="M638" s="57"/>
      <c r="N638" s="57"/>
      <c r="O638" s="57"/>
      <c r="P638" s="57"/>
      <c r="Q638" s="57"/>
      <c r="R638" s="2211"/>
      <c r="S638" s="256"/>
    </row>
    <row r="639" spans="1:19">
      <c r="A639" s="256"/>
      <c r="B639" s="57"/>
      <c r="C639" s="57"/>
      <c r="D639" s="57"/>
      <c r="E639" s="57"/>
      <c r="F639" s="57"/>
      <c r="G639" s="57"/>
      <c r="H639" s="57"/>
      <c r="I639" s="57"/>
      <c r="J639" s="57"/>
      <c r="K639" s="57"/>
      <c r="L639" s="57"/>
      <c r="M639" s="57"/>
      <c r="N639" s="57"/>
      <c r="O639" s="57"/>
      <c r="P639" s="57"/>
      <c r="Q639" s="57"/>
      <c r="R639" s="2211"/>
      <c r="S639" s="256"/>
    </row>
    <row r="640" spans="1:19">
      <c r="A640" s="256"/>
      <c r="B640" s="57"/>
      <c r="C640" s="57"/>
      <c r="D640" s="57"/>
      <c r="E640" s="57"/>
      <c r="F640" s="57"/>
      <c r="G640" s="57"/>
      <c r="H640" s="57"/>
      <c r="I640" s="57"/>
      <c r="J640" s="57"/>
      <c r="K640" s="57"/>
      <c r="L640" s="57"/>
      <c r="M640" s="57"/>
      <c r="N640" s="57"/>
      <c r="O640" s="57"/>
      <c r="P640" s="57"/>
      <c r="Q640" s="57"/>
      <c r="R640" s="2211"/>
      <c r="S640" s="256"/>
    </row>
    <row r="641" spans="1:19">
      <c r="A641" s="256"/>
      <c r="B641" s="57"/>
      <c r="C641" s="57"/>
      <c r="D641" s="57"/>
      <c r="E641" s="57"/>
      <c r="F641" s="57"/>
      <c r="G641" s="57"/>
      <c r="H641" s="57"/>
      <c r="I641" s="57"/>
      <c r="J641" s="57"/>
      <c r="K641" s="57"/>
      <c r="L641" s="57"/>
      <c r="M641" s="57"/>
      <c r="N641" s="57"/>
      <c r="O641" s="57"/>
      <c r="P641" s="57"/>
      <c r="Q641" s="57"/>
      <c r="R641" s="2211"/>
      <c r="S641" s="256"/>
    </row>
    <row r="642" spans="1:19">
      <c r="A642" s="256"/>
      <c r="B642" s="57"/>
      <c r="C642" s="57"/>
      <c r="D642" s="57"/>
      <c r="E642" s="57"/>
      <c r="F642" s="57"/>
      <c r="G642" s="57"/>
      <c r="H642" s="57"/>
      <c r="I642" s="57"/>
      <c r="J642" s="57"/>
      <c r="K642" s="57"/>
      <c r="L642" s="57"/>
      <c r="M642" s="57"/>
      <c r="N642" s="57"/>
      <c r="O642" s="57"/>
      <c r="P642" s="57"/>
      <c r="Q642" s="57"/>
      <c r="R642" s="2211"/>
      <c r="S642" s="256"/>
    </row>
    <row r="643" spans="1:19">
      <c r="A643" s="256"/>
      <c r="B643" s="57"/>
      <c r="C643" s="57"/>
      <c r="D643" s="57"/>
      <c r="E643" s="57"/>
      <c r="F643" s="57"/>
      <c r="G643" s="57"/>
      <c r="H643" s="57"/>
      <c r="I643" s="57"/>
      <c r="J643" s="57"/>
      <c r="K643" s="57"/>
      <c r="L643" s="57"/>
      <c r="M643" s="57"/>
      <c r="N643" s="57"/>
      <c r="O643" s="57"/>
      <c r="P643" s="57"/>
      <c r="Q643" s="57"/>
      <c r="R643" s="2211"/>
      <c r="S643" s="256"/>
    </row>
    <row r="644" spans="1:19">
      <c r="A644" s="256"/>
      <c r="B644" s="57"/>
      <c r="C644" s="57"/>
      <c r="D644" s="57"/>
      <c r="E644" s="57"/>
      <c r="F644" s="57"/>
      <c r="G644" s="57"/>
      <c r="H644" s="57"/>
      <c r="I644" s="57"/>
      <c r="J644" s="57"/>
      <c r="K644" s="57"/>
      <c r="L644" s="57"/>
      <c r="M644" s="57"/>
      <c r="N644" s="57"/>
      <c r="O644" s="57"/>
      <c r="P644" s="57"/>
      <c r="Q644" s="57"/>
      <c r="R644" s="2211"/>
      <c r="S644" s="256"/>
    </row>
    <row r="645" spans="1:19">
      <c r="A645" s="256"/>
      <c r="B645" s="57"/>
      <c r="C645" s="57"/>
      <c r="D645" s="57"/>
      <c r="E645" s="57"/>
      <c r="F645" s="57"/>
      <c r="G645" s="57"/>
      <c r="H645" s="57"/>
      <c r="I645" s="57"/>
      <c r="J645" s="57"/>
      <c r="K645" s="57"/>
      <c r="L645" s="57"/>
      <c r="M645" s="57"/>
      <c r="N645" s="57"/>
      <c r="O645" s="57"/>
      <c r="P645" s="57"/>
      <c r="Q645" s="57"/>
      <c r="R645" s="2211"/>
      <c r="S645" s="256"/>
    </row>
    <row r="646" spans="1:19">
      <c r="A646" s="256"/>
      <c r="B646" s="57"/>
      <c r="C646" s="57"/>
      <c r="D646" s="57"/>
      <c r="E646" s="57"/>
      <c r="F646" s="57"/>
      <c r="G646" s="57"/>
      <c r="H646" s="57"/>
      <c r="I646" s="57"/>
      <c r="J646" s="57"/>
      <c r="K646" s="57"/>
      <c r="L646" s="57"/>
      <c r="M646" s="57"/>
      <c r="N646" s="57"/>
      <c r="O646" s="57"/>
      <c r="P646" s="57"/>
      <c r="Q646" s="57"/>
      <c r="R646" s="2211"/>
      <c r="S646" s="256"/>
    </row>
    <row r="647" spans="1:19">
      <c r="A647" s="256"/>
      <c r="B647" s="57"/>
      <c r="C647" s="57"/>
      <c r="D647" s="57"/>
      <c r="E647" s="57"/>
      <c r="F647" s="57"/>
      <c r="G647" s="57"/>
      <c r="H647" s="57"/>
      <c r="I647" s="57"/>
      <c r="J647" s="57"/>
      <c r="K647" s="57"/>
      <c r="L647" s="57"/>
      <c r="M647" s="57"/>
      <c r="N647" s="57"/>
      <c r="O647" s="57"/>
      <c r="P647" s="57"/>
      <c r="Q647" s="57"/>
      <c r="R647" s="2211"/>
      <c r="S647" s="256"/>
    </row>
    <row r="648" spans="1:19">
      <c r="A648" s="256"/>
      <c r="B648" s="57"/>
      <c r="C648" s="57"/>
      <c r="D648" s="57"/>
      <c r="E648" s="57"/>
      <c r="F648" s="57"/>
      <c r="G648" s="57"/>
      <c r="H648" s="57"/>
      <c r="I648" s="57"/>
      <c r="J648" s="57"/>
      <c r="K648" s="57"/>
      <c r="L648" s="57"/>
      <c r="M648" s="57"/>
      <c r="N648" s="57"/>
      <c r="O648" s="57"/>
      <c r="P648" s="57"/>
      <c r="Q648" s="57"/>
      <c r="R648" s="2211"/>
      <c r="S648" s="256"/>
    </row>
    <row r="649" spans="1:19">
      <c r="A649" s="256"/>
      <c r="B649" s="57"/>
      <c r="C649" s="57"/>
      <c r="D649" s="57"/>
      <c r="E649" s="57"/>
      <c r="F649" s="57"/>
      <c r="G649" s="57"/>
      <c r="H649" s="57"/>
      <c r="I649" s="57"/>
      <c r="J649" s="57"/>
      <c r="K649" s="57"/>
      <c r="L649" s="57"/>
      <c r="M649" s="57"/>
      <c r="N649" s="57"/>
      <c r="O649" s="57"/>
      <c r="P649" s="57"/>
      <c r="Q649" s="57"/>
      <c r="R649" s="2211"/>
      <c r="S649" s="256"/>
    </row>
    <row r="650" spans="1:19">
      <c r="A650" s="256"/>
      <c r="B650" s="57"/>
      <c r="C650" s="57"/>
      <c r="D650" s="57"/>
      <c r="E650" s="57"/>
      <c r="F650" s="57"/>
      <c r="G650" s="57"/>
      <c r="H650" s="57"/>
      <c r="I650" s="57"/>
      <c r="J650" s="57"/>
      <c r="K650" s="57"/>
      <c r="L650" s="57"/>
      <c r="M650" s="57"/>
      <c r="N650" s="57"/>
      <c r="O650" s="57"/>
      <c r="P650" s="57"/>
      <c r="Q650" s="57"/>
      <c r="R650" s="2211"/>
      <c r="S650" s="256"/>
    </row>
    <row r="651" spans="1:19">
      <c r="A651" s="256"/>
      <c r="B651" s="57"/>
      <c r="C651" s="57"/>
      <c r="D651" s="57"/>
      <c r="E651" s="57"/>
      <c r="F651" s="57"/>
      <c r="G651" s="57"/>
      <c r="H651" s="57"/>
      <c r="I651" s="57"/>
      <c r="J651" s="57"/>
      <c r="K651" s="57"/>
      <c r="L651" s="57"/>
      <c r="M651" s="57"/>
      <c r="N651" s="57"/>
      <c r="O651" s="57"/>
      <c r="P651" s="57"/>
      <c r="Q651" s="57"/>
      <c r="R651" s="2211"/>
      <c r="S651" s="256"/>
    </row>
    <row r="652" spans="1:19">
      <c r="A652" s="256"/>
      <c r="B652" s="57"/>
      <c r="C652" s="57"/>
      <c r="D652" s="57"/>
      <c r="E652" s="57"/>
      <c r="F652" s="57"/>
      <c r="G652" s="57"/>
      <c r="H652" s="57"/>
      <c r="I652" s="57"/>
      <c r="J652" s="57"/>
      <c r="K652" s="57"/>
      <c r="L652" s="57"/>
      <c r="M652" s="57"/>
      <c r="N652" s="57"/>
      <c r="O652" s="57"/>
      <c r="P652" s="57"/>
      <c r="Q652" s="57"/>
      <c r="R652" s="2211"/>
      <c r="S652" s="256"/>
    </row>
    <row r="653" spans="1:19">
      <c r="A653" s="256"/>
      <c r="B653" s="57"/>
      <c r="C653" s="57"/>
      <c r="D653" s="57"/>
      <c r="E653" s="57"/>
      <c r="F653" s="57"/>
      <c r="G653" s="57"/>
      <c r="H653" s="57"/>
      <c r="I653" s="57"/>
      <c r="J653" s="57"/>
      <c r="K653" s="57"/>
      <c r="L653" s="57"/>
      <c r="M653" s="57"/>
      <c r="N653" s="57"/>
      <c r="O653" s="57"/>
      <c r="P653" s="57"/>
      <c r="Q653" s="57"/>
      <c r="R653" s="2211"/>
      <c r="S653" s="256"/>
    </row>
    <row r="654" spans="1:19">
      <c r="A654" s="256"/>
      <c r="B654" s="57"/>
      <c r="C654" s="57"/>
      <c r="D654" s="57"/>
      <c r="E654" s="57"/>
      <c r="F654" s="57"/>
      <c r="G654" s="57"/>
      <c r="H654" s="57"/>
      <c r="I654" s="57"/>
      <c r="J654" s="57"/>
      <c r="K654" s="57"/>
      <c r="L654" s="57"/>
      <c r="M654" s="57"/>
      <c r="N654" s="57"/>
      <c r="O654" s="57"/>
      <c r="P654" s="57"/>
      <c r="Q654" s="57"/>
      <c r="R654" s="2211"/>
      <c r="S654" s="256"/>
    </row>
    <row r="655" spans="1:19">
      <c r="A655" s="256"/>
      <c r="B655" s="57"/>
      <c r="C655" s="57"/>
      <c r="D655" s="57"/>
      <c r="E655" s="57"/>
      <c r="F655" s="57"/>
      <c r="G655" s="57"/>
      <c r="H655" s="57"/>
      <c r="I655" s="57"/>
      <c r="J655" s="57"/>
      <c r="K655" s="57"/>
      <c r="L655" s="57"/>
      <c r="M655" s="57"/>
      <c r="N655" s="57"/>
      <c r="O655" s="57"/>
      <c r="P655" s="57"/>
      <c r="Q655" s="57"/>
      <c r="R655" s="2211"/>
      <c r="S655" s="256"/>
    </row>
    <row r="656" spans="1:19">
      <c r="A656" s="256"/>
      <c r="B656" s="57"/>
      <c r="C656" s="57"/>
      <c r="D656" s="57"/>
      <c r="E656" s="57"/>
      <c r="F656" s="57"/>
      <c r="G656" s="57"/>
      <c r="H656" s="57"/>
      <c r="I656" s="57"/>
      <c r="J656" s="57"/>
      <c r="K656" s="57"/>
      <c r="L656" s="57"/>
      <c r="M656" s="57"/>
      <c r="N656" s="57"/>
      <c r="O656" s="57"/>
      <c r="P656" s="57"/>
      <c r="Q656" s="57"/>
      <c r="R656" s="2211"/>
      <c r="S656" s="256"/>
    </row>
    <row r="657" spans="1:19">
      <c r="A657" s="256"/>
      <c r="B657" s="57"/>
      <c r="C657" s="57"/>
      <c r="D657" s="57"/>
      <c r="E657" s="57"/>
      <c r="F657" s="57"/>
      <c r="G657" s="57"/>
      <c r="H657" s="57"/>
      <c r="I657" s="57"/>
      <c r="J657" s="57"/>
      <c r="K657" s="57"/>
      <c r="L657" s="57"/>
      <c r="M657" s="57"/>
      <c r="N657" s="57"/>
      <c r="O657" s="57"/>
      <c r="P657" s="57"/>
      <c r="Q657" s="57"/>
      <c r="R657" s="2211"/>
      <c r="S657" s="256"/>
    </row>
    <row r="658" spans="1:19">
      <c r="A658" s="256"/>
      <c r="B658" s="57"/>
      <c r="C658" s="57"/>
      <c r="D658" s="57"/>
      <c r="E658" s="57"/>
      <c r="F658" s="57"/>
      <c r="G658" s="57"/>
      <c r="H658" s="57"/>
      <c r="I658" s="57"/>
      <c r="J658" s="57"/>
      <c r="K658" s="57"/>
      <c r="L658" s="57"/>
      <c r="M658" s="57"/>
      <c r="N658" s="57"/>
      <c r="O658" s="57"/>
      <c r="P658" s="57"/>
      <c r="Q658" s="57"/>
      <c r="R658" s="2211"/>
      <c r="S658" s="256"/>
    </row>
    <row r="659" spans="1:19">
      <c r="A659" s="256"/>
      <c r="B659" s="57"/>
      <c r="C659" s="57"/>
      <c r="D659" s="57"/>
      <c r="E659" s="57"/>
      <c r="F659" s="57"/>
      <c r="G659" s="57"/>
      <c r="H659" s="57"/>
      <c r="I659" s="57"/>
      <c r="J659" s="57"/>
      <c r="K659" s="57"/>
      <c r="L659" s="57"/>
      <c r="M659" s="57"/>
      <c r="N659" s="57"/>
      <c r="O659" s="57"/>
      <c r="P659" s="57"/>
      <c r="Q659" s="57"/>
      <c r="R659" s="2211"/>
      <c r="S659" s="256"/>
    </row>
    <row r="660" spans="1:19">
      <c r="A660" s="256"/>
      <c r="B660" s="57"/>
      <c r="C660" s="57"/>
      <c r="D660" s="57"/>
      <c r="E660" s="57"/>
      <c r="F660" s="57"/>
      <c r="G660" s="57"/>
      <c r="H660" s="57"/>
      <c r="I660" s="57"/>
      <c r="J660" s="57"/>
      <c r="K660" s="57"/>
      <c r="L660" s="57"/>
      <c r="M660" s="57"/>
      <c r="N660" s="57"/>
      <c r="O660" s="57"/>
      <c r="P660" s="57"/>
      <c r="Q660" s="57"/>
      <c r="R660" s="2211"/>
      <c r="S660" s="256"/>
    </row>
    <row r="661" spans="1:19">
      <c r="A661" s="256"/>
      <c r="B661" s="57"/>
      <c r="C661" s="57"/>
      <c r="D661" s="57"/>
      <c r="E661" s="57"/>
      <c r="F661" s="57"/>
      <c r="G661" s="57"/>
      <c r="H661" s="57"/>
      <c r="I661" s="57"/>
      <c r="J661" s="57"/>
      <c r="K661" s="57"/>
      <c r="L661" s="57"/>
      <c r="M661" s="57"/>
      <c r="N661" s="57"/>
      <c r="O661" s="57"/>
      <c r="P661" s="57"/>
      <c r="Q661" s="57"/>
      <c r="R661" s="2211"/>
      <c r="S661" s="256"/>
    </row>
    <row r="662" spans="1:19">
      <c r="A662" s="256"/>
      <c r="B662" s="57"/>
      <c r="C662" s="57"/>
      <c r="D662" s="57"/>
      <c r="E662" s="57"/>
      <c r="F662" s="57"/>
      <c r="G662" s="57"/>
      <c r="H662" s="57"/>
      <c r="I662" s="57"/>
      <c r="J662" s="57"/>
      <c r="K662" s="57"/>
      <c r="L662" s="57"/>
      <c r="M662" s="57"/>
      <c r="N662" s="57"/>
      <c r="O662" s="57"/>
      <c r="P662" s="57"/>
      <c r="Q662" s="57"/>
      <c r="R662" s="2211"/>
      <c r="S662" s="256"/>
    </row>
    <row r="663" spans="1:19">
      <c r="A663" s="256"/>
      <c r="B663" s="57"/>
      <c r="C663" s="57"/>
      <c r="D663" s="57"/>
      <c r="E663" s="57"/>
      <c r="F663" s="57"/>
      <c r="G663" s="57"/>
      <c r="H663" s="57"/>
      <c r="I663" s="57"/>
      <c r="J663" s="57"/>
      <c r="K663" s="57"/>
      <c r="L663" s="57"/>
      <c r="M663" s="57"/>
      <c r="N663" s="57"/>
      <c r="O663" s="57"/>
      <c r="P663" s="57"/>
      <c r="Q663" s="57"/>
      <c r="R663" s="2211"/>
      <c r="S663" s="256"/>
    </row>
    <row r="664" spans="1:19">
      <c r="A664" s="256"/>
      <c r="B664" s="57"/>
      <c r="C664" s="57"/>
      <c r="D664" s="57"/>
      <c r="E664" s="57"/>
      <c r="F664" s="57"/>
      <c r="G664" s="57"/>
      <c r="H664" s="57"/>
      <c r="I664" s="57"/>
      <c r="J664" s="57"/>
      <c r="K664" s="57"/>
      <c r="L664" s="57"/>
      <c r="M664" s="57"/>
      <c r="N664" s="57"/>
      <c r="O664" s="57"/>
      <c r="P664" s="57"/>
      <c r="Q664" s="57"/>
      <c r="R664" s="2211"/>
      <c r="S664" s="256"/>
    </row>
    <row r="665" spans="1:19">
      <c r="A665" s="256"/>
      <c r="B665" s="57"/>
      <c r="C665" s="57"/>
      <c r="D665" s="57"/>
      <c r="E665" s="57"/>
      <c r="F665" s="57"/>
      <c r="G665" s="57"/>
      <c r="H665" s="57"/>
      <c r="I665" s="57"/>
      <c r="J665" s="57"/>
      <c r="K665" s="57"/>
      <c r="L665" s="57"/>
      <c r="M665" s="57"/>
      <c r="N665" s="57"/>
      <c r="O665" s="57"/>
      <c r="P665" s="57"/>
      <c r="Q665" s="57"/>
      <c r="R665" s="2211"/>
      <c r="S665" s="256"/>
    </row>
    <row r="666" spans="1:19">
      <c r="A666" s="256"/>
      <c r="B666" s="57"/>
      <c r="C666" s="57"/>
      <c r="D666" s="57"/>
      <c r="E666" s="57"/>
      <c r="F666" s="57"/>
      <c r="G666" s="57"/>
      <c r="H666" s="57"/>
      <c r="I666" s="57"/>
      <c r="J666" s="57"/>
      <c r="K666" s="57"/>
      <c r="L666" s="57"/>
      <c r="M666" s="57"/>
      <c r="N666" s="57"/>
      <c r="O666" s="57"/>
      <c r="P666" s="57"/>
      <c r="Q666" s="57"/>
      <c r="R666" s="2211"/>
      <c r="S666" s="256"/>
    </row>
    <row r="667" spans="1:19">
      <c r="A667" s="256"/>
      <c r="B667" s="57"/>
      <c r="C667" s="57"/>
      <c r="D667" s="57"/>
      <c r="E667" s="57"/>
      <c r="F667" s="57"/>
      <c r="G667" s="57"/>
      <c r="H667" s="57"/>
      <c r="I667" s="57"/>
      <c r="J667" s="57"/>
      <c r="K667" s="57"/>
      <c r="L667" s="57"/>
      <c r="M667" s="57"/>
      <c r="N667" s="57"/>
      <c r="O667" s="57"/>
      <c r="P667" s="57"/>
      <c r="Q667" s="57"/>
      <c r="R667" s="2211"/>
      <c r="S667" s="256"/>
    </row>
    <row r="668" spans="1:19">
      <c r="A668" s="256"/>
      <c r="B668" s="57"/>
      <c r="C668" s="57"/>
      <c r="D668" s="57"/>
      <c r="E668" s="57"/>
      <c r="F668" s="57"/>
      <c r="G668" s="57"/>
      <c r="H668" s="57"/>
      <c r="I668" s="57"/>
      <c r="J668" s="57"/>
      <c r="K668" s="57"/>
      <c r="L668" s="57"/>
      <c r="M668" s="57"/>
      <c r="N668" s="57"/>
      <c r="O668" s="57"/>
      <c r="P668" s="57"/>
      <c r="Q668" s="57"/>
      <c r="R668" s="2211"/>
      <c r="S668" s="256"/>
    </row>
    <row r="669" spans="1:19">
      <c r="A669" s="256"/>
      <c r="B669" s="57"/>
      <c r="C669" s="57"/>
      <c r="D669" s="57"/>
      <c r="E669" s="57"/>
      <c r="F669" s="57"/>
      <c r="G669" s="57"/>
      <c r="H669" s="57"/>
      <c r="I669" s="57"/>
      <c r="J669" s="57"/>
      <c r="K669" s="57"/>
      <c r="L669" s="57"/>
      <c r="M669" s="57"/>
      <c r="N669" s="57"/>
      <c r="O669" s="57"/>
      <c r="P669" s="57"/>
      <c r="Q669" s="57"/>
      <c r="R669" s="2211"/>
      <c r="S669" s="256"/>
    </row>
    <row r="670" spans="1:19">
      <c r="A670" s="256"/>
      <c r="B670" s="57"/>
      <c r="C670" s="57"/>
      <c r="D670" s="57"/>
      <c r="E670" s="57"/>
      <c r="F670" s="57"/>
      <c r="G670" s="57"/>
      <c r="H670" s="57"/>
      <c r="I670" s="57"/>
      <c r="J670" s="57"/>
      <c r="K670" s="57"/>
      <c r="L670" s="57"/>
      <c r="M670" s="57"/>
      <c r="N670" s="57"/>
      <c r="O670" s="57"/>
      <c r="P670" s="57"/>
      <c r="Q670" s="57"/>
      <c r="R670" s="2211"/>
      <c r="S670" s="256"/>
    </row>
    <row r="671" spans="1:19">
      <c r="A671" s="256"/>
      <c r="B671" s="57"/>
      <c r="C671" s="57"/>
      <c r="D671" s="57"/>
      <c r="E671" s="57"/>
      <c r="F671" s="57"/>
      <c r="G671" s="57"/>
      <c r="H671" s="57"/>
      <c r="I671" s="57"/>
      <c r="J671" s="57"/>
      <c r="K671" s="57"/>
      <c r="L671" s="57"/>
      <c r="M671" s="57"/>
      <c r="N671" s="57"/>
      <c r="O671" s="57"/>
      <c r="P671" s="57"/>
      <c r="Q671" s="57"/>
      <c r="R671" s="2211"/>
      <c r="S671" s="256"/>
    </row>
    <row r="672" spans="1:19">
      <c r="A672" s="256"/>
      <c r="B672" s="57"/>
      <c r="C672" s="57"/>
      <c r="D672" s="57"/>
      <c r="E672" s="57"/>
      <c r="F672" s="57"/>
      <c r="G672" s="57"/>
      <c r="H672" s="57"/>
      <c r="I672" s="57"/>
      <c r="J672" s="57"/>
      <c r="K672" s="57"/>
      <c r="L672" s="57"/>
      <c r="M672" s="57"/>
      <c r="N672" s="57"/>
      <c r="O672" s="57"/>
      <c r="P672" s="57"/>
      <c r="Q672" s="57"/>
      <c r="R672" s="2211"/>
      <c r="S672" s="256"/>
    </row>
    <row r="673" spans="1:19">
      <c r="A673" s="256"/>
      <c r="B673" s="57"/>
      <c r="C673" s="57"/>
      <c r="D673" s="57"/>
      <c r="E673" s="57"/>
      <c r="F673" s="57"/>
      <c r="G673" s="57"/>
      <c r="H673" s="57"/>
      <c r="I673" s="57"/>
      <c r="J673" s="57"/>
      <c r="K673" s="57"/>
      <c r="L673" s="57"/>
      <c r="M673" s="57"/>
      <c r="N673" s="57"/>
      <c r="O673" s="57"/>
      <c r="P673" s="57"/>
      <c r="Q673" s="57"/>
      <c r="R673" s="2211"/>
      <c r="S673" s="256"/>
    </row>
    <row r="674" spans="1:19">
      <c r="A674" s="256"/>
      <c r="B674" s="57"/>
      <c r="C674" s="57"/>
      <c r="D674" s="57"/>
      <c r="E674" s="57"/>
      <c r="F674" s="57"/>
      <c r="G674" s="57"/>
      <c r="H674" s="57"/>
      <c r="I674" s="57"/>
      <c r="J674" s="57"/>
      <c r="K674" s="57"/>
      <c r="L674" s="57"/>
      <c r="M674" s="57"/>
      <c r="N674" s="57"/>
      <c r="O674" s="57"/>
      <c r="P674" s="57"/>
      <c r="Q674" s="57"/>
      <c r="R674" s="2211"/>
      <c r="S674" s="256"/>
    </row>
    <row r="675" spans="1:19">
      <c r="A675" s="256"/>
      <c r="B675" s="57"/>
      <c r="C675" s="57"/>
      <c r="D675" s="57"/>
      <c r="E675" s="57"/>
      <c r="F675" s="57"/>
      <c r="G675" s="57"/>
      <c r="H675" s="57"/>
      <c r="I675" s="57"/>
      <c r="J675" s="57"/>
      <c r="K675" s="57"/>
      <c r="L675" s="57"/>
      <c r="M675" s="57"/>
      <c r="N675" s="57"/>
      <c r="O675" s="57"/>
      <c r="P675" s="57"/>
      <c r="Q675" s="57"/>
      <c r="R675" s="2211"/>
      <c r="S675" s="256"/>
    </row>
    <row r="676" spans="1:19">
      <c r="A676" s="256"/>
      <c r="B676" s="57"/>
      <c r="C676" s="57"/>
      <c r="D676" s="57"/>
      <c r="E676" s="57"/>
      <c r="F676" s="57"/>
      <c r="G676" s="57"/>
      <c r="H676" s="57"/>
      <c r="I676" s="57"/>
      <c r="J676" s="57"/>
      <c r="K676" s="57"/>
      <c r="L676" s="57"/>
      <c r="M676" s="57"/>
      <c r="N676" s="57"/>
      <c r="O676" s="57"/>
      <c r="P676" s="57"/>
      <c r="Q676" s="57"/>
      <c r="R676" s="2211"/>
      <c r="S676" s="256"/>
    </row>
    <row r="677" spans="1:19">
      <c r="A677" s="256"/>
      <c r="B677" s="57"/>
      <c r="C677" s="57"/>
      <c r="D677" s="57"/>
      <c r="E677" s="57"/>
      <c r="F677" s="57"/>
      <c r="G677" s="57"/>
      <c r="H677" s="57"/>
      <c r="I677" s="57"/>
      <c r="J677" s="57"/>
      <c r="K677" s="57"/>
      <c r="L677" s="57"/>
      <c r="M677" s="57"/>
      <c r="N677" s="57"/>
      <c r="O677" s="57"/>
      <c r="P677" s="57"/>
      <c r="Q677" s="57"/>
      <c r="R677" s="2211"/>
      <c r="S677" s="256"/>
    </row>
    <row r="678" spans="1:19">
      <c r="A678" s="256"/>
      <c r="B678" s="57"/>
      <c r="C678" s="57"/>
      <c r="D678" s="57"/>
      <c r="E678" s="57"/>
      <c r="F678" s="57"/>
      <c r="G678" s="57"/>
      <c r="H678" s="57"/>
      <c r="I678" s="57"/>
      <c r="J678" s="57"/>
      <c r="K678" s="57"/>
      <c r="L678" s="57"/>
      <c r="M678" s="57"/>
      <c r="N678" s="57"/>
      <c r="O678" s="57"/>
      <c r="P678" s="57"/>
      <c r="Q678" s="57"/>
      <c r="R678" s="2211"/>
      <c r="S678" s="256"/>
    </row>
    <row r="679" spans="1:19">
      <c r="A679" s="256"/>
      <c r="B679" s="57"/>
      <c r="C679" s="57"/>
      <c r="D679" s="57"/>
      <c r="E679" s="57"/>
      <c r="F679" s="57"/>
      <c r="G679" s="57"/>
      <c r="H679" s="57"/>
      <c r="I679" s="57"/>
      <c r="J679" s="57"/>
      <c r="K679" s="57"/>
      <c r="L679" s="57"/>
      <c r="M679" s="57"/>
      <c r="N679" s="57"/>
      <c r="O679" s="57"/>
      <c r="P679" s="57"/>
      <c r="Q679" s="57"/>
      <c r="R679" s="2211"/>
      <c r="S679" s="256"/>
    </row>
    <row r="680" spans="1:19">
      <c r="A680" s="256"/>
      <c r="B680" s="57"/>
      <c r="C680" s="57"/>
      <c r="D680" s="57"/>
      <c r="E680" s="57"/>
      <c r="F680" s="57"/>
      <c r="G680" s="57"/>
      <c r="H680" s="57"/>
      <c r="I680" s="57"/>
      <c r="J680" s="57"/>
      <c r="K680" s="57"/>
      <c r="L680" s="57"/>
      <c r="M680" s="57"/>
      <c r="N680" s="57"/>
      <c r="O680" s="57"/>
      <c r="P680" s="57"/>
      <c r="Q680" s="57"/>
      <c r="R680" s="2211"/>
      <c r="S680" s="256"/>
    </row>
    <row r="681" spans="1:19">
      <c r="A681" s="256"/>
      <c r="B681" s="57"/>
      <c r="C681" s="57"/>
      <c r="D681" s="57"/>
      <c r="E681" s="57"/>
      <c r="F681" s="57"/>
      <c r="G681" s="57"/>
      <c r="H681" s="57"/>
      <c r="I681" s="57"/>
      <c r="J681" s="57"/>
      <c r="K681" s="57"/>
      <c r="L681" s="57"/>
      <c r="M681" s="57"/>
      <c r="N681" s="57"/>
      <c r="O681" s="57"/>
      <c r="P681" s="57"/>
      <c r="Q681" s="57"/>
      <c r="R681" s="2211"/>
      <c r="S681" s="256"/>
    </row>
    <row r="682" spans="1:19">
      <c r="A682" s="256"/>
      <c r="B682" s="57"/>
      <c r="C682" s="57"/>
      <c r="D682" s="57"/>
      <c r="E682" s="57"/>
      <c r="F682" s="57"/>
      <c r="G682" s="57"/>
      <c r="H682" s="57"/>
      <c r="I682" s="57"/>
      <c r="J682" s="57"/>
      <c r="K682" s="57"/>
      <c r="L682" s="57"/>
      <c r="M682" s="57"/>
      <c r="N682" s="57"/>
      <c r="O682" s="57"/>
      <c r="P682" s="57"/>
      <c r="Q682" s="57"/>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2787</v>
      </c>
      <c r="C1" s="2959">
        <f>项目基本情况!D3</f>
        <v>43734</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2818</v>
      </c>
      <c r="C2" s="2960">
        <f>'数据-取费表'!B22</f>
        <v>2.5</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7" sqref="L17"/>
    </sheetView>
  </sheetViews>
  <sheetFormatPr defaultRowHeight="13.5"/>
  <sheetData/>
  <phoneticPr fontId="22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4" sqref="L24"/>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2037</v>
      </c>
      <c r="B1" s="3206"/>
      <c r="C1" s="3206"/>
      <c r="D1" s="3206"/>
      <c r="E1" s="3206"/>
      <c r="F1" s="3206"/>
      <c r="G1" s="3206"/>
      <c r="H1" s="3206"/>
      <c r="I1" s="3206"/>
      <c r="J1" s="3206"/>
      <c r="K1" s="3206"/>
      <c r="L1" s="3206"/>
      <c r="M1" s="3206"/>
      <c r="N1" s="3206"/>
      <c r="O1" s="3206"/>
      <c r="P1" s="3206"/>
      <c r="Q1" s="3206"/>
      <c r="R1" s="3206"/>
    </row>
    <row r="2" spans="1:18">
      <c r="A2" s="1792" t="s">
        <v>2039</v>
      </c>
      <c r="B2" s="1792"/>
      <c r="C2" s="1792"/>
      <c r="D2" s="1792"/>
      <c r="E2" s="1792"/>
      <c r="F2" s="1792"/>
      <c r="G2" s="1792"/>
      <c r="H2" s="1792"/>
      <c r="I2" s="1793"/>
      <c r="J2" s="1793"/>
      <c r="K2" s="1794" t="str">
        <f>"估价期日："&amp;TEXT(项目基本情况!D3,"yyyy年m月d日;;")</f>
        <v>估价期日：2019年9月26日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7" t="s">
        <v>2028</v>
      </c>
      <c r="B3" s="3207" t="s">
        <v>2730</v>
      </c>
      <c r="C3" s="3208" t="s">
        <v>2029</v>
      </c>
      <c r="D3" s="3207" t="s">
        <v>2734</v>
      </c>
      <c r="E3" s="3202" t="s">
        <v>2030</v>
      </c>
      <c r="F3" s="3202"/>
      <c r="G3" s="3202"/>
      <c r="H3" s="3202" t="s">
        <v>2031</v>
      </c>
      <c r="I3" s="3202"/>
      <c r="J3" s="3202"/>
      <c r="K3" s="3208" t="s">
        <v>2032</v>
      </c>
      <c r="L3" s="3208" t="s">
        <v>2033</v>
      </c>
      <c r="M3" s="3207" t="s">
        <v>2731</v>
      </c>
      <c r="N3" s="3209" t="str">
        <f>"（分摊）"&amp;项目基本情况!B16&amp;"国有建设用地使用权面积/㎡"</f>
        <v>（分摊）出让国有建设用地使用权面积/㎡</v>
      </c>
      <c r="O3" s="3207" t="s">
        <v>2062</v>
      </c>
      <c r="P3" s="3208" t="s">
        <v>2042</v>
      </c>
      <c r="Q3" s="3208" t="s">
        <v>2063</v>
      </c>
      <c r="R3" s="3208" t="s">
        <v>2034</v>
      </c>
    </row>
    <row r="4" spans="1:18" ht="36.75" customHeight="1">
      <c r="A4" s="3207"/>
      <c r="B4" s="3207"/>
      <c r="C4" s="3208"/>
      <c r="D4" s="3207"/>
      <c r="E4" s="2613" t="s">
        <v>2041</v>
      </c>
      <c r="F4" s="2613" t="s">
        <v>2743</v>
      </c>
      <c r="G4" s="2613" t="s">
        <v>2035</v>
      </c>
      <c r="H4" s="2613" t="s">
        <v>2036</v>
      </c>
      <c r="I4" s="2613" t="s">
        <v>2744</v>
      </c>
      <c r="J4" s="2613" t="s">
        <v>2035</v>
      </c>
      <c r="K4" s="3208"/>
      <c r="L4" s="3208"/>
      <c r="M4" s="3207"/>
      <c r="N4" s="3209"/>
      <c r="O4" s="3207"/>
      <c r="P4" s="3208"/>
      <c r="Q4" s="3208"/>
      <c r="R4" s="3208"/>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61815.58</v>
      </c>
      <c r="O5" s="1795">
        <f>项目基本情况!C21</f>
        <v>92723.37</v>
      </c>
      <c r="P5" s="1795">
        <f ca="1">结果表!E42</f>
        <v>902</v>
      </c>
      <c r="Q5" s="1795">
        <f ca="1">结果表!D42</f>
        <v>601</v>
      </c>
      <c r="R5" s="1796">
        <f ca="1">结果表!C42</f>
        <v>5576</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797">
        <f ca="1">结果表!O39</f>
        <v>5576</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797"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1" t="s">
        <v>2064</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2065</v>
      </c>
      <c r="B5" s="3210"/>
      <c r="C5" s="3210"/>
      <c r="D5" s="3210"/>
    </row>
    <row r="6" spans="1:4">
      <c r="A6" s="3211" t="s">
        <v>2043</v>
      </c>
      <c r="B6" s="3211"/>
      <c r="C6" s="3211"/>
      <c r="D6" s="3211"/>
    </row>
    <row r="7" spans="1:4" ht="33" customHeight="1">
      <c r="A7" s="3211" t="s">
        <v>2574</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0" t="s">
        <v>2067</v>
      </c>
      <c r="B12" s="3210"/>
      <c r="C12" s="3210"/>
      <c r="D12" s="3210"/>
    </row>
    <row r="13" spans="1:4">
      <c r="A13" s="3214" t="s">
        <v>2745</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2701</v>
      </c>
      <c r="B17" s="3211"/>
      <c r="C17" s="3211"/>
      <c r="D17" s="3211"/>
    </row>
    <row r="18" spans="1:4">
      <c r="A18" s="3211" t="s">
        <v>2693</v>
      </c>
      <c r="B18" s="3211"/>
      <c r="C18" s="3211"/>
      <c r="D18" s="3211"/>
    </row>
    <row r="19" spans="1:4">
      <c r="A19" s="2823" t="s">
        <v>2694</v>
      </c>
      <c r="B19" s="2823" t="s">
        <v>2695</v>
      </c>
      <c r="C19" s="2823" t="s">
        <v>2696</v>
      </c>
      <c r="D19" s="2823" t="s">
        <v>2697</v>
      </c>
    </row>
    <row r="20" spans="1:4">
      <c r="A20" s="2823" t="str">
        <f>项目基本情况!B4</f>
        <v>土地估价师</v>
      </c>
      <c r="B20" s="2823">
        <f>项目基本情况!C4</f>
        <v>0</v>
      </c>
      <c r="C20" s="2825"/>
      <c r="D20" s="1785" t="s">
        <v>2702</v>
      </c>
    </row>
    <row r="21" spans="1:4">
      <c r="A21" s="2823" t="str">
        <f>项目基本情况!D4</f>
        <v>土地估价师</v>
      </c>
      <c r="B21" s="2823">
        <f>项目基本情况!E4</f>
        <v>0</v>
      </c>
      <c r="C21" s="2825"/>
      <c r="D21" s="1785" t="s">
        <v>2703</v>
      </c>
    </row>
    <row r="23" spans="1:4">
      <c r="A23" s="3211" t="s">
        <v>2698</v>
      </c>
      <c r="B23" s="3211"/>
      <c r="C23" s="3211"/>
      <c r="D23" s="3211"/>
    </row>
    <row r="24" spans="1:4">
      <c r="A24" s="2823" t="s">
        <v>2694</v>
      </c>
      <c r="B24" s="2823" t="s">
        <v>2699</v>
      </c>
      <c r="C24" s="2823" t="s">
        <v>2696</v>
      </c>
      <c r="D24" s="2823" t="s">
        <v>2697</v>
      </c>
    </row>
    <row r="25" spans="1:4">
      <c r="A25" s="2826" t="s">
        <v>2700</v>
      </c>
      <c r="B25" s="2823" t="s">
        <v>951</v>
      </c>
      <c r="C25" s="2825"/>
      <c r="D25" s="1785" t="s">
        <v>2703</v>
      </c>
    </row>
    <row r="29" spans="1:4">
      <c r="D29" s="2824" t="s">
        <v>2038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22" t="s">
        <v>53</v>
      </c>
      <c r="B15" s="3223" t="s">
        <v>845</v>
      </c>
      <c r="C15" s="3219"/>
    </row>
    <row r="16" spans="1:7" ht="14.25">
      <c r="A16" s="3222"/>
      <c r="B16" s="3220" t="s">
        <v>54</v>
      </c>
      <c r="C16" s="1167" t="s">
        <v>53</v>
      </c>
    </row>
    <row r="17" spans="1:3" ht="14.25">
      <c r="A17" s="3222"/>
      <c r="B17" s="3220"/>
      <c r="C17" s="1167" t="s">
        <v>55</v>
      </c>
    </row>
    <row r="18" spans="1:3" ht="14.25">
      <c r="A18" s="3222"/>
      <c r="B18" s="3220"/>
      <c r="C18" s="1167" t="s">
        <v>56</v>
      </c>
    </row>
    <row r="19" spans="1:3" ht="14.25">
      <c r="A19" s="3222"/>
      <c r="B19" s="3218" t="s">
        <v>57</v>
      </c>
      <c r="C19" s="3219"/>
    </row>
    <row r="20" spans="1:3" ht="14.25">
      <c r="A20" s="1168" t="s">
        <v>58</v>
      </c>
      <c r="B20" s="1169"/>
      <c r="C20" s="1170"/>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1" t="s">
        <v>836</v>
      </c>
    </row>
    <row r="25" spans="1:3" ht="14.25">
      <c r="A25" s="3221"/>
      <c r="B25" s="3225"/>
      <c r="C25" s="1171" t="s">
        <v>837</v>
      </c>
    </row>
    <row r="26" spans="1:3" ht="14.25">
      <c r="A26" s="3221"/>
      <c r="B26" s="3225"/>
      <c r="C26" s="1171" t="s">
        <v>838</v>
      </c>
    </row>
    <row r="27" spans="1:3" ht="14.25">
      <c r="A27" s="3221"/>
      <c r="B27" s="3225"/>
      <c r="C27" s="1171" t="s">
        <v>839</v>
      </c>
    </row>
    <row r="28" spans="1:3" ht="14.25">
      <c r="A28" s="3221"/>
      <c r="B28" s="3225"/>
      <c r="C28" s="1171" t="s">
        <v>840</v>
      </c>
    </row>
    <row r="29" spans="1:3" ht="14.25">
      <c r="A29" s="3221"/>
      <c r="B29" s="3225"/>
      <c r="C29" s="1171" t="s">
        <v>841</v>
      </c>
    </row>
    <row r="30" spans="1:3" ht="14.25">
      <c r="A30" s="3221"/>
      <c r="B30" s="3225"/>
      <c r="C30" s="1171" t="s">
        <v>842</v>
      </c>
    </row>
    <row r="31" spans="1:3" ht="14.25">
      <c r="A31" s="3221"/>
      <c r="B31" s="3225"/>
      <c r="C31" s="1171" t="s">
        <v>843</v>
      </c>
    </row>
    <row r="32" spans="1:3" ht="14.25">
      <c r="A32" s="3221"/>
      <c r="B32" s="3225"/>
      <c r="C32" s="1171" t="s">
        <v>1645</v>
      </c>
    </row>
    <row r="33" spans="1:3" ht="14.25">
      <c r="A33" s="3221"/>
      <c r="B33" s="3215" t="s">
        <v>1651</v>
      </c>
      <c r="C33" s="1171" t="s">
        <v>1646</v>
      </c>
    </row>
    <row r="34" spans="1:3" ht="14.25">
      <c r="A34" s="3221"/>
      <c r="B34" s="3216"/>
      <c r="C34" s="1176" t="s">
        <v>1647</v>
      </c>
    </row>
    <row r="35" spans="1:3" ht="14.25">
      <c r="A35" s="3221"/>
      <c r="B35" s="3216"/>
      <c r="C35" s="1177" t="s">
        <v>1648</v>
      </c>
    </row>
    <row r="36" spans="1:3" ht="14.25">
      <c r="A36" s="3221"/>
      <c r="B36" s="3216"/>
      <c r="C36" s="1177" t="s">
        <v>1649</v>
      </c>
    </row>
    <row r="37" spans="1:3" ht="14.25">
      <c r="A37" s="3221"/>
      <c r="B37" s="3217"/>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43756</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2981</v>
      </c>
      <c r="B14" s="3131">
        <f ca="1">IF(C14&lt;B2,"已过期",1120040230)</f>
        <v>1120040230</v>
      </c>
      <c r="C14" s="3135">
        <v>43835</v>
      </c>
      <c r="D14" s="3136" t="s">
        <v>2982</v>
      </c>
      <c r="E14" s="3131">
        <f ca="1">IF(F14&lt;B2,"已过期",98030020)</f>
        <v>98030020</v>
      </c>
      <c r="F14" s="3134">
        <v>47118</v>
      </c>
    </row>
    <row r="15" spans="1:6" ht="20.25" customHeight="1">
      <c r="A15" s="3131" t="s">
        <v>2573</v>
      </c>
      <c r="B15" s="3131">
        <f ca="1">IF(C15&lt;B2,"已过期",1120070085)</f>
        <v>1120070085</v>
      </c>
      <c r="C15" s="3135">
        <v>43814</v>
      </c>
      <c r="D15" s="3131" t="s">
        <v>2983</v>
      </c>
      <c r="E15" s="3131">
        <f ca="1">IF(F15&lt;B2,"已过期",2004110128)</f>
        <v>2004110128</v>
      </c>
      <c r="F15" s="3137">
        <v>47118</v>
      </c>
    </row>
    <row r="16" spans="1:6" ht="20.25" customHeight="1">
      <c r="A16" s="3131" t="s">
        <v>1922</v>
      </c>
      <c r="B16" s="3131">
        <f ca="1">IF(C16&lt;B2,"已过期",1120140022)</f>
        <v>1120140022</v>
      </c>
      <c r="C16" s="3133">
        <v>44029</v>
      </c>
      <c r="D16" s="3131" t="s">
        <v>2984</v>
      </c>
      <c r="E16" s="3131">
        <f ca="1">IF(F16&lt;B2,"已过期",2008110059)</f>
        <v>2008110059</v>
      </c>
      <c r="F16" s="3134">
        <v>47177</v>
      </c>
    </row>
    <row r="17" spans="1:7" ht="20.25" customHeight="1">
      <c r="A17" s="3131"/>
      <c r="B17" s="3131"/>
      <c r="C17" s="3133"/>
      <c r="D17" s="3136" t="s">
        <v>2985</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26" t="s">
        <v>1925</v>
      </c>
      <c r="B25" s="3226"/>
      <c r="C25" s="3226"/>
      <c r="D25" s="3226"/>
      <c r="E25" s="3226"/>
      <c r="F25" s="3226"/>
      <c r="G25" s="3226"/>
    </row>
    <row r="26" spans="1:7" ht="20.25" customHeight="1">
      <c r="A26" s="3227" t="s">
        <v>1926</v>
      </c>
      <c r="B26" s="3227"/>
      <c r="C26" s="3227"/>
      <c r="D26" s="3227" t="s">
        <v>1927</v>
      </c>
      <c r="E26" s="3227"/>
      <c r="F26" s="3227"/>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2993</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4" t="s">
        <v>2955</v>
      </c>
      <c r="C18" s="1540"/>
    </row>
    <row r="19" spans="1:3">
      <c r="A19" s="8" t="s">
        <v>120</v>
      </c>
      <c r="B19" s="3064" t="s">
        <v>2963</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28"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26日，在规划利用条件下、设定土地开发程度为红线外“七通”、宗地内场地，设定用途为，剩余土地使用年限为的出让国有建设用地使用权价格。</v>
      </c>
      <c r="D53" s="1752"/>
      <c r="E53" s="1752"/>
    </row>
    <row r="54" spans="1:5">
      <c r="A54" s="3228"/>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8"/>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8"/>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8"/>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2019-10-18T09:21:59Z</dcterms:modified>
</cp:coreProperties>
</file>