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售价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2" r:id="rId34"/>
    <sheet name="收益法倒推-办公" sheetId="81"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0" r:id="rId48"/>
    <sheet name="租金" sheetId="83" r:id="rId49"/>
    <sheet name="Sheet1" sheetId="84" r:id="rId50"/>
  </sheets>
  <externalReferences>
    <externalReference r:id="rId51"/>
    <externalReference r:id="rId52"/>
    <externalReference r:id="rId53"/>
    <externalReference r:id="rId54"/>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'比较法-售价办公'!$A$1:$L$50</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'比较法-售价办公'!$A$1:$K$55,'比较法-售价办公'!$A$58:$M$132</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'收益法倒推-办公'!$A$1:$I$42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3">'比较法-租金'!$B$119:$M$119</definedName>
    <definedName name="办公层高" localSheetId="34">'[1]比较法-办公'!$B$119:$M$119</definedName>
    <definedName name="办公层高">'比较法-售价办公'!$B$119:$M$119</definedName>
    <definedName name="办公朝向" localSheetId="33">'比较法-租金'!$B$91:$M$91</definedName>
    <definedName name="办公朝向" localSheetId="34">'[1]比较法-办公'!$B$91:$M$91</definedName>
    <definedName name="办公朝向">'比较法-售价办公'!$B$91:$M$91</definedName>
    <definedName name="办公道路级别" localSheetId="33">'比较法-租金'!$B$87:$M$87</definedName>
    <definedName name="办公道路级别" localSheetId="34">'[1]比较法-办公'!$B$87:$M$87</definedName>
    <definedName name="办公道路级别">'比较法-售价办公'!$B$87:$M$87</definedName>
    <definedName name="办公公共部分装修" localSheetId="33">'比较法-租金'!$B$108:$M$108</definedName>
    <definedName name="办公公共部分装修" localSheetId="34">'[1]比较法-办公'!$B$108:$M$108</definedName>
    <definedName name="办公公共部分装修">'比较法-售价办公'!$B$108:$M$108</definedName>
    <definedName name="办公基础设施水平" localSheetId="33">'比较法-租金'!$B$117:$M$117</definedName>
    <definedName name="办公基础设施水平" localSheetId="34">'[1]比较法-办公'!$B$117:$M$117</definedName>
    <definedName name="办公基础设施水平">'比较法-售价办公'!$B$117:$M$117</definedName>
    <definedName name="办公集聚程度" localSheetId="34">[1]定义!$M$1:$M$6</definedName>
    <definedName name="办公集聚程度">定义!$M$1:$M$6</definedName>
    <definedName name="办公建筑结构" localSheetId="33">'比较法-租金'!$B$106:$M$106</definedName>
    <definedName name="办公建筑结构" localSheetId="34">'[1]比较法-办公'!$B$106:$M$106</definedName>
    <definedName name="办公建筑结构">'比较法-售价办公'!$B$106:$M$106</definedName>
    <definedName name="办公建筑类型" localSheetId="33">'比较法-租金'!$B$101:$M$101</definedName>
    <definedName name="办公建筑类型" localSheetId="34">'[1]比较法-办公'!$B$101:$M$101</definedName>
    <definedName name="办公建筑类型">'比较法-售价办公'!$B$101:$M$101</definedName>
    <definedName name="办公交易情况" localSheetId="33">'比较法-租金'!$A$62:$M$62</definedName>
    <definedName name="办公交易情况" localSheetId="34">'[1]比较法-办公'!$A$62:$M$62</definedName>
    <definedName name="办公交易情况">'比较法-售价办公'!$A$62:$M$62</definedName>
    <definedName name="办公楼层" localSheetId="33">'比较法-租金'!$B$89:$M$89</definedName>
    <definedName name="办公楼层" localSheetId="34">'[1]比较法-办公'!$B$89:$M$89</definedName>
    <definedName name="办公楼层">'比较法-售价办公'!$B$89:$M$89</definedName>
    <definedName name="办公内部装修" localSheetId="33">'比较法-租金'!$B$123:$M$123</definedName>
    <definedName name="办公内部装修" localSheetId="34">'[1]比较法-办公'!$B$123:$M$123</definedName>
    <definedName name="办公内部装修">'比较法-售价办公'!$B$123:$M$123</definedName>
    <definedName name="办公物业管理" localSheetId="33">'比较法-租金'!$B$115:$M$115</definedName>
    <definedName name="办公物业管理" localSheetId="34">'[1]比较法-办公'!$B$115:$M$115</definedName>
    <definedName name="办公物业管理">'比较法-售价办公'!$B$115:$M$115</definedName>
    <definedName name="办公用途" localSheetId="33">'比较法-租金'!$B$64:$M$64</definedName>
    <definedName name="办公用途" localSheetId="34">'[1]比较法-办公'!$B$64:$M$64</definedName>
    <definedName name="办公用途">'比较法-售价办公'!$B$64:$M$64</definedName>
    <definedName name="仓储公共部分装修" localSheetId="34">'[1]比较法-仓储'!$B$77:$M$77</definedName>
    <definedName name="仓储公共部分装修">'比较法-仓储'!$B$77:$M$77</definedName>
    <definedName name="仓储交易情况" localSheetId="34">'[1]比较法-仓储'!$A$49:$M$49</definedName>
    <definedName name="仓储交易情况">'比较法-仓储'!$A$49:$M$49</definedName>
    <definedName name="仓储楼层" localSheetId="34">'[1]比较法-仓储'!$B$69:$M$69</definedName>
    <definedName name="仓储楼层">'比较法-仓储'!$B$69:$M$69</definedName>
    <definedName name="仓储物业等级" localSheetId="34">'[1]比较法-仓储'!$B$82:$M$82</definedName>
    <definedName name="仓储物业等级">'比较法-仓储'!$B$82:$M$82</definedName>
    <definedName name="仓储用途" localSheetId="34">'[1]比较法-仓储'!$B$51:$M$51</definedName>
    <definedName name="仓储用途">'比较法-仓储'!$B$51:$M$51</definedName>
    <definedName name="产业集聚程度" localSheetId="34">[1]定义!$N$1:$N$6</definedName>
    <definedName name="产业集聚程度">定义!$N$1:$N$6</definedName>
    <definedName name="车位公共部分装修" localSheetId="34">'[1]比较法-车位'!$B$83:$M$83</definedName>
    <definedName name="车位公共部分装修">'比较法-车位'!$B$83:$M$83</definedName>
    <definedName name="车位交易情况" localSheetId="34">'[1]比较法-车位'!$A$51:$M$51</definedName>
    <definedName name="车位交易情况">'比较法-车位'!$A$51:$M$51</definedName>
    <definedName name="车位类型" localSheetId="34">'[1]比较法-车位'!$B$93:$M$93</definedName>
    <definedName name="车位类型">'比较法-车位'!$B$93:$M$93</definedName>
    <definedName name="车位楼层" localSheetId="34">'[1]比较法-车位'!$B$71:$M$71</definedName>
    <definedName name="车位楼层">'比较法-车位'!$B$71:$M$71</definedName>
    <definedName name="车位配套类型" localSheetId="34">'[1]比较法-车位'!$B$79:$M$79</definedName>
    <definedName name="车位配套类型">'比较法-车位'!$B$79:$M$79</definedName>
    <definedName name="车位物业等级" localSheetId="34">'[1]比较法-车位'!$B$88:$M$88</definedName>
    <definedName name="车位物业等级">'比较法-车位'!$B$88:$M$88</definedName>
    <definedName name="车位用途" localSheetId="34">'[1]比较法-车位'!$B$53:$M$53</definedName>
    <definedName name="车位用途">'比较法-车位'!$B$53:$M$53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区片价!$J$1:$J$21</definedName>
    <definedName name="二级分类" localSheetId="34">[1]修正!$C$17:$C$39</definedName>
    <definedName name="二级分类">修正!$C$19:$C$53</definedName>
    <definedName name="法定最高年限" localSheetId="34">[1]定义!$G$1:$G$4</definedName>
    <definedName name="法定最高年限">定义!$G$1:$G$6</definedName>
    <definedName name="工业">定义!$AB$2:$AB$12</definedName>
    <definedName name="工业公共部分装修" localSheetId="34">'[1]比较法-工业'!$B$95:$M$95</definedName>
    <definedName name="工业公共部分装修">'比较法-工业'!$B$95:$M$95</definedName>
    <definedName name="工业基础设施水平" localSheetId="34">'[1]比较法-工业'!$B$102:$M$102</definedName>
    <definedName name="工业基础设施水平">'比较法-工业'!$B$102:$M$102</definedName>
    <definedName name="工业建筑结构" localSheetId="34">'[1]比较法-工业'!$B$93:$M$93</definedName>
    <definedName name="工业建筑结构">'比较法-工业'!$B$93:$M$93</definedName>
    <definedName name="工业建筑类型" localSheetId="34">'[1]比较法-工业'!$B$88:$M$88</definedName>
    <definedName name="工业建筑类型">'比较法-工业'!$B$88:$M$88</definedName>
    <definedName name="工业交易情况" localSheetId="34">'[1]比较法-工业'!$A$55:$M$55</definedName>
    <definedName name="工业交易情况">'比较法-工业'!$A$55:$M$55</definedName>
    <definedName name="工业内部装修" localSheetId="34">'[1]比较法-工业'!$B$104:$M$104</definedName>
    <definedName name="工业内部装修">'比较法-工业'!$B$104:$M$104</definedName>
    <definedName name="工业物业管理" localSheetId="34">'[1]比较法-工业'!$B$100:$M$100</definedName>
    <definedName name="工业物业管理">'比较法-工业'!$B$100:$M$100</definedName>
    <definedName name="工业用途" localSheetId="34">'[1]比较法-工业'!$B$57:$M$57</definedName>
    <definedName name="工业用途">'比较法-工业'!$B$57:$M$57</definedName>
    <definedName name="公共服务">定义!$Z$2:$Z$14</definedName>
    <definedName name="公共配套设施" localSheetId="34">[1]定义!$Q$1:$Q$6</definedName>
    <definedName name="公共配套设施">定义!$Q$1:$Q$6</definedName>
    <definedName name="估价范围判定" localSheetId="34">[2]定义!$D$1:$D$4</definedName>
    <definedName name="估价范围判定">定义!$D$1:$D$4</definedName>
    <definedName name="估价方法" localSheetId="34">[1]定义!$B$1:$B$50</definedName>
    <definedName name="估价方法">定义!$B$1:$B$50</definedName>
    <definedName name="核算项目余额表" localSheetId="33">#REF!</definedName>
    <definedName name="核算项目余额表">#REF!</definedName>
    <definedName name="环境" localSheetId="34">[1]定义!$S$1:$S$6</definedName>
    <definedName name="环境">定义!$S$1:$S$6</definedName>
    <definedName name="基础设施水平" localSheetId="34">[1]定义!$R$1:$R$6</definedName>
    <definedName name="基础设施水平">定义!$R$1:$R$6</definedName>
    <definedName name="季度">基准地价修正!$Q$19:$AD$19</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区片价!$Q$1:$Q$51</definedName>
    <definedName name="居住社区成熟度" localSheetId="34">[1]定义!$K$1:$K$6</definedName>
    <definedName name="居住社区成熟度">定义!$K$1:$K$6</definedName>
    <definedName name="科目余额表" localSheetId="33">#REF!</definedName>
    <definedName name="科目余额表">#REF!</definedName>
    <definedName name="类别" localSheetId="34">[1]定义!$J$1:$J$3</definedName>
    <definedName name="类别">定义!$J$1:$J$3</definedName>
    <definedName name="临街状况" localSheetId="34">[1]定义!$T$1:$T$5</definedName>
    <definedName name="临街状况">定义!$T$1:$T$5</definedName>
    <definedName name="六级">区片价!$N$1:$N$64</definedName>
    <definedName name="内部装修维护情况" localSheetId="34">[1]定义!$U$1:$U$6</definedName>
    <definedName name="内部装修维护情况">定义!$U$1:$U$6</definedName>
    <definedName name="判定" localSheetId="34">[1]定义!$D$1:$D$4</definedName>
    <definedName name="评估方法">[3]定义!$B$1:$B$50</definedName>
    <definedName name="七级">区片价!$O$1:$O$45</definedName>
    <definedName name="七通一平" localSheetId="34">[1]修正!$A$6:$A$14</definedName>
    <definedName name="七通一平">修正!$A$8:$A$16</definedName>
    <definedName name="区域土地利用方向" localSheetId="34">[1]定义!$P$1:$P$6</definedName>
    <definedName name="区域土地利用方向">定义!$P$1:$P$6</definedName>
    <definedName name="三级">区片价!$K$1:$K$26</definedName>
    <definedName name="商业">定义!$X$2:$X$9</definedName>
    <definedName name="商业层高" localSheetId="34">'[1]比较法-商业'!$B$116:$M$116</definedName>
    <definedName name="商业层高">'比较法-商业'!$B$116:$M$116</definedName>
    <definedName name="商业成新度">'比较法-商业'!$B$109:$M$109</definedName>
    <definedName name="商业繁华度" localSheetId="34">[1]定义!$L$1:$L$6</definedName>
    <definedName name="商业繁华度">定义!$L$1:$L$6</definedName>
    <definedName name="商业公共部分装修" localSheetId="34">'[1]比较法-商业'!$B$107:$M$107</definedName>
    <definedName name="商业公共部分装修">'比较法-商业'!$B$107:$M$107</definedName>
    <definedName name="商业基础设施水平" localSheetId="34">'[1]比较法-商业'!$B$112:$M$112</definedName>
    <definedName name="商业基础设施水平">'比较法-商业'!$B$112:$M$112</definedName>
    <definedName name="商业建筑结构" localSheetId="34">'[1]比较法-商业'!$B$105:$M$105</definedName>
    <definedName name="商业建筑结构">'比较法-商业'!$B$105:$M$105</definedName>
    <definedName name="商业交易情况" localSheetId="34">'[1]比较法-商业'!$A$61:$M$61</definedName>
    <definedName name="商业交易情况">'比较法-商业'!$A$61:$M$61</definedName>
    <definedName name="商业街名称" localSheetId="34">[1]修正!$C$59:$C$119</definedName>
    <definedName name="商业街名称">修正!$C$73:$C$140</definedName>
    <definedName name="商业进深比" localSheetId="34">'[1]比较法-商业'!$B$120:$M$120</definedName>
    <definedName name="商业进深比">'比较法-商业'!$B$120:$M$120</definedName>
    <definedName name="商业类型" localSheetId="34">'[1]比较法-商业'!$B$100:$M$100</definedName>
    <definedName name="商业类型">'比较法-商业'!$B$100:$M$100</definedName>
    <definedName name="商业临街状况" localSheetId="34">'[1]比较法-商业'!$B$86:$M$86</definedName>
    <definedName name="商业临街状况">'比较法-商业'!$B$86:$M$86</definedName>
    <definedName name="商业楼层" localSheetId="34">'[1]比较法-商业'!$B$92:$M$92</definedName>
    <definedName name="商业楼层">'比较法-商业'!$B$92:$M$92</definedName>
    <definedName name="商业内部装修" localSheetId="34">'[1]比较法-商业'!$B$122:$M$122</definedName>
    <definedName name="商业内部装修">'比较法-商业'!$B$122:$M$122</definedName>
    <definedName name="商业人流量" localSheetId="34">'[1]比较法-商业'!$B$90:$M$90</definedName>
    <definedName name="商业人流量">'比较法-商业'!$B$90:$M$90</definedName>
    <definedName name="商业业态" localSheetId="34">'[1]比较法-商业'!$B$114:$M$114</definedName>
    <definedName name="商业业态">'比较法-商业'!$B$114:$M$114</definedName>
    <definedName name="商业用途" localSheetId="3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4">'[1]比较法-仓储'!$B$89:$M$89</definedName>
    <definedName name="是否封闭">'比较法-仓储'!$B$89:$M$89</definedName>
    <definedName name="是否直接入户" localSheetId="34">'[1]比较法-车位'!$B$95:$M$95</definedName>
    <definedName name="是否直接入户">'比较法-车位'!$B$95:$M$95</definedName>
    <definedName name="四级">区片价!$L$1:$L$33</definedName>
    <definedName name="套工道路等级" localSheetId="34">'[1]土地比较法-工业'!$B$97:$M$97</definedName>
    <definedName name="套工道路等级">'土地比较法-工业'!$B$97:$M$97</definedName>
    <definedName name="套工地质条件" localSheetId="34">'[1]土地比较法-工业'!$B$114:$M$114</definedName>
    <definedName name="套工地质条件">'土地比较法-工业'!$B$114:$M$114</definedName>
    <definedName name="套工交易情况" localSheetId="34">'[1]土地比较法-住宅、综合'!$A$73:$M$73</definedName>
    <definedName name="套工交易情况">'土地比较法-住宅、综合'!$A$72:$M$72</definedName>
    <definedName name="套工土地级别" localSheetId="34">'[1]土地比较法-工业'!$B$99:$M$99</definedName>
    <definedName name="套工土地级别">'土地比较法-工业'!$B$99:$M$99</definedName>
    <definedName name="套工用途" localSheetId="34">'[1]土地比较法-工业'!$B$70:$M$70</definedName>
    <definedName name="套工用途">'土地比较法-工业'!$B$70:$M$70</definedName>
    <definedName name="套工宗地开发程度" localSheetId="34">'[1]土地比较法-工业'!$B$112:$M$112</definedName>
    <definedName name="套工宗地开发程度">'土地比较法-工业'!$B$112:$M$112</definedName>
    <definedName name="套工宗地形状" localSheetId="34">'[1]土地比较法-工业'!$B$110:$M$110</definedName>
    <definedName name="套工宗地形状">'土地比较法-工业'!$B$110:$M$110</definedName>
    <definedName name="套综道路等级" localSheetId="34">'[1]土地比较法-住宅、综合'!$B$106:$M$106</definedName>
    <definedName name="套综道路等级">'土地比较法-住宅、综合'!$B$105:$M$105</definedName>
    <definedName name="套综工程地质条件" localSheetId="34">'[1]土地比较法-住宅、综合'!$B$125:$M$125</definedName>
    <definedName name="套综工程地质条件">'土地比较法-住宅、综合'!$B$124:$M$124</definedName>
    <definedName name="套综交易情况" localSheetId="34">'[1]土地比较法-住宅、综合'!$A$73:$M$73</definedName>
    <definedName name="套综交易情况">'土地比较法-住宅、综合'!$A$72:$M$72</definedName>
    <definedName name="套综临街宽度及深度" localSheetId="34">'[1]土地比较法-住宅、综合'!$B$121:$M$121</definedName>
    <definedName name="套综临街宽度及深度">'土地比较法-住宅、综合'!$B$120:$M$120</definedName>
    <definedName name="套综土地级别" localSheetId="34">'[1]土地比较法-住宅、综合'!$B$108:$M$108</definedName>
    <definedName name="套综土地级别">'土地比较法-住宅、综合'!$B$107:$M$107</definedName>
    <definedName name="套综用途" localSheetId="34">'[1]土地比较法-住宅、综合'!$B$75:$M$75</definedName>
    <definedName name="套综用途">'土地比较法-住宅、综合'!$B$74:$M$74</definedName>
    <definedName name="套综宗地内开发程度" localSheetId="34">'[1]土地比较法-住宅、综合'!$B$123:$M$123</definedName>
    <definedName name="套综宗地内开发程度">'土地比较法-住宅、综合'!$B$122:$M$122</definedName>
    <definedName name="套综宗地形状" localSheetId="34">'[1]土地比较法-住宅、综合'!$B$119:$M$119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定义!$I$1:$I$16</definedName>
    <definedName name="位置" localSheetId="34">[1]定义!$E$2:$E$4</definedName>
    <definedName name="位置">定义!$E$2:$E$4</definedName>
    <definedName name="五等判定" localSheetId="34">[1]定义!$W$1:$W$6</definedName>
    <definedName name="五等判定">定义!$W$1:$W$6</definedName>
    <definedName name="五级">区片价!$M$1:$M$41</definedName>
    <definedName name="项目类型" localSheetId="34">'[1]数据-汇总表'!$C$17:$C$26</definedName>
    <definedName name="项目类型" localSheetId="23">'[4]数据-汇总表'!$C$17:$C$26</definedName>
    <definedName name="项目类型">'数据-汇总表'!$C$17:$C$26</definedName>
    <definedName name="写字楼等级" localSheetId="33">'比较法-租金'!$B$113:$M$113</definedName>
    <definedName name="写字楼等级" localSheetId="34">'[1]比较法-办公'!$B$113:$M$113</definedName>
    <definedName name="写字楼等级">'比较法-售价办公'!$B$113:$M$113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明细" localSheetId="34">[1]定义!$A$1:$A$50</definedName>
    <definedName name="用途明细">定义!$A$1:$A$50</definedName>
    <definedName name="有无电梯" localSheetId="34">'[1]比较法-仓储'!$B$84:$M$84</definedName>
    <definedName name="有无电梯">'比较法-仓储'!$B$84:$M$84</definedName>
    <definedName name="月份" localSheetId="33">#REF!</definedName>
    <definedName name="月份">#REF!</definedName>
    <definedName name="主用途" localSheetId="34">[1]定义!$F$1:$F$10</definedName>
    <definedName name="主用途">定义!$F$1:$F$12</definedName>
    <definedName name="住宅">定义!$AA$2</definedName>
    <definedName name="住宅朝向" localSheetId="34">'[1]比较法-住宅'!$B$88:$M$88</definedName>
    <definedName name="住宅朝向">'比较法-住宅'!$B$88:$M$88</definedName>
    <definedName name="住宅房型" localSheetId="34">'[1]比较法-住宅'!$B$118:$M$118</definedName>
    <definedName name="住宅房型">'比较法-住宅'!$B$118:$M$118</definedName>
    <definedName name="住宅公共部分装修" localSheetId="34">'[1]比较法-住宅'!$B$109:$M$109</definedName>
    <definedName name="住宅公共部分装修">'比较法-住宅'!$B$109:$M$109</definedName>
    <definedName name="住宅基础设施水平" localSheetId="34">'[1]比较法-住宅'!$B$116:$M$116</definedName>
    <definedName name="住宅基础设施水平">'比较法-住宅'!$B$116:$M$116</definedName>
    <definedName name="住宅建筑结构" localSheetId="34">'[1]比较法-住宅'!$B$105:$M$105</definedName>
    <definedName name="住宅建筑结构">'比较法-住宅'!$B$105:$M$105</definedName>
    <definedName name="住宅建筑类型" localSheetId="34">'[1]比较法-住宅'!$B$100:$M$100</definedName>
    <definedName name="住宅建筑类型">'比较法-住宅'!$B$100:$M$100</definedName>
    <definedName name="住宅建筑品质" localSheetId="34">'[1]比较法-住宅'!$B$107:$M$107</definedName>
    <definedName name="住宅建筑品质">'比较法-住宅'!$B$107:$M$107</definedName>
    <definedName name="住宅交易情况" localSheetId="34">'[1]比较法-住宅'!$A$61:$M$61</definedName>
    <definedName name="住宅交易情况">'比较法-住宅'!$A$61:$M$61</definedName>
    <definedName name="住宅楼层" localSheetId="34">'[1]比较法-住宅'!$B$86:$M$86</definedName>
    <definedName name="住宅楼层">'比较法-住宅'!$B$86:$M$86</definedName>
    <definedName name="住宅内部装修" localSheetId="34">'[1]比较法-住宅'!$B$122:$M$122</definedName>
    <definedName name="住宅内部装修">'比较法-住宅'!$B$122:$M$122</definedName>
    <definedName name="住宅物业管理" localSheetId="34">'[1]比较法-住宅'!$B$114:$M$114</definedName>
    <definedName name="住宅物业管理">'比较法-住宅'!$B$114:$M$114</definedName>
    <definedName name="住宅用途" localSheetId="34">'[1]比较法-住宅'!$B$63:$M$63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O129" i="83" l="1"/>
  <c r="P127" i="83"/>
  <c r="C44" i="84"/>
  <c r="C43" i="84"/>
  <c r="C42" i="84"/>
  <c r="C41" i="84"/>
  <c r="C40" i="84"/>
  <c r="C39" i="84"/>
  <c r="C38" i="84"/>
  <c r="C37" i="84"/>
  <c r="B14" i="74" l="1"/>
  <c r="N55" i="83"/>
  <c r="O54" i="83"/>
  <c r="N10" i="83"/>
  <c r="O9" i="83"/>
  <c r="N33" i="83"/>
  <c r="O32" i="83"/>
  <c r="N76" i="83"/>
  <c r="O74" i="83"/>
  <c r="D18" i="31" l="1"/>
  <c r="E18" i="31"/>
  <c r="C18" i="31"/>
  <c r="D4" i="31"/>
  <c r="E4" i="31"/>
  <c r="F4" i="31"/>
  <c r="G4" i="31"/>
  <c r="H4" i="31"/>
  <c r="C4" i="31"/>
  <c r="D3" i="31"/>
  <c r="E3" i="31"/>
  <c r="F3" i="31"/>
  <c r="G3" i="31"/>
  <c r="H3" i="31"/>
  <c r="C3" i="31"/>
  <c r="D17" i="31"/>
  <c r="E17" i="31"/>
  <c r="C17" i="31"/>
  <c r="B25" i="31"/>
  <c r="B26" i="31"/>
  <c r="B24" i="31"/>
  <c r="B131" i="82"/>
  <c r="B129" i="82"/>
  <c r="B127" i="82"/>
  <c r="E126" i="82"/>
  <c r="F126" i="82" s="1"/>
  <c r="G126" i="82" s="1"/>
  <c r="D126" i="82"/>
  <c r="D124" i="82"/>
  <c r="E124" i="82" s="1"/>
  <c r="F124" i="82" s="1"/>
  <c r="G124" i="82" s="1"/>
  <c r="H124" i="82" s="1"/>
  <c r="I124" i="82" s="1"/>
  <c r="J124" i="82" s="1"/>
  <c r="K124" i="82" s="1"/>
  <c r="L124" i="82" s="1"/>
  <c r="M124" i="82" s="1"/>
  <c r="E120" i="82"/>
  <c r="F120" i="82" s="1"/>
  <c r="G120" i="82" s="1"/>
  <c r="H120" i="82" s="1"/>
  <c r="I120" i="82" s="1"/>
  <c r="J120" i="82" s="1"/>
  <c r="K120" i="82" s="1"/>
  <c r="L120" i="82" s="1"/>
  <c r="M120" i="82" s="1"/>
  <c r="D120" i="82"/>
  <c r="E118" i="82"/>
  <c r="F118" i="82" s="1"/>
  <c r="G118" i="82" s="1"/>
  <c r="D118" i="82"/>
  <c r="D116" i="82"/>
  <c r="E116" i="82" s="1"/>
  <c r="F116" i="82" s="1"/>
  <c r="G116" i="82" s="1"/>
  <c r="H116" i="82" s="1"/>
  <c r="I116" i="82" s="1"/>
  <c r="J116" i="82" s="1"/>
  <c r="K116" i="82" s="1"/>
  <c r="L116" i="82" s="1"/>
  <c r="M116" i="82" s="1"/>
  <c r="E114" i="82"/>
  <c r="F114" i="82" s="1"/>
  <c r="G114" i="82" s="1"/>
  <c r="H114" i="82" s="1"/>
  <c r="I114" i="82" s="1"/>
  <c r="J114" i="82" s="1"/>
  <c r="K114" i="82" s="1"/>
  <c r="L114" i="82" s="1"/>
  <c r="M114" i="82" s="1"/>
  <c r="D114" i="82"/>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F70" i="82"/>
  <c r="G70" i="82" s="1"/>
  <c r="H70" i="82" s="1"/>
  <c r="I70" i="82" s="1"/>
  <c r="J70" i="82" s="1"/>
  <c r="K70" i="82" s="1"/>
  <c r="L70" i="82" s="1"/>
  <c r="M70" i="82" s="1"/>
  <c r="E70" i="82"/>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H34" i="82"/>
  <c r="U34" i="82" s="1"/>
  <c r="C34" i="82"/>
  <c r="Z33" i="82"/>
  <c r="Q33" i="82"/>
  <c r="J33" i="82"/>
  <c r="AC33" i="82" s="1"/>
  <c r="H33" i="82"/>
  <c r="AB33" i="82" s="1"/>
  <c r="F33" i="82"/>
  <c r="AA33" i="82" s="1"/>
  <c r="AA32" i="82"/>
  <c r="Z32" i="82"/>
  <c r="Q32" i="82"/>
  <c r="J32" i="82"/>
  <c r="W32" i="82" s="1"/>
  <c r="H32" i="82"/>
  <c r="AB32" i="82" s="1"/>
  <c r="F32" i="82"/>
  <c r="S32" i="82" s="1"/>
  <c r="AB31" i="82"/>
  <c r="U31" i="82"/>
  <c r="Q31" i="82"/>
  <c r="Z31" i="82" s="1"/>
  <c r="J31" i="82"/>
  <c r="AC31" i="82" s="1"/>
  <c r="H31" i="82"/>
  <c r="F31" i="82"/>
  <c r="AA31" i="82" s="1"/>
  <c r="AC30" i="82"/>
  <c r="Q30" i="82"/>
  <c r="Z30" i="82" s="1"/>
  <c r="J30" i="82"/>
  <c r="W30" i="82" s="1"/>
  <c r="H30" i="82"/>
  <c r="U30" i="82" s="1"/>
  <c r="F30" i="82"/>
  <c r="S30" i="82" s="1"/>
  <c r="AA29" i="82"/>
  <c r="Z29" i="82"/>
  <c r="Q29" i="82"/>
  <c r="J29" i="82"/>
  <c r="AC29" i="82" s="1"/>
  <c r="H29" i="82"/>
  <c r="U29" i="82" s="1"/>
  <c r="F29" i="82"/>
  <c r="S29" i="82" s="1"/>
  <c r="AA28" i="82"/>
  <c r="Q28" i="82"/>
  <c r="Z28" i="82" s="1"/>
  <c r="J28" i="82"/>
  <c r="AC28" i="82" s="1"/>
  <c r="H28" i="82"/>
  <c r="AB28" i="82" s="1"/>
  <c r="F28" i="82"/>
  <c r="S28" i="82" s="1"/>
  <c r="Q27" i="82"/>
  <c r="Z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U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D3" i="82"/>
  <c r="D2" i="82"/>
  <c r="W8" i="82" l="1"/>
  <c r="F27" i="82"/>
  <c r="AA27" i="82" s="1"/>
  <c r="J27" i="82"/>
  <c r="F90" i="82"/>
  <c r="G90" i="82" s="1"/>
  <c r="H90" i="82" s="1"/>
  <c r="I90" i="82" s="1"/>
  <c r="J90" i="82" s="1"/>
  <c r="K90" i="82" s="1"/>
  <c r="L90" i="82" s="1"/>
  <c r="M90" i="82" s="1"/>
  <c r="H27" i="82"/>
  <c r="AA8" i="82"/>
  <c r="U10" i="82"/>
  <c r="W11" i="82"/>
  <c r="AB14" i="82"/>
  <c r="U8" i="82"/>
  <c r="S10" i="82"/>
  <c r="U11" i="82"/>
  <c r="W12" i="82"/>
  <c r="S14" i="82"/>
  <c r="S15" i="82"/>
  <c r="S17" i="82"/>
  <c r="S19" i="82"/>
  <c r="S21" i="82"/>
  <c r="S23" i="82"/>
  <c r="U25" i="82"/>
  <c r="W28" i="82"/>
  <c r="AB29" i="82"/>
  <c r="AA30" i="82"/>
  <c r="W31" i="82"/>
  <c r="AC32" i="82"/>
  <c r="F34" i="82"/>
  <c r="J34" i="82"/>
  <c r="U15" i="82"/>
  <c r="U17" i="82"/>
  <c r="U19" i="82"/>
  <c r="U21" i="82"/>
  <c r="U23" i="82"/>
  <c r="W25" i="82"/>
  <c r="AB30" i="82"/>
  <c r="U33" i="82"/>
  <c r="AB34" i="82"/>
  <c r="S9" i="82"/>
  <c r="S13" i="82"/>
  <c r="W10" i="82"/>
  <c r="S12" i="82"/>
  <c r="U13" i="82"/>
  <c r="W14" i="82"/>
  <c r="W17" i="82"/>
  <c r="W21" i="82"/>
  <c r="W23" i="82"/>
  <c r="U9" i="82"/>
  <c r="W15" i="82"/>
  <c r="W19" i="82"/>
  <c r="W9" i="82"/>
  <c r="S11" i="82"/>
  <c r="U12" i="82"/>
  <c r="W13" i="82"/>
  <c r="S25" i="82"/>
  <c r="U28" i="82"/>
  <c r="W29" i="82"/>
  <c r="S31" i="82"/>
  <c r="U32" i="82"/>
  <c r="W33" i="82"/>
  <c r="S36" i="82"/>
  <c r="U38" i="82"/>
  <c r="W39" i="82"/>
  <c r="S41" i="82"/>
  <c r="U42" i="82"/>
  <c r="W43" i="82"/>
  <c r="S45" i="82"/>
  <c r="U46" i="82"/>
  <c r="W47" i="82"/>
  <c r="S35" i="82"/>
  <c r="U36" i="82"/>
  <c r="W38" i="82"/>
  <c r="S40" i="82"/>
  <c r="U41" i="82"/>
  <c r="W42" i="82"/>
  <c r="S44" i="82"/>
  <c r="U45" i="82"/>
  <c r="W46" i="82"/>
  <c r="S33" i="82"/>
  <c r="U35" i="82"/>
  <c r="W36" i="82"/>
  <c r="S39" i="82"/>
  <c r="U40" i="82"/>
  <c r="W41" i="82"/>
  <c r="S43" i="82"/>
  <c r="U44" i="82"/>
  <c r="W45" i="82"/>
  <c r="S47" i="82"/>
  <c r="W35" i="82"/>
  <c r="S38" i="82"/>
  <c r="U39" i="82"/>
  <c r="W40" i="82"/>
  <c r="S42" i="82"/>
  <c r="U43" i="82"/>
  <c r="W44" i="82"/>
  <c r="S46" i="82"/>
  <c r="U47" i="82"/>
  <c r="I3" i="81"/>
  <c r="C34" i="34"/>
  <c r="N6" i="1"/>
  <c r="F19" i="6"/>
  <c r="I7" i="81" l="1"/>
  <c r="C37" i="82"/>
  <c r="S27" i="82"/>
  <c r="U27" i="82"/>
  <c r="AB27" i="82"/>
  <c r="AC27" i="82"/>
  <c r="W27" i="82"/>
  <c r="AC34" i="82"/>
  <c r="W34" i="82"/>
  <c r="AA34" i="82"/>
  <c r="S34" i="82"/>
  <c r="Y6" i="1"/>
  <c r="C37" i="34"/>
  <c r="C37" i="81"/>
  <c r="E29" i="81"/>
  <c r="H26" i="81"/>
  <c r="E26" i="81" s="1"/>
  <c r="E24" i="81" s="1"/>
  <c r="E25" i="81"/>
  <c r="T22" i="81"/>
  <c r="C22" i="81"/>
  <c r="U21" i="81"/>
  <c r="U20" i="81" s="1"/>
  <c r="S21" i="81"/>
  <c r="C21" i="81"/>
  <c r="E19" i="81" s="1"/>
  <c r="F19" i="81"/>
  <c r="I17" i="81"/>
  <c r="F16" i="81"/>
  <c r="E15" i="81"/>
  <c r="C15" i="81"/>
  <c r="I11" i="81"/>
  <c r="M10" i="81"/>
  <c r="P9" i="81"/>
  <c r="O10" i="81" s="1"/>
  <c r="M4" i="81"/>
  <c r="J37" i="82" l="1"/>
  <c r="F37" i="82"/>
  <c r="H37" i="82"/>
  <c r="C11" i="81"/>
  <c r="N11" i="81"/>
  <c r="C8" i="81"/>
  <c r="D3" i="4"/>
  <c r="AA37" i="82" l="1"/>
  <c r="S37" i="82"/>
  <c r="W37" i="82"/>
  <c r="AC37" i="82"/>
  <c r="AB37" i="82"/>
  <c r="U37" i="82"/>
  <c r="C9" i="81"/>
  <c r="C10" i="81"/>
  <c r="C12" i="81"/>
  <c r="E27" i="45"/>
  <c r="C13" i="81" l="1"/>
  <c r="C14" i="81" s="1"/>
  <c r="C20" i="81" s="1"/>
  <c r="C19" i="8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W40" i="79"/>
  <c r="AK40" i="79" s="1"/>
  <c r="AH40" i="79"/>
  <c r="S20" i="79"/>
  <c r="AG20" i="79" s="1"/>
  <c r="T22" i="79"/>
  <c r="AD38" i="79"/>
  <c r="AD36" i="79"/>
  <c r="AD37"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S33" i="79"/>
  <c r="AG33" i="79" s="1"/>
  <c r="S34" i="79"/>
  <c r="AG34" i="79" s="1"/>
  <c r="S35" i="79"/>
  <c r="AG35"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7" i="79"/>
  <c r="AK17" i="79" s="1"/>
  <c r="AH17" i="79"/>
  <c r="W10" i="79"/>
  <c r="AK10" i="79" s="1"/>
  <c r="AH10" i="79"/>
  <c r="W18" i="79"/>
  <c r="AK18" i="79" s="1"/>
  <c r="AH18" i="79"/>
  <c r="W20" i="79"/>
  <c r="AK20" i="79" s="1"/>
  <c r="AH20" i="79"/>
  <c r="AH33" i="79"/>
  <c r="W33" i="79"/>
  <c r="AK33" i="79" s="1"/>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X31" i="71" s="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N68" i="71"/>
  <c r="E34" i="71"/>
  <c r="C30" i="71"/>
  <c r="D30" i="71" s="1"/>
  <c r="C38" i="71"/>
  <c r="D38" i="71" s="1"/>
  <c r="F51" i="71"/>
  <c r="F52" i="71" s="1"/>
  <c r="V52" i="71" s="1"/>
  <c r="B28" i="71"/>
  <c r="B27" i="71" s="1"/>
  <c r="B26" i="71"/>
  <c r="P28" i="71"/>
  <c r="E28" i="71" s="1"/>
  <c r="U68" i="71"/>
  <c r="E67" i="71"/>
  <c r="Q28" i="71"/>
  <c r="C59" i="71"/>
  <c r="C60" i="71" s="1"/>
  <c r="D58" i="71"/>
  <c r="C63" i="71"/>
  <c r="C64" i="71" s="1"/>
  <c r="D62" i="71"/>
  <c r="O68" i="71"/>
  <c r="Q68" i="71"/>
  <c r="E71" i="71"/>
  <c r="E70" i="71" s="1"/>
  <c r="C75" i="71"/>
  <c r="D75" i="71" s="1"/>
  <c r="D76" i="71"/>
  <c r="D80" i="71"/>
  <c r="C87" i="71"/>
  <c r="C86" i="71" s="1"/>
  <c r="D86" i="71" s="1"/>
  <c r="F28" i="71"/>
  <c r="F27" i="71" s="1"/>
  <c r="F26" i="71" s="1"/>
  <c r="AA3" i="71"/>
  <c r="D63"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5" i="40"/>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W21" i="21" s="1"/>
  <c r="C40" i="69"/>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9" i="82" s="1"/>
  <c r="E15" i="4"/>
  <c r="I5" i="8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R62" i="31"/>
  <c r="S62" i="31" s="1"/>
  <c r="R63" i="31"/>
  <c r="S63" i="31" s="1"/>
  <c r="R64" i="31"/>
  <c r="R65" i="31"/>
  <c r="S65" i="31" s="1"/>
  <c r="R66" i="31"/>
  <c r="S66" i="31" s="1"/>
  <c r="R67" i="31"/>
  <c r="S67" i="31" s="1"/>
  <c r="R68" i="31"/>
  <c r="R69" i="3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R94" i="31"/>
  <c r="S94" i="31" s="1"/>
  <c r="R95" i="31"/>
  <c r="S95" i="31" s="1"/>
  <c r="R96" i="31"/>
  <c r="R97" i="31"/>
  <c r="S97" i="31" s="1"/>
  <c r="R98" i="31"/>
  <c r="S98" i="31" s="1"/>
  <c r="R99" i="31"/>
  <c r="S99" i="31" s="1"/>
  <c r="R100" i="31"/>
  <c r="R101" i="3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R162" i="31"/>
  <c r="S162" i="31" s="1"/>
  <c r="R163" i="31"/>
  <c r="S163" i="31" s="1"/>
  <c r="R164" i="31"/>
  <c r="R165" i="31"/>
  <c r="S165" i="31" s="1"/>
  <c r="R166" i="31"/>
  <c r="S166" i="31" s="1"/>
  <c r="R167" i="31"/>
  <c r="S167" i="31" s="1"/>
  <c r="R168" i="31"/>
  <c r="R169" i="31"/>
  <c r="S169" i="31" s="1"/>
  <c r="R170" i="31"/>
  <c r="S170" i="31" s="1"/>
  <c r="R171" i="31"/>
  <c r="S171" i="31" s="1"/>
  <c r="R172" i="31"/>
  <c r="R173" i="3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R194" i="31"/>
  <c r="S194" i="31" s="1"/>
  <c r="R195" i="31"/>
  <c r="S195" i="31" s="1"/>
  <c r="R196" i="31"/>
  <c r="R197" i="31"/>
  <c r="S197" i="31" s="1"/>
  <c r="R198" i="31"/>
  <c r="S198" i="31" s="1"/>
  <c r="R199" i="31"/>
  <c r="S199" i="31" s="1"/>
  <c r="R200" i="31"/>
  <c r="R201" i="31"/>
  <c r="S201" i="31" s="1"/>
  <c r="R202" i="31"/>
  <c r="S202" i="31" s="1"/>
  <c r="R203" i="31"/>
  <c r="S203" i="31" s="1"/>
  <c r="R204" i="31"/>
  <c r="R205" i="3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S510" i="31" s="1"/>
  <c r="R511" i="31"/>
  <c r="S511" i="31" s="1"/>
  <c r="R512" i="31"/>
  <c r="R513" i="31"/>
  <c r="R514" i="31"/>
  <c r="S514" i="31" s="1"/>
  <c r="R515" i="31"/>
  <c r="S515" i="31" s="1"/>
  <c r="R516" i="31"/>
  <c r="R517" i="3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2" i="31"/>
  <c r="S248" i="31"/>
  <c r="S244" i="31"/>
  <c r="S241" i="31"/>
  <c r="S240" i="31"/>
  <c r="S236" i="31"/>
  <c r="S233" i="31"/>
  <c r="S232" i="31"/>
  <c r="S228" i="31"/>
  <c r="S224" i="31"/>
  <c r="S429" i="31"/>
  <c r="S428" i="31"/>
  <c r="S220" i="31"/>
  <c r="S216" i="31"/>
  <c r="S212" i="31"/>
  <c r="S208" i="31"/>
  <c r="S205" i="31"/>
  <c r="S204" i="31"/>
  <c r="S200" i="31"/>
  <c r="S196" i="31"/>
  <c r="S193" i="31"/>
  <c r="S192" i="31"/>
  <c r="S188" i="31"/>
  <c r="S184" i="31"/>
  <c r="S180" i="31"/>
  <c r="S176" i="31"/>
  <c r="S173" i="31"/>
  <c r="S172" i="31"/>
  <c r="S168" i="31"/>
  <c r="S164" i="31"/>
  <c r="S161" i="31"/>
  <c r="S160" i="31"/>
  <c r="S156" i="31"/>
  <c r="S152" i="31"/>
  <c r="S148" i="31"/>
  <c r="S144" i="31"/>
  <c r="S141" i="31"/>
  <c r="S140" i="31"/>
  <c r="S136" i="31"/>
  <c r="S132" i="31"/>
  <c r="S128" i="31"/>
  <c r="S125" i="31"/>
  <c r="S124" i="31"/>
  <c r="S496" i="31"/>
  <c r="S492" i="31"/>
  <c r="S488" i="31"/>
  <c r="S484" i="31"/>
  <c r="S480" i="31"/>
  <c r="S477" i="31"/>
  <c r="S476" i="31"/>
  <c r="S472" i="31"/>
  <c r="S468" i="31"/>
  <c r="S444" i="31"/>
  <c r="S440" i="31"/>
  <c r="S436" i="31"/>
  <c r="S432" i="31"/>
  <c r="S120" i="31"/>
  <c r="S116" i="31"/>
  <c r="S112" i="31"/>
  <c r="S504" i="31"/>
  <c r="S500" i="31"/>
  <c r="S464" i="31"/>
  <c r="S461" i="31"/>
  <c r="S460" i="31"/>
  <c r="S456" i="31"/>
  <c r="S452" i="31"/>
  <c r="S52" i="31"/>
  <c r="S48" i="31"/>
  <c r="S45" i="31"/>
  <c r="S44" i="31"/>
  <c r="S40" i="31"/>
  <c r="S36" i="31"/>
  <c r="S32" i="31"/>
  <c r="S76" i="31"/>
  <c r="S72" i="31"/>
  <c r="S69" i="31"/>
  <c r="S68" i="31"/>
  <c r="S64" i="31"/>
  <c r="S61" i="31"/>
  <c r="S60" i="31"/>
  <c r="S56" i="31"/>
  <c r="S96" i="31"/>
  <c r="S93" i="31"/>
  <c r="S92" i="31"/>
  <c r="S88" i="31"/>
  <c r="S84" i="31"/>
  <c r="S80" i="31"/>
  <c r="S100" i="31"/>
  <c r="S101" i="31"/>
  <c r="S104" i="31"/>
  <c r="S108" i="31"/>
  <c r="S445" i="31"/>
  <c r="S448" i="31"/>
  <c r="S508"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6" i="31"/>
  <c r="S517" i="31"/>
  <c r="S520"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c r="J39" i="33"/>
  <c r="Q38" i="33"/>
  <c r="Z38" i="33" s="1"/>
  <c r="J38" i="33"/>
  <c r="AC38" i="33" s="1"/>
  <c r="H38" i="33"/>
  <c r="AB38" i="33" s="1"/>
  <c r="F38" i="33"/>
  <c r="AA38" i="33" s="1"/>
  <c r="Q37" i="33"/>
  <c r="Z37" i="33"/>
  <c r="Q36" i="33"/>
  <c r="Z36" i="33" s="1"/>
  <c r="Q35" i="33"/>
  <c r="Z35" i="33"/>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U34" i="35"/>
  <c r="F36" i="34"/>
  <c r="AA36" i="34" s="1"/>
  <c r="J35" i="34"/>
  <c r="AC35" i="34" s="1"/>
  <c r="H39" i="33"/>
  <c r="AB39" i="33" s="1"/>
  <c r="F26" i="33"/>
  <c r="AA26" i="33" s="1"/>
  <c r="U35" i="33"/>
  <c r="S40" i="33"/>
  <c r="H39" i="37"/>
  <c r="AB39" i="37" s="1"/>
  <c r="S27" i="35"/>
  <c r="F11" i="40"/>
  <c r="AA11" i="40" s="1"/>
  <c r="H11" i="40"/>
  <c r="AB11" i="40" s="1"/>
  <c r="W8" i="40"/>
  <c r="AB39" i="40"/>
  <c r="AA9" i="40"/>
  <c r="U9"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AC23" i="34" s="1"/>
  <c r="F19" i="34"/>
  <c r="H17" i="34"/>
  <c r="U17" i="34" s="1"/>
  <c r="J28" i="34"/>
  <c r="W28" i="34" s="1"/>
  <c r="F41" i="33"/>
  <c r="S38" i="33"/>
  <c r="E113" i="33"/>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H37" i="34"/>
  <c r="U37" i="34" s="1"/>
  <c r="H25" i="34"/>
  <c r="AB25" i="34" s="1"/>
  <c r="J25" i="34"/>
  <c r="AC25" i="34" s="1"/>
  <c r="F23" i="34"/>
  <c r="S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J36" i="37"/>
  <c r="AC36" i="37" s="1"/>
  <c r="J10" i="36"/>
  <c r="AC10" i="36" s="1"/>
  <c r="AB26" i="33"/>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AZ554" i="3" s="1"/>
  <c r="BA552" i="3"/>
  <c r="BA548" i="3"/>
  <c r="BA546" i="3"/>
  <c r="BA544" i="3"/>
  <c r="AZ544" i="3" s="1"/>
  <c r="BA542" i="3"/>
  <c r="AZ542" i="3" s="1"/>
  <c r="BA540" i="3"/>
  <c r="BA538" i="3"/>
  <c r="AZ538" i="3"/>
  <c r="BA536" i="3"/>
  <c r="BA534" i="3"/>
  <c r="AZ534" i="3"/>
  <c r="BA532" i="3"/>
  <c r="AZ532" i="3"/>
  <c r="BA530" i="3"/>
  <c r="BA528" i="3"/>
  <c r="AZ528" i="3" s="1"/>
  <c r="BA526" i="3"/>
  <c r="AZ526" i="3" s="1"/>
  <c r="BA524" i="3"/>
  <c r="AZ524" i="3" s="1"/>
  <c r="BA522" i="3"/>
  <c r="BA520" i="3"/>
  <c r="BA518" i="3"/>
  <c r="BA516" i="3"/>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BQ571" i="3"/>
  <c r="BL571" i="3" s="1"/>
  <c r="BQ569" i="3"/>
  <c r="BL569" i="3" s="1"/>
  <c r="AZ569" i="3" s="1"/>
  <c r="BQ567" i="3"/>
  <c r="BL567" i="3"/>
  <c r="BQ565" i="3"/>
  <c r="BL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U14" i="40"/>
  <c r="W23" i="35"/>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c r="G149" i="3"/>
  <c r="BA151" i="3"/>
  <c r="BL152" i="3"/>
  <c r="G153" i="3"/>
  <c r="BA155" i="3"/>
  <c r="BL156" i="3"/>
  <c r="G157" i="3"/>
  <c r="BA159" i="3"/>
  <c r="BL160" i="3"/>
  <c r="G161" i="3"/>
  <c r="BA163" i="3"/>
  <c r="AZ163" i="3"/>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AZ369" i="3" s="1"/>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c r="BL311" i="3"/>
  <c r="AZ311" i="3" s="1"/>
  <c r="G312" i="3"/>
  <c r="BA314" i="3"/>
  <c r="BL315" i="3"/>
  <c r="AZ315" i="3" s="1"/>
  <c r="G316" i="3"/>
  <c r="BA318" i="3"/>
  <c r="AZ318" i="3" s="1"/>
  <c r="BL319" i="3"/>
  <c r="G320" i="3"/>
  <c r="BA322" i="3"/>
  <c r="BL323" i="3"/>
  <c r="G324" i="3"/>
  <c r="BA326" i="3"/>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BL366" i="3"/>
  <c r="G367" i="3"/>
  <c r="BA369" i="3"/>
  <c r="BL370" i="3"/>
  <c r="G371" i="3"/>
  <c r="BA373" i="3"/>
  <c r="AZ373" i="3"/>
  <c r="BL374" i="3"/>
  <c r="G375" i="3"/>
  <c r="BA377" i="3"/>
  <c r="AZ377" i="3"/>
  <c r="BA379" i="3"/>
  <c r="AZ379" i="3" s="1"/>
  <c r="BL380" i="3"/>
  <c r="AZ380" i="3" s="1"/>
  <c r="G381" i="3"/>
  <c r="BA383" i="3"/>
  <c r="AZ383" i="3" s="1"/>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BA15" i="3"/>
  <c r="BB5" i="3"/>
  <c r="BR5"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U30" i="33"/>
  <c r="AC13" i="34"/>
  <c r="AA47" i="34"/>
  <c r="W28" i="37"/>
  <c r="S19" i="39"/>
  <c r="F12" i="33"/>
  <c r="H12" i="39"/>
  <c r="U12" i="39" s="1"/>
  <c r="AB12" i="39"/>
  <c r="F39" i="40"/>
  <c r="BA14"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3" i="36"/>
  <c r="U26" i="36"/>
  <c r="S33"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45" i="34"/>
  <c r="AA25" i="34"/>
  <c r="U28" i="34"/>
  <c r="AA29" i="34"/>
  <c r="S13"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S25" i="33" s="1"/>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S37" i="34"/>
  <c r="AA19" i="34"/>
  <c r="S19" i="34"/>
  <c r="AA8" i="34"/>
  <c r="S8"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U41" i="33"/>
  <c r="W35" i="33"/>
  <c r="AC35" i="33"/>
  <c r="J36" i="33"/>
  <c r="W36" i="33" s="1"/>
  <c r="H36" i="33"/>
  <c r="U36" i="33" s="1"/>
  <c r="W32" i="33"/>
  <c r="U27" i="33"/>
  <c r="AB27" i="33"/>
  <c r="J27" i="33"/>
  <c r="W27" i="33" s="1"/>
  <c r="U25" i="33"/>
  <c r="AA25" i="33"/>
  <c r="G87" i="33"/>
  <c r="H87" i="33" s="1"/>
  <c r="I87" i="33" s="1"/>
  <c r="J87" i="33" s="1"/>
  <c r="K87" i="33" s="1"/>
  <c r="L87" i="33" s="1"/>
  <c r="M87" i="33" s="1"/>
  <c r="J25" i="33"/>
  <c r="AC25" i="33" s="1"/>
  <c r="U23" i="33"/>
  <c r="F23" i="33"/>
  <c r="G85" i="33"/>
  <c r="AA19" i="33"/>
  <c r="H19" i="33"/>
  <c r="U19" i="33" s="1"/>
  <c r="G81" i="33"/>
  <c r="H17" i="33"/>
  <c r="U17" i="33" s="1"/>
  <c r="F17" i="33"/>
  <c r="S17" i="33" s="1"/>
  <c r="W17" i="33"/>
  <c r="AC17" i="33"/>
  <c r="S37" i="21"/>
  <c r="AB15" i="21"/>
  <c r="J23" i="21"/>
  <c r="AC23" i="21" s="1"/>
  <c r="F85" i="21"/>
  <c r="G85" i="21" s="1"/>
  <c r="H23" i="21"/>
  <c r="AB23" i="21" s="1"/>
  <c r="S13" i="21"/>
  <c r="D6" i="52"/>
  <c r="AP7" i="1"/>
  <c r="AB9" i="21"/>
  <c r="U9" i="21"/>
  <c r="AA32" i="21"/>
  <c r="W9" i="21"/>
  <c r="AC9" i="21"/>
  <c r="AB32" i="21"/>
  <c r="U32" i="39"/>
  <c r="AC32" i="39"/>
  <c r="AC23" i="37"/>
  <c r="J63" i="37"/>
  <c r="K63" i="37" s="1"/>
  <c r="L63" i="37" s="1"/>
  <c r="M63" i="37" s="1"/>
  <c r="J11" i="37"/>
  <c r="AC11" i="37" s="1"/>
  <c r="J11" i="34"/>
  <c r="W11" i="34" s="1"/>
  <c r="AB36" i="33"/>
  <c r="AA17" i="33"/>
  <c r="U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M22" i="67"/>
  <c r="D20" i="9"/>
  <c r="M28" i="67"/>
  <c r="F6" i="73"/>
  <c r="E8" i="76"/>
  <c r="F37" i="15"/>
  <c r="E9" i="76"/>
  <c r="E12" i="76"/>
  <c r="F4" i="73"/>
  <c r="F13" i="67"/>
  <c r="D35" i="9"/>
  <c r="F8" i="15"/>
  <c r="L48" i="67"/>
  <c r="C20" i="9"/>
  <c r="F42" i="67"/>
  <c r="F13" i="15"/>
  <c r="F3" i="73"/>
  <c r="F37" i="67"/>
  <c r="B9" i="76"/>
  <c r="F9" i="67"/>
  <c r="E11" i="76"/>
  <c r="B7" i="76"/>
  <c r="F16" i="67"/>
  <c r="M23" i="67"/>
  <c r="F38" i="67"/>
  <c r="F43" i="15"/>
  <c r="J15" i="67"/>
  <c r="F26" i="15"/>
  <c r="F40" i="67"/>
  <c r="M8" i="15"/>
  <c r="B11" i="76"/>
  <c r="D6" i="73"/>
  <c r="M26" i="67"/>
  <c r="F7" i="73"/>
  <c r="F43" i="67"/>
  <c r="F6" i="67"/>
  <c r="L48" i="15"/>
  <c r="M26" i="15"/>
  <c r="M6" i="15"/>
  <c r="F7" i="67"/>
  <c r="F8" i="67"/>
  <c r="F36" i="67"/>
  <c r="E13" i="76"/>
  <c r="M6" i="67"/>
  <c r="C19" i="9"/>
  <c r="F20" i="31"/>
  <c r="B10" i="76"/>
  <c r="M24" i="67"/>
  <c r="F42" i="15"/>
  <c r="E2" i="68"/>
  <c r="M29" i="67"/>
  <c r="E10" i="76"/>
  <c r="B8" i="76"/>
  <c r="M8" i="67"/>
  <c r="M9" i="67"/>
  <c r="F26" i="67"/>
  <c r="AO13" i="1"/>
  <c r="L47" i="67"/>
  <c r="F7" i="15"/>
  <c r="M28" i="15"/>
  <c r="M22" i="15"/>
  <c r="F5" i="73"/>
  <c r="D19" i="9"/>
  <c r="E7" i="76"/>
  <c r="B13" i="76"/>
  <c r="D34" i="9"/>
  <c r="E2" i="69"/>
  <c r="B12" i="76"/>
  <c r="G23" i="43" l="1"/>
  <c r="C23" i="43" s="1"/>
  <c r="C7" i="33"/>
  <c r="C42" i="1"/>
  <c r="C24" i="12" s="1"/>
  <c r="M47" i="9"/>
  <c r="C7" i="35"/>
  <c r="C48" i="35" s="1"/>
  <c r="D48" i="35" s="1"/>
  <c r="C7" i="36"/>
  <c r="C46" i="36" s="1"/>
  <c r="D46" i="36" s="1"/>
  <c r="E46" i="36" s="1"/>
  <c r="F46" i="36" s="1"/>
  <c r="G46" i="36" s="1"/>
  <c r="H46" i="36" s="1"/>
  <c r="I46" i="36" s="1"/>
  <c r="C7" i="40"/>
  <c r="C63" i="40" s="1"/>
  <c r="C7" i="39"/>
  <c r="C67" i="39" s="1"/>
  <c r="C7" i="34"/>
  <c r="D59" i="82"/>
  <c r="E59" i="82" s="1"/>
  <c r="F59" i="82" s="1"/>
  <c r="G59" i="82" s="1"/>
  <c r="H59" i="82" s="1"/>
  <c r="I59" i="82" s="1"/>
  <c r="J59" i="82" s="1"/>
  <c r="K59" i="82" s="1"/>
  <c r="L59" i="82" s="1"/>
  <c r="M59" i="82" s="1"/>
  <c r="N59" i="82" s="1"/>
  <c r="O59" i="82" s="1"/>
  <c r="J7" i="82"/>
  <c r="H7" i="82"/>
  <c r="F7" i="82"/>
  <c r="W8" i="34"/>
  <c r="AB19" i="33"/>
  <c r="W25" i="33"/>
  <c r="AB45" i="21"/>
  <c r="AA23" i="21"/>
  <c r="S23" i="39"/>
  <c r="W27" i="40"/>
  <c r="S27" i="40"/>
  <c r="AZ345" i="3"/>
  <c r="AZ320" i="3"/>
  <c r="AZ304" i="3"/>
  <c r="AZ516" i="3"/>
  <c r="AZ558" i="3"/>
  <c r="AZ574" i="3"/>
  <c r="W31" i="34"/>
  <c r="AA14" i="33"/>
  <c r="AC33" i="33"/>
  <c r="W33" i="33"/>
  <c r="AB40" i="33"/>
  <c r="U40" i="33"/>
  <c r="AB34" i="34"/>
  <c r="U34" i="34"/>
  <c r="F12" i="35"/>
  <c r="H12" i="35"/>
  <c r="AC31" i="40"/>
  <c r="W31" i="40"/>
  <c r="AC27" i="33"/>
  <c r="S36" i="33"/>
  <c r="S17" i="37"/>
  <c r="U32" i="37"/>
  <c r="AB20" i="36"/>
  <c r="AA32" i="37"/>
  <c r="AZ322" i="3"/>
  <c r="AZ389" i="3"/>
  <c r="AZ372" i="3"/>
  <c r="AZ329" i="3"/>
  <c r="AZ341" i="3"/>
  <c r="AA11" i="39"/>
  <c r="AZ577" i="3"/>
  <c r="AZ527" i="3"/>
  <c r="AZ543" i="3"/>
  <c r="AZ553" i="3"/>
  <c r="AZ579" i="3"/>
  <c r="AZ510" i="3"/>
  <c r="AZ552" i="3"/>
  <c r="U46" i="33"/>
  <c r="AC39" i="33"/>
  <c r="W39" i="33"/>
  <c r="AC9" i="34"/>
  <c r="W9" i="34"/>
  <c r="F9" i="34"/>
  <c r="AA9" i="34" s="1"/>
  <c r="H9" i="34"/>
  <c r="AZ326" i="3"/>
  <c r="AZ520" i="3"/>
  <c r="AA40" i="21"/>
  <c r="S40" i="21"/>
  <c r="H25" i="37"/>
  <c r="J25" i="37"/>
  <c r="U8" i="39"/>
  <c r="AB8" i="39"/>
  <c r="AC40" i="39"/>
  <c r="W40" i="39"/>
  <c r="AZ319" i="3"/>
  <c r="AZ511" i="3"/>
  <c r="BL586" i="3"/>
  <c r="AZ586" i="3" s="1"/>
  <c r="AC28" i="36"/>
  <c r="W28" i="36"/>
  <c r="S34" i="40"/>
  <c r="J9" i="33"/>
  <c r="F23" i="36"/>
  <c r="G582" i="3"/>
  <c r="BL399" i="3"/>
  <c r="BL408" i="3"/>
  <c r="BL412" i="3"/>
  <c r="G420" i="3"/>
  <c r="G421" i="3"/>
  <c r="BL430" i="3"/>
  <c r="BL440" i="3"/>
  <c r="BL447" i="3"/>
  <c r="BL456" i="3"/>
  <c r="BA464" i="3"/>
  <c r="BA466" i="3"/>
  <c r="AZ466" i="3" s="1"/>
  <c r="BL466" i="3"/>
  <c r="G468" i="3"/>
  <c r="BL484" i="3"/>
  <c r="BL316" i="3"/>
  <c r="BL340" i="3"/>
  <c r="AZ340" i="3" s="1"/>
  <c r="BL346" i="3"/>
  <c r="AZ346" i="3" s="1"/>
  <c r="G349" i="3"/>
  <c r="BA384" i="3"/>
  <c r="AZ384" i="3" s="1"/>
  <c r="BA392" i="3"/>
  <c r="AZ392" i="3" s="1"/>
  <c r="G397" i="3"/>
  <c r="BA212" i="3"/>
  <c r="BL216" i="3"/>
  <c r="BL219" i="3"/>
  <c r="G222" i="3"/>
  <c r="G224" i="3"/>
  <c r="BL227" i="3"/>
  <c r="BL230" i="3"/>
  <c r="G233" i="3"/>
  <c r="BA250" i="3"/>
  <c r="G432" i="3"/>
  <c r="BA432" i="3"/>
  <c r="BA483" i="3"/>
  <c r="BL483" i="3"/>
  <c r="BA226" i="3"/>
  <c r="BA235" i="3"/>
  <c r="BA245" i="3"/>
  <c r="BL245" i="3"/>
  <c r="T60" i="71"/>
  <c r="D60" i="71"/>
  <c r="G14" i="3"/>
  <c r="A15" i="62"/>
  <c r="B61" i="72" s="1"/>
  <c r="BA400" i="3"/>
  <c r="AZ400" i="3" s="1"/>
  <c r="BL400" i="3"/>
  <c r="BA406" i="3"/>
  <c r="AZ406" i="3" s="1"/>
  <c r="BA413" i="3"/>
  <c r="AZ413" i="3" s="1"/>
  <c r="BL413" i="3"/>
  <c r="G414" i="3"/>
  <c r="BA419" i="3"/>
  <c r="AZ419" i="3" s="1"/>
  <c r="G424" i="3"/>
  <c r="BL427" i="3"/>
  <c r="G429" i="3"/>
  <c r="BA431" i="3"/>
  <c r="BL433" i="3"/>
  <c r="G435" i="3"/>
  <c r="G439" i="3"/>
  <c r="BA444" i="3"/>
  <c r="BL444" i="3"/>
  <c r="G447" i="3"/>
  <c r="BA456" i="3"/>
  <c r="BL472" i="3"/>
  <c r="G473" i="3"/>
  <c r="BL479" i="3"/>
  <c r="G480" i="3"/>
  <c r="G485" i="3"/>
  <c r="BA487" i="3"/>
  <c r="BA489" i="3"/>
  <c r="BL489" i="3"/>
  <c r="BL491" i="3"/>
  <c r="BL492" i="3"/>
  <c r="BL350" i="3"/>
  <c r="BL386" i="3"/>
  <c r="BA208" i="3"/>
  <c r="AZ208" i="3" s="1"/>
  <c r="BA214" i="3"/>
  <c r="BA225" i="3"/>
  <c r="BA233" i="3"/>
  <c r="U33" i="33"/>
  <c r="W28" i="35"/>
  <c r="J9" i="36"/>
  <c r="G400" i="3"/>
  <c r="BA402" i="3"/>
  <c r="AZ402" i="3" s="1"/>
  <c r="G408" i="3"/>
  <c r="G409" i="3"/>
  <c r="BL409" i="3"/>
  <c r="G413" i="3"/>
  <c r="BL416" i="3"/>
  <c r="G417" i="3"/>
  <c r="BL417" i="3"/>
  <c r="G422" i="3"/>
  <c r="BL423" i="3"/>
  <c r="G433" i="3"/>
  <c r="BA434" i="3"/>
  <c r="G444" i="3"/>
  <c r="BA448" i="3"/>
  <c r="BA450" i="3"/>
  <c r="BL451" i="3"/>
  <c r="BL452" i="3"/>
  <c r="G454" i="3"/>
  <c r="BL469" i="3"/>
  <c r="BL470" i="3"/>
  <c r="BA476" i="3"/>
  <c r="BL476" i="3"/>
  <c r="BA486" i="3"/>
  <c r="BL488" i="3"/>
  <c r="BA319" i="3"/>
  <c r="BL381" i="3"/>
  <c r="AZ381" i="3" s="1"/>
  <c r="BA385" i="3"/>
  <c r="BA395" i="3"/>
  <c r="AZ395" i="3" s="1"/>
  <c r="BL213" i="3"/>
  <c r="G217" i="3"/>
  <c r="BA220" i="3"/>
  <c r="BA222" i="3"/>
  <c r="AZ222" i="3" s="1"/>
  <c r="BA224" i="3"/>
  <c r="AZ224" i="3" s="1"/>
  <c r="G228" i="3"/>
  <c r="BA231" i="3"/>
  <c r="BA240" i="3"/>
  <c r="AZ240" i="3" s="1"/>
  <c r="BL240" i="3"/>
  <c r="BA116" i="3"/>
  <c r="AZ116" i="3" s="1"/>
  <c r="BA121" i="3"/>
  <c r="AZ121" i="3" s="1"/>
  <c r="BL121" i="3"/>
  <c r="BA125" i="3"/>
  <c r="BA129" i="3"/>
  <c r="BA133" i="3"/>
  <c r="BA134" i="3"/>
  <c r="BA145" i="3"/>
  <c r="BL146" i="3"/>
  <c r="G147" i="3"/>
  <c r="BL157" i="3"/>
  <c r="BL159" i="3"/>
  <c r="AZ159" i="3" s="1"/>
  <c r="G160" i="3"/>
  <c r="BA177" i="3"/>
  <c r="G190" i="3"/>
  <c r="G195" i="3"/>
  <c r="BL198" i="3"/>
  <c r="BL23" i="3"/>
  <c r="BA30" i="3"/>
  <c r="G32" i="3"/>
  <c r="BA40" i="3"/>
  <c r="G42" i="3"/>
  <c r="BA43" i="3"/>
  <c r="G48" i="3"/>
  <c r="BL48" i="3"/>
  <c r="BL55" i="3"/>
  <c r="G57" i="3"/>
  <c r="BA59" i="3"/>
  <c r="G61" i="3"/>
  <c r="BL61" i="3"/>
  <c r="G68" i="3"/>
  <c r="BL68" i="3"/>
  <c r="BA69" i="3"/>
  <c r="AZ69" i="3" s="1"/>
  <c r="BA71" i="3"/>
  <c r="G78" i="3"/>
  <c r="BL82" i="3"/>
  <c r="G83" i="3"/>
  <c r="BA84" i="3"/>
  <c r="BA92" i="3"/>
  <c r="BA97" i="3"/>
  <c r="G108" i="3"/>
  <c r="P27" i="6"/>
  <c r="T68" i="71"/>
  <c r="X34" i="71"/>
  <c r="AA34" i="71"/>
  <c r="C43" i="71"/>
  <c r="C51" i="71"/>
  <c r="BA260" i="3"/>
  <c r="BA262" i="3"/>
  <c r="AZ262" i="3" s="1"/>
  <c r="BL275" i="3"/>
  <c r="BA288" i="3"/>
  <c r="BL289" i="3"/>
  <c r="G291" i="3"/>
  <c r="BA301" i="3"/>
  <c r="BL122" i="3"/>
  <c r="BA124" i="3"/>
  <c r="AZ124" i="3" s="1"/>
  <c r="BL127" i="3"/>
  <c r="AZ127" i="3" s="1"/>
  <c r="BA132" i="3"/>
  <c r="AZ132" i="3" s="1"/>
  <c r="D59" i="71"/>
  <c r="D72" i="71"/>
  <c r="C67" i="71"/>
  <c r="D67" i="71" s="1"/>
  <c r="Y27" i="71"/>
  <c r="Z27" i="71" s="1"/>
  <c r="F35" i="71"/>
  <c r="F36" i="71" s="1"/>
  <c r="V36" i="71" s="1"/>
  <c r="AA38" i="71"/>
  <c r="B51" i="71"/>
  <c r="B52" i="71" s="1"/>
  <c r="S52" i="71" s="1"/>
  <c r="S68" i="71"/>
  <c r="BA237" i="3"/>
  <c r="AZ237" i="3" s="1"/>
  <c r="G249" i="3"/>
  <c r="BL254" i="3"/>
  <c r="BL259" i="3"/>
  <c r="G262" i="3"/>
  <c r="G264" i="3"/>
  <c r="BL269" i="3"/>
  <c r="BA270" i="3"/>
  <c r="AZ270" i="3" s="1"/>
  <c r="BL280" i="3"/>
  <c r="BA281" i="3"/>
  <c r="BA286" i="3"/>
  <c r="AZ286" i="3" s="1"/>
  <c r="G289" i="3"/>
  <c r="G295" i="3"/>
  <c r="BA296" i="3"/>
  <c r="BL298" i="3"/>
  <c r="G299" i="3"/>
  <c r="G126" i="3"/>
  <c r="G130" i="3"/>
  <c r="BL133" i="3"/>
  <c r="G135" i="3"/>
  <c r="BL139" i="3"/>
  <c r="AZ139" i="3" s="1"/>
  <c r="G140" i="3"/>
  <c r="BL141" i="3"/>
  <c r="BL143" i="3"/>
  <c r="AZ143" i="3" s="1"/>
  <c r="BL154" i="3"/>
  <c r="G156" i="3"/>
  <c r="G163" i="3"/>
  <c r="BL177" i="3"/>
  <c r="G179" i="3"/>
  <c r="BA189" i="3"/>
  <c r="BL205" i="3"/>
  <c r="BA207" i="3"/>
  <c r="BA32" i="3"/>
  <c r="BA42" i="3"/>
  <c r="BA55" i="3"/>
  <c r="AZ55" i="3" s="1"/>
  <c r="G60" i="3"/>
  <c r="BL64" i="3"/>
  <c r="G71" i="3"/>
  <c r="BA72" i="3"/>
  <c r="BL74" i="3"/>
  <c r="G75" i="3"/>
  <c r="BA79" i="3"/>
  <c r="AZ79" i="3" s="1"/>
  <c r="BA88" i="3"/>
  <c r="AZ88" i="3" s="1"/>
  <c r="G98" i="3"/>
  <c r="G103" i="3"/>
  <c r="G111" i="3"/>
  <c r="AC21" i="37"/>
  <c r="C29" i="39"/>
  <c r="B88" i="43"/>
  <c r="E79" i="71"/>
  <c r="E78" i="71" s="1"/>
  <c r="B40" i="71"/>
  <c r="S40" i="71" s="1"/>
  <c r="Y29" i="71"/>
  <c r="Z29" i="71" s="1"/>
  <c r="C31" i="71"/>
  <c r="X25" i="71"/>
  <c r="AA35" i="71"/>
  <c r="Y35" i="71"/>
  <c r="Z35" i="71" s="1"/>
  <c r="X36" i="71"/>
  <c r="G253" i="3"/>
  <c r="BA257" i="3"/>
  <c r="AZ257" i="3" s="1"/>
  <c r="BL257" i="3"/>
  <c r="G268" i="3"/>
  <c r="BA272" i="3"/>
  <c r="AZ272" i="3" s="1"/>
  <c r="BA275" i="3"/>
  <c r="AZ275" i="3" s="1"/>
  <c r="G279" i="3"/>
  <c r="G283" i="3"/>
  <c r="BL286" i="3"/>
  <c r="BL166" i="3"/>
  <c r="BL181" i="3"/>
  <c r="BL186" i="3"/>
  <c r="AZ186" i="3" s="1"/>
  <c r="BA188" i="3"/>
  <c r="AZ188" i="3" s="1"/>
  <c r="G191" i="3"/>
  <c r="BL195" i="3"/>
  <c r="AZ195" i="3" s="1"/>
  <c r="BA197" i="3"/>
  <c r="BA201" i="3"/>
  <c r="AZ201" i="3" s="1"/>
  <c r="G19" i="3"/>
  <c r="BL24" i="3"/>
  <c r="G29" i="3"/>
  <c r="BA31" i="3"/>
  <c r="G39" i="3"/>
  <c r="BA41" i="3"/>
  <c r="BA50" i="3"/>
  <c r="BL52" i="3"/>
  <c r="G53" i="3"/>
  <c r="G63" i="3"/>
  <c r="BA64" i="3"/>
  <c r="BL69" i="3"/>
  <c r="G74" i="3"/>
  <c r="BA77" i="3"/>
  <c r="G79" i="3"/>
  <c r="BL88" i="3"/>
  <c r="G90" i="3"/>
  <c r="BL90" i="3"/>
  <c r="BL93" i="3"/>
  <c r="BL100" i="3"/>
  <c r="C23" i="71"/>
  <c r="U39" i="34"/>
  <c r="AA40" i="34"/>
  <c r="AC44" i="34"/>
  <c r="S36" i="34"/>
  <c r="S43" i="34"/>
  <c r="U43" i="34"/>
  <c r="AC43" i="34"/>
  <c r="AC40" i="34"/>
  <c r="AB40" i="34"/>
  <c r="AC39" i="34"/>
  <c r="U38" i="34"/>
  <c r="AB36" i="34"/>
  <c r="AB35" i="34"/>
  <c r="S35" i="34"/>
  <c r="W33" i="34"/>
  <c r="AB33" i="34"/>
  <c r="AA33" i="34"/>
  <c r="U27" i="34"/>
  <c r="S17" i="34"/>
  <c r="W23" i="34"/>
  <c r="AA23" i="34"/>
  <c r="AA21" i="34"/>
  <c r="U19" i="34"/>
  <c r="AC17" i="34"/>
  <c r="F78" i="34"/>
  <c r="G78" i="34" s="1"/>
  <c r="F15" i="34"/>
  <c r="AA15" i="34" s="1"/>
  <c r="J15" i="34"/>
  <c r="H15" i="34"/>
  <c r="F54" i="9"/>
  <c r="F32" i="15"/>
  <c r="F60" i="15" s="1"/>
  <c r="F52" i="9"/>
  <c r="D68" i="9"/>
  <c r="F30" i="69"/>
  <c r="F48" i="69" s="1"/>
  <c r="F31" i="12"/>
  <c r="F28" i="15"/>
  <c r="C28" i="15" s="1"/>
  <c r="F32" i="67"/>
  <c r="F60" i="67" s="1"/>
  <c r="F28" i="67"/>
  <c r="M18" i="15"/>
  <c r="M18" i="67"/>
  <c r="F30" i="11"/>
  <c r="C48" i="11" s="1"/>
  <c r="F29" i="6"/>
  <c r="G29" i="6"/>
  <c r="W23" i="21"/>
  <c r="AZ306" i="3"/>
  <c r="AZ571" i="3"/>
  <c r="U46" i="34"/>
  <c r="AB46" i="34"/>
  <c r="AZ357" i="3"/>
  <c r="AZ313" i="3"/>
  <c r="AZ394" i="3"/>
  <c r="S14" i="37"/>
  <c r="AA14" i="37"/>
  <c r="U45" i="33"/>
  <c r="AB45" i="33"/>
  <c r="AA44" i="34"/>
  <c r="S44" i="34"/>
  <c r="AA41" i="33"/>
  <c r="S41" i="33"/>
  <c r="AZ14" i="3"/>
  <c r="AZ334" i="3"/>
  <c r="AZ535" i="3"/>
  <c r="AZ557" i="3"/>
  <c r="AZ503" i="3"/>
  <c r="AZ513" i="3"/>
  <c r="AZ575" i="3"/>
  <c r="W36" i="34"/>
  <c r="AC36" i="34"/>
  <c r="S29" i="35"/>
  <c r="AA29" i="35"/>
  <c r="AA35" i="33"/>
  <c r="S20" i="35"/>
  <c r="AA34" i="33"/>
  <c r="AZ387" i="3"/>
  <c r="AZ362" i="3"/>
  <c r="AZ338" i="3"/>
  <c r="AZ390" i="3"/>
  <c r="AZ371" i="3"/>
  <c r="AZ351" i="3"/>
  <c r="AZ336" i="3"/>
  <c r="AZ305" i="3"/>
  <c r="AZ360" i="3"/>
  <c r="AZ523" i="3"/>
  <c r="AZ547" i="3"/>
  <c r="AZ508" i="3"/>
  <c r="AZ540" i="3"/>
  <c r="AZ502" i="3"/>
  <c r="U30" i="21"/>
  <c r="AB30" i="21"/>
  <c r="AB38" i="40"/>
  <c r="U38" i="40"/>
  <c r="AZ519" i="3"/>
  <c r="AZ531" i="3"/>
  <c r="AZ573" i="3"/>
  <c r="AZ583" i="3"/>
  <c r="AZ568" i="3"/>
  <c r="AZ576" i="3"/>
  <c r="AA14" i="34"/>
  <c r="G587" i="3"/>
  <c r="F9" i="33"/>
  <c r="AA9" i="33" s="1"/>
  <c r="J12" i="35"/>
  <c r="H12" i="36"/>
  <c r="F25" i="37"/>
  <c r="BA551" i="3"/>
  <c r="AZ551" i="3" s="1"/>
  <c r="BA550" i="3"/>
  <c r="BL548" i="3"/>
  <c r="AZ548" i="3" s="1"/>
  <c r="BL418" i="3"/>
  <c r="BL420" i="3"/>
  <c r="BL425" i="3"/>
  <c r="BL426" i="3"/>
  <c r="BA428" i="3"/>
  <c r="BA429" i="3"/>
  <c r="AZ429" i="3" s="1"/>
  <c r="BA430" i="3"/>
  <c r="AZ430" i="3" s="1"/>
  <c r="BA433" i="3"/>
  <c r="AZ433" i="3" s="1"/>
  <c r="BA435" i="3"/>
  <c r="BL437" i="3"/>
  <c r="AZ437" i="3" s="1"/>
  <c r="G440" i="3"/>
  <c r="BA441" i="3"/>
  <c r="AZ462" i="3"/>
  <c r="AB23" i="34"/>
  <c r="BL585" i="3"/>
  <c r="B75" i="43"/>
  <c r="H24" i="36"/>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3" i="3"/>
  <c r="BA446" i="3"/>
  <c r="BL448" i="3"/>
  <c r="AZ448" i="3" s="1"/>
  <c r="AZ451" i="3"/>
  <c r="BA457" i="3"/>
  <c r="G460" i="3"/>
  <c r="AZ469" i="3"/>
  <c r="BA473" i="3"/>
  <c r="AZ473" i="3" s="1"/>
  <c r="G380" i="3"/>
  <c r="G384" i="3"/>
  <c r="AZ539" i="3"/>
  <c r="AZ529" i="3"/>
  <c r="AZ537" i="3"/>
  <c r="AZ518" i="3"/>
  <c r="AZ546" i="3"/>
  <c r="AZ585" i="3"/>
  <c r="AB17" i="34"/>
  <c r="B79" i="43"/>
  <c r="H23" i="35"/>
  <c r="BL550" i="3"/>
  <c r="BL15" i="3"/>
  <c r="AZ15" i="3" s="1"/>
  <c r="BA398" i="3"/>
  <c r="BA399" i="3"/>
  <c r="AZ399" i="3" s="1"/>
  <c r="BL401" i="3"/>
  <c r="BL404" i="3"/>
  <c r="BL405" i="3"/>
  <c r="BL407" i="3"/>
  <c r="AZ407" i="3" s="1"/>
  <c r="BA412" i="3"/>
  <c r="AZ412" i="3" s="1"/>
  <c r="BA414" i="3"/>
  <c r="BA415" i="3"/>
  <c r="BA416" i="3"/>
  <c r="AZ416" i="3" s="1"/>
  <c r="BA418" i="3"/>
  <c r="AZ418" i="3" s="1"/>
  <c r="BA421" i="3"/>
  <c r="BA423" i="3"/>
  <c r="AZ423" i="3" s="1"/>
  <c r="G430" i="3"/>
  <c r="AZ443" i="3"/>
  <c r="BL449" i="3"/>
  <c r="BL450" i="3"/>
  <c r="BA452" i="3"/>
  <c r="BL455" i="3"/>
  <c r="G459" i="3"/>
  <c r="BA460" i="3"/>
  <c r="BA461" i="3"/>
  <c r="BL467" i="3"/>
  <c r="BL468" i="3"/>
  <c r="BA470" i="3"/>
  <c r="BL487" i="3"/>
  <c r="AZ487" i="3" s="1"/>
  <c r="BL308" i="3"/>
  <c r="AZ308" i="3" s="1"/>
  <c r="G387" i="3"/>
  <c r="BL587" i="3"/>
  <c r="AZ587" i="3" s="1"/>
  <c r="G574" i="3"/>
  <c r="BL16" i="3"/>
  <c r="AZ16" i="3" s="1"/>
  <c r="BA401" i="3"/>
  <c r="BA403" i="3"/>
  <c r="BA404" i="3"/>
  <c r="AZ404" i="3" s="1"/>
  <c r="BA405" i="3"/>
  <c r="BL410" i="3"/>
  <c r="G412" i="3"/>
  <c r="G418" i="3"/>
  <c r="G419" i="3"/>
  <c r="BA422" i="3"/>
  <c r="BA436" i="3"/>
  <c r="BL441" i="3"/>
  <c r="BL442" i="3"/>
  <c r="BL445" i="3"/>
  <c r="BL446" i="3"/>
  <c r="BA454" i="3"/>
  <c r="BA458" i="3"/>
  <c r="AZ458" i="3" s="1"/>
  <c r="BA459" i="3"/>
  <c r="G463" i="3"/>
  <c r="G464" i="3"/>
  <c r="BL464" i="3"/>
  <c r="AZ464" i="3" s="1"/>
  <c r="AZ483"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A156" i="3"/>
  <c r="AZ156" i="3" s="1"/>
  <c r="BL473" i="3"/>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G280" i="3"/>
  <c r="G282" i="3"/>
  <c r="BL285" i="3"/>
  <c r="BL287" i="3"/>
  <c r="BA290" i="3"/>
  <c r="G297" i="3"/>
  <c r="BL299" i="3"/>
  <c r="G300" i="3"/>
  <c r="BL113" i="3"/>
  <c r="BL115" i="3"/>
  <c r="AZ115" i="3" s="1"/>
  <c r="BA118" i="3"/>
  <c r="AZ118" i="3" s="1"/>
  <c r="BL118" i="3"/>
  <c r="BA122" i="3"/>
  <c r="AZ122" i="3" s="1"/>
  <c r="BL125" i="3"/>
  <c r="AZ125" i="3" s="1"/>
  <c r="BL126" i="3"/>
  <c r="BA144" i="3"/>
  <c r="AZ144" i="3" s="1"/>
  <c r="BL424"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AZ126" i="3"/>
  <c r="BA157" i="3"/>
  <c r="AZ157" i="3" s="1"/>
  <c r="BL161"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BA36" i="3"/>
  <c r="BL38" i="3"/>
  <c r="AZ38" i="3" s="1"/>
  <c r="BA39" i="3"/>
  <c r="BL47" i="3"/>
  <c r="AZ47" i="3" s="1"/>
  <c r="G49" i="3"/>
  <c r="G52" i="3"/>
  <c r="BA52" i="3"/>
  <c r="AZ52" i="3" s="1"/>
  <c r="BA53" i="3"/>
  <c r="BA54" i="3"/>
  <c r="BL57" i="3"/>
  <c r="G62" i="3"/>
  <c r="BL62" i="3"/>
  <c r="BL63" i="3"/>
  <c r="G65" i="3"/>
  <c r="BL65" i="3"/>
  <c r="AZ65" i="3" s="1"/>
  <c r="BL66" i="3"/>
  <c r="BL67" i="3"/>
  <c r="AZ67" i="3" s="1"/>
  <c r="G69" i="3"/>
  <c r="G70" i="3"/>
  <c r="BL70" i="3"/>
  <c r="BL71" i="3"/>
  <c r="AZ71" i="3" s="1"/>
  <c r="BA78" i="3"/>
  <c r="BA80" i="3"/>
  <c r="G84" i="3"/>
  <c r="BL84" i="3"/>
  <c r="AZ84" i="3" s="1"/>
  <c r="BA89" i="3"/>
  <c r="BL92" i="3"/>
  <c r="BL96" i="3"/>
  <c r="G102" i="3"/>
  <c r="BL110" i="3"/>
  <c r="C44" i="71"/>
  <c r="D43" i="71"/>
  <c r="C52" i="71"/>
  <c r="D51" i="71"/>
  <c r="V24" i="71"/>
  <c r="E23" i="71"/>
  <c r="E22" i="71" s="1"/>
  <c r="E21" i="71" s="1"/>
  <c r="E20" i="71" s="1"/>
  <c r="BA153" i="3"/>
  <c r="BL155" i="3"/>
  <c r="AZ155" i="3" s="1"/>
  <c r="BA164" i="3"/>
  <c r="AZ164" i="3" s="1"/>
  <c r="BA166" i="3"/>
  <c r="AZ166" i="3" s="1"/>
  <c r="BA169" i="3"/>
  <c r="AZ169" i="3" s="1"/>
  <c r="BL171" i="3"/>
  <c r="AZ171" i="3" s="1"/>
  <c r="BA176" i="3"/>
  <c r="AZ176" i="3" s="1"/>
  <c r="BA178" i="3"/>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A28" i="3"/>
  <c r="AZ62" i="3"/>
  <c r="AZ64" i="3"/>
  <c r="AZ70" i="3"/>
  <c r="BA73" i="3"/>
  <c r="C47" i="71"/>
  <c r="D47" i="71" s="1"/>
  <c r="D46"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BA51" i="3"/>
  <c r="G54" i="3"/>
  <c r="G55" i="3"/>
  <c r="BL56" i="3"/>
  <c r="BA58" i="3"/>
  <c r="BL59" i="3"/>
  <c r="AZ59" i="3" s="1"/>
  <c r="BL60" i="3"/>
  <c r="BA61" i="3"/>
  <c r="AZ61" i="3" s="1"/>
  <c r="BA68" i="3"/>
  <c r="G76" i="3"/>
  <c r="BL77" i="3"/>
  <c r="AZ77" i="3" s="1"/>
  <c r="BL81" i="3"/>
  <c r="BA82" i="3"/>
  <c r="AZ82" i="3" s="1"/>
  <c r="BL83" i="3"/>
  <c r="G88" i="3"/>
  <c r="BA90" i="3"/>
  <c r="BA94" i="3"/>
  <c r="BL99" i="3"/>
  <c r="G101" i="3"/>
  <c r="BA101" i="3"/>
  <c r="BA105" i="3"/>
  <c r="F40" i="68"/>
  <c r="C21" i="68"/>
  <c r="D31" i="71"/>
  <c r="C32" i="71"/>
  <c r="C55" i="71"/>
  <c r="D54" i="71"/>
  <c r="N67" i="71"/>
  <c r="B66" i="71"/>
  <c r="F66" i="71"/>
  <c r="Q67" i="71"/>
  <c r="BL29" i="3"/>
  <c r="BA37" i="3"/>
  <c r="BL39" i="3"/>
  <c r="BA45" i="3"/>
  <c r="BA46" i="3"/>
  <c r="BL49" i="3"/>
  <c r="BL50" i="3"/>
  <c r="AZ50" i="3" s="1"/>
  <c r="BL51" i="3"/>
  <c r="BL53" i="3"/>
  <c r="BA56" i="3"/>
  <c r="BA57" i="3"/>
  <c r="AZ57" i="3" s="1"/>
  <c r="BL58" i="3"/>
  <c r="BA60" i="3"/>
  <c r="BA63" i="3"/>
  <c r="BA66" i="3"/>
  <c r="AZ66" i="3" s="1"/>
  <c r="BL72" i="3"/>
  <c r="AZ72" i="3" s="1"/>
  <c r="BL75" i="3"/>
  <c r="C40" i="68"/>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5"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I1" i="73"/>
  <c r="B39" i="1" s="1"/>
  <c r="F51" i="67"/>
  <c r="F65" i="67"/>
  <c r="J53" i="67"/>
  <c r="J57" i="67"/>
  <c r="J55" i="67" s="1"/>
  <c r="J58" i="67" s="1"/>
  <c r="Q50" i="67" s="1"/>
  <c r="L56" i="67"/>
  <c r="I54" i="67"/>
  <c r="M7" i="15"/>
  <c r="F50" i="15"/>
  <c r="F51" i="15"/>
  <c r="F71" i="15"/>
  <c r="F66" i="67"/>
  <c r="Q71" i="67"/>
  <c r="D103" i="9"/>
  <c r="C27" i="67"/>
  <c r="F71" i="67"/>
  <c r="C27" i="15"/>
  <c r="F65" i="15"/>
  <c r="G20" i="9"/>
  <c r="C103" i="9"/>
  <c r="N59" i="67"/>
  <c r="L59" i="67"/>
  <c r="L58" i="67"/>
  <c r="M59" i="67"/>
  <c r="B13" i="70"/>
  <c r="M7" i="67"/>
  <c r="J6" i="67" s="1"/>
  <c r="F50" i="67"/>
  <c r="F68" i="67"/>
  <c r="F64" i="67"/>
  <c r="C36" i="68"/>
  <c r="D9" i="69"/>
  <c r="C36" i="69"/>
  <c r="D9" i="68"/>
  <c r="D7" i="73"/>
  <c r="C16" i="67"/>
  <c r="F9" i="15"/>
  <c r="M29" i="15"/>
  <c r="C76" i="15"/>
  <c r="F40" i="15"/>
  <c r="F36" i="15"/>
  <c r="L47" i="15"/>
  <c r="D4" i="73"/>
  <c r="F6" i="15"/>
  <c r="D3" i="73"/>
  <c r="F16" i="15"/>
  <c r="M23" i="15"/>
  <c r="F38" i="15"/>
  <c r="M9" i="15"/>
  <c r="D5" i="73"/>
  <c r="J15" i="15"/>
  <c r="M24" i="15"/>
  <c r="S7" i="82" l="1"/>
  <c r="AA7" i="82"/>
  <c r="R49" i="82" s="1"/>
  <c r="AB7" i="82"/>
  <c r="T49" i="82" s="1"/>
  <c r="G49" i="82" s="1"/>
  <c r="U7" i="82"/>
  <c r="AC7" i="82"/>
  <c r="V49" i="82" s="1"/>
  <c r="I49" i="82" s="1"/>
  <c r="W7" i="82"/>
  <c r="N59" i="15"/>
  <c r="L58" i="15"/>
  <c r="Q60" i="15" s="1"/>
  <c r="L59" i="15"/>
  <c r="Q74" i="15" s="1"/>
  <c r="M59" i="15"/>
  <c r="F66" i="15"/>
  <c r="F64" i="15"/>
  <c r="Q71" i="15"/>
  <c r="C6" i="15"/>
  <c r="C32" i="15" s="1"/>
  <c r="F68" i="15"/>
  <c r="J7" i="36"/>
  <c r="AZ49" i="3"/>
  <c r="AZ353" i="3"/>
  <c r="AZ130" i="3"/>
  <c r="AZ244" i="3"/>
  <c r="AZ239" i="3"/>
  <c r="AZ397" i="3"/>
  <c r="AZ249" i="3"/>
  <c r="AZ218" i="3"/>
  <c r="AZ461" i="3"/>
  <c r="AZ441" i="3"/>
  <c r="AZ476" i="3"/>
  <c r="AZ444" i="3"/>
  <c r="AZ245" i="3"/>
  <c r="AC25" i="37"/>
  <c r="W25" i="37"/>
  <c r="AZ28" i="3"/>
  <c r="AZ422" i="3"/>
  <c r="AZ401" i="3"/>
  <c r="AZ460" i="3"/>
  <c r="AZ415" i="3"/>
  <c r="AZ398" i="3"/>
  <c r="U25" i="37"/>
  <c r="AB25" i="37"/>
  <c r="U12" i="35"/>
  <c r="AB12" i="35"/>
  <c r="J6" i="15"/>
  <c r="J18" i="15" s="1"/>
  <c r="E28" i="6"/>
  <c r="K14" i="1" s="1"/>
  <c r="K16" i="1" s="1"/>
  <c r="AZ177" i="3"/>
  <c r="AZ133" i="3"/>
  <c r="AC9" i="36"/>
  <c r="W9" i="36"/>
  <c r="AA23" i="36"/>
  <c r="S23" i="36"/>
  <c r="AB9" i="34"/>
  <c r="U9" i="34"/>
  <c r="AZ271" i="3"/>
  <c r="C22" i="71"/>
  <c r="D23" i="71"/>
  <c r="AC9" i="33"/>
  <c r="W9" i="33"/>
  <c r="AB15" i="34"/>
  <c r="U15" i="34"/>
  <c r="W15" i="34"/>
  <c r="AC15" i="34"/>
  <c r="C30" i="11"/>
  <c r="G26" i="43"/>
  <c r="J26" i="43"/>
  <c r="E26" i="43"/>
  <c r="P6" i="1"/>
  <c r="C13" i="12" s="1"/>
  <c r="Q16" i="1"/>
  <c r="F27" i="69" s="1"/>
  <c r="C47" i="69" s="1"/>
  <c r="D45" i="69" s="1"/>
  <c r="E59" i="40"/>
  <c r="H16" i="1"/>
  <c r="AZ111" i="3"/>
  <c r="D83" i="71"/>
  <c r="C82" i="71"/>
  <c r="D82" i="71" s="1"/>
  <c r="O65" i="71"/>
  <c r="D66" i="71"/>
  <c r="O66" i="71"/>
  <c r="AZ75" i="3"/>
  <c r="AZ63" i="3"/>
  <c r="N65" i="71"/>
  <c r="N66" i="71"/>
  <c r="T32" i="71"/>
  <c r="D32" i="71"/>
  <c r="AZ105" i="3"/>
  <c r="AZ94" i="3"/>
  <c r="AZ58" i="3"/>
  <c r="AZ51" i="3"/>
  <c r="AZ178" i="3"/>
  <c r="AZ53" i="3"/>
  <c r="AZ29" i="3"/>
  <c r="AZ274" i="3"/>
  <c r="AZ223" i="3"/>
  <c r="AZ453" i="3"/>
  <c r="AZ282" i="3"/>
  <c r="AZ273" i="3"/>
  <c r="AZ454" i="3"/>
  <c r="AZ405" i="3"/>
  <c r="AZ421" i="3"/>
  <c r="AZ414" i="3"/>
  <c r="AZ435" i="3"/>
  <c r="AZ428" i="3"/>
  <c r="AA25" i="37"/>
  <c r="S25" i="37"/>
  <c r="C40" i="71"/>
  <c r="D39" i="71"/>
  <c r="AZ101" i="3"/>
  <c r="D44" i="71"/>
  <c r="T44" i="71"/>
  <c r="AZ39" i="3"/>
  <c r="AZ294" i="3"/>
  <c r="AZ457" i="3"/>
  <c r="U12" i="36"/>
  <c r="AB12" i="36"/>
  <c r="G5" i="3"/>
  <c r="B3" i="3" s="1"/>
  <c r="E212" i="3" s="1"/>
  <c r="B19" i="71"/>
  <c r="B18" i="71" s="1"/>
  <c r="B17" i="71" s="1"/>
  <c r="B16" i="71" s="1"/>
  <c r="S20" i="71"/>
  <c r="C70" i="71"/>
  <c r="D70" i="71" s="1"/>
  <c r="D71" i="71"/>
  <c r="C36" i="71"/>
  <c r="D35" i="71"/>
  <c r="AZ108" i="3"/>
  <c r="AZ45" i="3"/>
  <c r="AZ238" i="3"/>
  <c r="AZ459" i="3"/>
  <c r="AZ403" i="3"/>
  <c r="U23" i="35"/>
  <c r="AB23" i="35"/>
  <c r="AB24" i="36"/>
  <c r="U24" i="36"/>
  <c r="AZ550" i="3"/>
  <c r="W12" i="35"/>
  <c r="AC12" i="35"/>
  <c r="T28" i="71"/>
  <c r="D28" i="71"/>
  <c r="U28" i="71" s="1"/>
  <c r="C27" i="71"/>
  <c r="D79" i="71"/>
  <c r="C78" i="71"/>
  <c r="D78" i="71" s="1"/>
  <c r="C56" i="71"/>
  <c r="D55" i="71"/>
  <c r="T52" i="71"/>
  <c r="D52" i="71"/>
  <c r="G16" i="1"/>
  <c r="F10" i="39" s="1"/>
  <c r="J7" i="37"/>
  <c r="K1" i="73"/>
  <c r="E355" i="3"/>
  <c r="E469" i="3"/>
  <c r="E427" i="3"/>
  <c r="E194" i="3"/>
  <c r="E348" i="3"/>
  <c r="E520" i="3"/>
  <c r="E284" i="3"/>
  <c r="E323" i="3"/>
  <c r="E375" i="3"/>
  <c r="E266" i="3"/>
  <c r="E39" i="3"/>
  <c r="E462" i="3"/>
  <c r="E459" i="3"/>
  <c r="E195" i="3"/>
  <c r="E504" i="3"/>
  <c r="E307"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453" i="3"/>
  <c r="E314" i="3"/>
  <c r="E511" i="3"/>
  <c r="E99" i="3"/>
  <c r="E193" i="3"/>
  <c r="E519" i="3"/>
  <c r="E573" i="3"/>
  <c r="E527" i="3"/>
  <c r="E457" i="3"/>
  <c r="E562"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J10" i="40"/>
  <c r="AC10" i="40" s="1"/>
  <c r="H10" i="39"/>
  <c r="U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C32" i="9"/>
  <c r="Q60" i="67"/>
  <c r="Q73" i="67"/>
  <c r="M11" i="67"/>
  <c r="J10" i="67" s="1"/>
  <c r="J5" i="67" s="1"/>
  <c r="F11" i="15"/>
  <c r="M11" i="15"/>
  <c r="J10" i="15" s="1"/>
  <c r="F11" i="67"/>
  <c r="F1" i="15"/>
  <c r="Q52" i="15"/>
  <c r="J18" i="67"/>
  <c r="F1" i="67"/>
  <c r="Q52" i="67"/>
  <c r="Q61" i="67"/>
  <c r="Q74" i="67"/>
  <c r="AE11" i="1"/>
  <c r="AE6" i="1"/>
  <c r="AE9" i="1"/>
  <c r="F27" i="68"/>
  <c r="AE7" i="1"/>
  <c r="AE8" i="1"/>
  <c r="AE12" i="1"/>
  <c r="AE10" i="1"/>
  <c r="G1" i="73"/>
  <c r="F41" i="67"/>
  <c r="C16" i="15"/>
  <c r="G53" i="82" l="1"/>
  <c r="H53" i="82" s="1"/>
  <c r="G54" i="82"/>
  <c r="H54" i="82" s="1"/>
  <c r="E49" i="82"/>
  <c r="R50" i="82"/>
  <c r="S7" i="36"/>
  <c r="I53" i="82"/>
  <c r="J53" i="82" s="1"/>
  <c r="I54" i="82"/>
  <c r="J54" i="82" s="1"/>
  <c r="Q73" i="15"/>
  <c r="J5" i="15"/>
  <c r="J24" i="15" s="1"/>
  <c r="Q61" i="15"/>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82" i="3"/>
  <c r="E154" i="3"/>
  <c r="E66" i="3"/>
  <c r="E341" i="3"/>
  <c r="E464" i="3"/>
  <c r="E138" i="3"/>
  <c r="E312" i="3"/>
  <c r="E20" i="3"/>
  <c r="E226" i="3"/>
  <c r="E190" i="3"/>
  <c r="E383" i="3"/>
  <c r="C21" i="71"/>
  <c r="D22" i="71"/>
  <c r="E110" i="3"/>
  <c r="E222" i="3"/>
  <c r="E36" i="3"/>
  <c r="E419" i="3"/>
  <c r="E26" i="3"/>
  <c r="E332"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461" i="3"/>
  <c r="E413" i="3"/>
  <c r="E179" i="3"/>
  <c r="E542" i="3"/>
  <c r="E436" i="3"/>
  <c r="E354" i="3"/>
  <c r="E416" i="3"/>
  <c r="E165" i="3"/>
  <c r="E540" i="3"/>
  <c r="E83" i="3"/>
  <c r="E308" i="3"/>
  <c r="E491" i="3"/>
  <c r="F45" i="69"/>
  <c r="C29" i="69"/>
  <c r="D27" i="69" s="1"/>
  <c r="E386" i="3"/>
  <c r="E566" i="3"/>
  <c r="E265" i="3"/>
  <c r="E289" i="3"/>
  <c r="E325" i="3"/>
  <c r="E79" i="3"/>
  <c r="E372" i="3"/>
  <c r="E25" i="3"/>
  <c r="E490" i="3"/>
  <c r="E116" i="3"/>
  <c r="E232" i="3"/>
  <c r="E243" i="3"/>
  <c r="E556" i="3"/>
  <c r="E525" i="3"/>
  <c r="E251" i="3"/>
  <c r="E482" i="3"/>
  <c r="E513" i="3"/>
  <c r="E160" i="3"/>
  <c r="E136" i="3"/>
  <c r="E127" i="3"/>
  <c r="E187" i="3"/>
  <c r="E87" i="3"/>
  <c r="AD6" i="3"/>
  <c r="E163" i="3"/>
  <c r="E374" i="3"/>
  <c r="E584" i="3"/>
  <c r="E297" i="3"/>
  <c r="E149" i="3"/>
  <c r="E48" i="3"/>
  <c r="E446" i="3"/>
  <c r="E500" i="3"/>
  <c r="E244" i="3"/>
  <c r="E521" i="3"/>
  <c r="E552" i="3"/>
  <c r="E176" i="3"/>
  <c r="E123" i="3"/>
  <c r="E299" i="3"/>
  <c r="E15" i="3"/>
  <c r="E346" i="3"/>
  <c r="E463" i="3"/>
  <c r="E507" i="3"/>
  <c r="E188" i="3"/>
  <c r="E342" i="3"/>
  <c r="E41" i="3"/>
  <c r="E451" i="3"/>
  <c r="E140" i="3"/>
  <c r="E86" i="3"/>
  <c r="E42" i="3"/>
  <c r="E81" i="3"/>
  <c r="E59" i="3"/>
  <c r="E122" i="3"/>
  <c r="E98" i="3"/>
  <c r="E167" i="3"/>
  <c r="E488" i="3"/>
  <c r="Y6" i="3"/>
  <c r="H6" i="3" s="1"/>
  <c r="E259" i="3"/>
  <c r="E373" i="3"/>
  <c r="E47" i="3"/>
  <c r="E582" i="3"/>
  <c r="E19" i="3"/>
  <c r="E209" i="3"/>
  <c r="E57" i="3"/>
  <c r="E421" i="3"/>
  <c r="E250" i="3"/>
  <c r="E90" i="3"/>
  <c r="E524" i="3"/>
  <c r="E364" i="3"/>
  <c r="AQ6" i="3"/>
  <c r="E170" i="3"/>
  <c r="E60" i="3"/>
  <c r="E178" i="3"/>
  <c r="J6" i="3"/>
  <c r="E493" i="3"/>
  <c r="E80" i="3"/>
  <c r="E412" i="3"/>
  <c r="E452" i="3"/>
  <c r="T6" i="3"/>
  <c r="E113" i="3"/>
  <c r="E129" i="3"/>
  <c r="E494" i="3"/>
  <c r="E84" i="3"/>
  <c r="E286" i="3"/>
  <c r="E24" i="3"/>
  <c r="E58" i="3"/>
  <c r="E460" i="3"/>
  <c r="E141" i="3"/>
  <c r="E365" i="3"/>
  <c r="E62" i="3"/>
  <c r="E340" i="3"/>
  <c r="E112" i="3"/>
  <c r="E392" i="3"/>
  <c r="E234" i="3"/>
  <c r="E38" i="3"/>
  <c r="E473" i="3"/>
  <c r="L6" i="3"/>
  <c r="E276" i="3"/>
  <c r="E108" i="3"/>
  <c r="E401" i="3"/>
  <c r="E376" i="3"/>
  <c r="E486" i="3"/>
  <c r="E393" i="3"/>
  <c r="E329" i="3"/>
  <c r="E370" i="3"/>
  <c r="E324" i="3"/>
  <c r="E356" i="3"/>
  <c r="E104" i="3"/>
  <c r="E13" i="3"/>
  <c r="E512" i="3"/>
  <c r="E534" i="3"/>
  <c r="E205" i="3"/>
  <c r="AF6" i="3"/>
  <c r="E522" i="3"/>
  <c r="E96" i="3"/>
  <c r="E391" i="3"/>
  <c r="E21" i="3"/>
  <c r="E68" i="3"/>
  <c r="E371" i="3"/>
  <c r="E349" i="3"/>
  <c r="AP6" i="3"/>
  <c r="E539" i="3"/>
  <c r="E258" i="3"/>
  <c r="E430" i="3"/>
  <c r="E51" i="3"/>
  <c r="E65" i="3"/>
  <c r="E155" i="3"/>
  <c r="E398" i="3"/>
  <c r="E101" i="3"/>
  <c r="E218" i="3"/>
  <c r="E50" i="3"/>
  <c r="E147" i="3"/>
  <c r="E52" i="3"/>
  <c r="E339" i="3"/>
  <c r="E137" i="3"/>
  <c r="E455" i="3"/>
  <c r="E43" i="3"/>
  <c r="E333" i="3"/>
  <c r="E202" i="3"/>
  <c r="E40" i="3"/>
  <c r="E498" i="3"/>
  <c r="E440" i="3"/>
  <c r="E564" i="3"/>
  <c r="E223" i="3"/>
  <c r="E326" i="3"/>
  <c r="E35" i="3"/>
  <c r="E78" i="3"/>
  <c r="E225" i="3"/>
  <c r="E470" i="3"/>
  <c r="E360" i="3"/>
  <c r="E456" i="3"/>
  <c r="E197" i="3"/>
  <c r="E287" i="3"/>
  <c r="E206" i="3"/>
  <c r="E174" i="3"/>
  <c r="E75" i="3"/>
  <c r="E281" i="3"/>
  <c r="E283" i="3"/>
  <c r="E184" i="3"/>
  <c r="E467" i="3"/>
  <c r="E37" i="3"/>
  <c r="E502" i="3"/>
  <c r="F28" i="12"/>
  <c r="C29" i="12" s="1"/>
  <c r="D28" i="12" s="1"/>
  <c r="F10" i="40"/>
  <c r="S10" i="40" s="1"/>
  <c r="J10" i="39"/>
  <c r="W10" i="39" s="1"/>
  <c r="E3" i="6"/>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C26" i="71"/>
  <c r="D26" i="71" s="1"/>
  <c r="D27" i="71"/>
  <c r="D36" i="71"/>
  <c r="T36" i="71"/>
  <c r="D56" i="71"/>
  <c r="T56" i="71"/>
  <c r="R36" i="36"/>
  <c r="E264" i="3"/>
  <c r="E381" i="3"/>
  <c r="E144" i="3"/>
  <c r="E23" i="3"/>
  <c r="E300" i="3"/>
  <c r="E103" i="3"/>
  <c r="E425" i="3"/>
  <c r="E76" i="3"/>
  <c r="E363" i="3"/>
  <c r="E192" i="3"/>
  <c r="E56" i="3"/>
  <c r="E435" i="3"/>
  <c r="I3" i="6"/>
  <c r="E541" i="3"/>
  <c r="R6" i="3"/>
  <c r="E199" i="3"/>
  <c r="E510" i="3"/>
  <c r="E33" i="3"/>
  <c r="E492" i="3"/>
  <c r="E249" i="3"/>
  <c r="E46" i="3"/>
  <c r="E484" i="3"/>
  <c r="E544" i="3"/>
  <c r="E292" i="3"/>
  <c r="E152" i="3"/>
  <c r="E479" i="3"/>
  <c r="E517" i="3"/>
  <c r="E255" i="3"/>
  <c r="E466" i="3"/>
  <c r="E499"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AC10" i="39" l="1"/>
  <c r="C50" i="82"/>
  <c r="R24" i="31" s="1"/>
  <c r="C49" i="82"/>
  <c r="E54" i="82"/>
  <c r="F54" i="82" s="1"/>
  <c r="E53" i="82"/>
  <c r="F53" i="82" s="1"/>
  <c r="D21" i="71"/>
  <c r="C20" i="71"/>
  <c r="L36" i="43"/>
  <c r="L37" i="43" s="1"/>
  <c r="O37" i="43" s="1"/>
  <c r="I18" i="81"/>
  <c r="R50" i="34"/>
  <c r="C49" i="34" s="1"/>
  <c r="C3" i="81" s="1"/>
  <c r="G54" i="34"/>
  <c r="H54" i="34" s="1"/>
  <c r="F25" i="12"/>
  <c r="C26" i="12" s="1"/>
  <c r="D25" i="12" s="1"/>
  <c r="AC6" i="3"/>
  <c r="E6" i="3" s="1"/>
  <c r="D116" i="43"/>
  <c r="F22" i="68"/>
  <c r="C44" i="68" s="1"/>
  <c r="D41" i="68" s="1"/>
  <c r="F22" i="11"/>
  <c r="C23" i="11" s="1"/>
  <c r="F24" i="67"/>
  <c r="C24" i="67" s="1"/>
  <c r="F24" i="15"/>
  <c r="C24" i="15" s="1"/>
  <c r="F22" i="69"/>
  <c r="F41" i="69" s="1"/>
  <c r="E49" i="34"/>
  <c r="E54" i="34" s="1"/>
  <c r="F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67"/>
  <c r="C17" i="15"/>
  <c r="D36" i="81" l="1"/>
  <c r="J8" i="81" s="1"/>
  <c r="B3" i="82"/>
  <c r="B2" i="82"/>
  <c r="M37" i="43"/>
  <c r="O36" i="43"/>
  <c r="Q37" i="43"/>
  <c r="P36" i="43"/>
  <c r="N37" i="43"/>
  <c r="Q36" i="43"/>
  <c r="D20" i="71"/>
  <c r="U20" i="71" s="1"/>
  <c r="C19" i="71"/>
  <c r="T20" i="71"/>
  <c r="P37" i="43"/>
  <c r="M36" i="43"/>
  <c r="N36" i="43"/>
  <c r="C18" i="81"/>
  <c r="E16" i="81" s="1"/>
  <c r="C17" i="81"/>
  <c r="C50" i="34"/>
  <c r="I54" i="34"/>
  <c r="J54" i="34" s="1"/>
  <c r="E53" i="34"/>
  <c r="F53" i="34" s="1"/>
  <c r="C4" i="81"/>
  <c r="J3" i="81"/>
  <c r="J4" i="81" s="1"/>
  <c r="C44" i="11"/>
  <c r="D41" i="11" s="1"/>
  <c r="C26" i="11"/>
  <c r="D22" i="11" s="1"/>
  <c r="C23" i="68"/>
  <c r="C26" i="68"/>
  <c r="D22" i="68" s="1"/>
  <c r="F41" i="68"/>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16" i="81"/>
  <c r="C23" i="8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C7" i="81"/>
  <c r="C28" i="81" s="1"/>
  <c r="C27" i="8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C24" i="81"/>
  <c r="C30" i="81" s="1"/>
  <c r="C31" i="81" s="1"/>
  <c r="D37" i="81"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K24" i="81" l="1"/>
  <c r="G37" i="81"/>
  <c r="D38" i="81"/>
  <c r="J9" i="81"/>
  <c r="C15" i="71"/>
  <c r="T16" i="71"/>
  <c r="D16" i="71"/>
  <c r="U16" i="71" s="1"/>
  <c r="E48" i="21"/>
  <c r="E52" i="21" s="1"/>
  <c r="F52"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K65" i="40"/>
  <c r="L63" i="40"/>
  <c r="I53" i="21" l="1"/>
  <c r="J53" i="21" s="1"/>
  <c r="J10" i="81"/>
  <c r="C45" i="81"/>
  <c r="C44" i="81"/>
  <c r="C14" i="71"/>
  <c r="D15" i="71"/>
  <c r="C39" i="81"/>
  <c r="C40" i="81" s="1"/>
  <c r="E39" i="81"/>
  <c r="E40" i="81"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4" i="31" l="1"/>
  <c r="R26" i="31"/>
  <c r="S26" i="31" s="1"/>
  <c r="R25" i="3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S25" i="31" l="1"/>
  <c r="S22" i="31" s="1"/>
  <c r="R22" i="31"/>
  <c r="E10" i="74"/>
  <c r="B10" i="74"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D14" i="74" l="1"/>
  <c r="G14" i="74"/>
  <c r="B20" i="31"/>
  <c r="B21" i="3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10" i="1"/>
  <c r="AO11" i="1"/>
  <c r="AO8"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2" i="9"/>
  <c r="D53" i="9"/>
  <c r="B20" i="72"/>
  <c r="C6" i="74"/>
  <c r="D8" i="52"/>
  <c r="N58" i="9"/>
  <c r="P57" i="9"/>
  <c r="C104" i="9"/>
  <c r="H4" i="52"/>
  <c r="D15" i="53"/>
  <c r="B31" i="72"/>
  <c r="B32" i="72"/>
  <c r="I4" i="52"/>
  <c r="C105" i="9"/>
  <c r="M48" i="9"/>
  <c r="H108" i="9"/>
  <c r="C81" i="9"/>
  <c r="B53" i="72"/>
  <c r="G4" i="52"/>
  <c r="B52" i="72"/>
  <c r="B30" i="72"/>
  <c r="D13" i="53"/>
  <c r="D14" i="53"/>
  <c r="N61" i="9"/>
  <c r="N59" i="9"/>
  <c r="N60" i="9"/>
  <c r="F4" i="52"/>
  <c r="B51" i="72"/>
  <c r="C5" i="74"/>
  <c r="D4" i="52"/>
  <c r="B47" i="72"/>
  <c r="C68" i="9"/>
  <c r="D54" i="9"/>
  <c r="C72" i="9"/>
  <c r="C79" i="9"/>
  <c r="C80" i="9"/>
  <c r="E80" i="9"/>
  <c r="E81" i="9"/>
  <c r="C93" i="9"/>
  <c r="C86" i="9"/>
  <c r="H119" i="9"/>
  <c r="H5" i="52"/>
  <c r="H107" i="9"/>
  <c r="D122" i="9"/>
  <c r="D123" i="9"/>
  <c r="D9" i="52"/>
  <c r="C64" i="9"/>
  <c r="C63" i="9"/>
  <c r="C67" i="9"/>
  <c r="D59" i="9"/>
  <c r="M55" i="9"/>
  <c r="B49" i="72"/>
  <c r="D5" i="53"/>
  <c r="D6" i="53"/>
  <c r="B22" i="72"/>
  <c r="C78" i="9"/>
  <c r="C73" i="9"/>
  <c r="E4" i="52"/>
  <c r="B48" i="72"/>
  <c r="G118" i="9"/>
  <c r="F118" i="9"/>
  <c r="F119" i="9"/>
  <c r="F5" i="52"/>
  <c r="C96" i="9"/>
  <c r="E96" i="9"/>
  <c r="E97" i="9"/>
  <c r="D55" i="9"/>
  <c r="M53" i="9"/>
  <c r="N57" i="9"/>
  <c r="H101" i="9"/>
  <c r="D45" i="9"/>
  <c r="C85" i="9"/>
  <c r="C95" i="9"/>
  <c r="C97" i="9"/>
  <c r="D58" i="9"/>
  <c r="D56" i="9"/>
  <c r="M54" i="9"/>
  <c r="H102" i="9"/>
  <c r="D7" i="53"/>
  <c r="B21"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<sst xmlns="http://schemas.openxmlformats.org/spreadsheetml/2006/main" count="8446" uniqueCount="3621">
  <si>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</si>
  <si>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</si>
  <si>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</si>
  <si>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</si>
  <si>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</si>
  <si>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</si>
  <si>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</si>
  <si>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</si>
  <si>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</si>
  <si>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</si>
  <si>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</si>
  <si>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</si>
  <si>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</si>
  <si>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</si>
  <si>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</si>
  <si>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</si>
  <si>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</si>
  <si>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</si>
  <si>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</si>
  <si>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</si>
  <si>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</si>
  <si>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</si>
  <si>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</si>
  <si>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</si>
  <si>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</si>
  <si>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</si>
  <si>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</si>
  <si>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</si>
  <si>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</si>
  <si>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</si>
  <si>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</si>
  <si>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</si>
  <si>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</si>
  <si>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</si>
  <si>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</si>
  <si>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</si>
  <si>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</si>
  <si>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</si>
  <si>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</si>
  <si>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</si>
  <si>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</si>
  <si>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</si>
  <si>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</si>
  <si>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</si>
  <si>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</si>
  <si>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</si>
  <si>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</si>
  <si>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</si>
  <si>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</si>
  <si>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</si>
  <si>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</si>
  <si>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</si>
  <si>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</si>
  <si>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</si>
  <si>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</si>
  <si>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</si>
  <si>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</si>
  <si>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</si>
  <si>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</si>
  <si>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</si>
  <si>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</si>
  <si>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</si>
  <si>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</si>
  <si>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</si>
  <si>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</si>
  <si>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</si>
  <si>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</si>
  <si>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</si>
  <si>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</si>
  <si>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</si>
  <si>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</si>
  <si>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</si>
  <si>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</si>
  <si>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</si>
  <si>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</si>
  <si>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</si>
  <si>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</si>
  <si>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</si>
  <si>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</si>
  <si>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</si>
  <si>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</si>
  <si>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</si>
  <si>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</si>
  <si>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</si>
  <si>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</si>
  <si>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</si>
  <si>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</si>
  <si>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</si>
  <si>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</si>
  <si>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</si>
  <si>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</si>
  <si>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</si>
  <si>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</si>
  <si>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</si>
  <si>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</si>
  <si>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</si>
  <si>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</si>
  <si>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</si>
  <si>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</si>
  <si>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</si>
  <si>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</si>
  <si>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</si>
  <si>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</si>
  <si>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</si>
  <si>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</si>
  <si>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</si>
  <si>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</si>
  <si>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</si>
  <si>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</si>
  <si>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</si>
  <si>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</si>
  <si>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</si>
  <si>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</si>
  <si>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</si>
  <si>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</si>
  <si>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</si>
  <si>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</si>
  <si>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</si>
  <si>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</si>
  <si>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</si>
  <si>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</si>
  <si>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</si>
  <si>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</si>
  <si>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</si>
  <si>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</si>
  <si>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</si>
  <si>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</si>
  <si>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</si>
  <si>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</si>
  <si>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</si>
  <si>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</si>
  <si>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</si>
  <si>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</si>
  <si>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</si>
  <si>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</si>
  <si>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</si>
  <si>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</si>
  <si>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</si>
  <si>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</si>
  <si>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</si>
  <si>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</si>
  <si>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</si>
  <si>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</si>
  <si>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</si>
  <si>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</si>
  <si>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</si>
  <si>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</si>
  <si>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</si>
  <si>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</si>
  <si>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</si>
  <si>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</si>
  <si>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</si>
  <si>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</si>
  <si>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</si>
  <si>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</si>
  <si>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</si>
  <si>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</si>
  <si>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</si>
  <si>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</si>
  <si>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</si>
  <si>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</si>
  <si>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</si>
  <si>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</si>
  <si>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</si>
  <si>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</si>
  <si>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</si>
  <si>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</si>
  <si>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</si>
  <si>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</si>
  <si>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</si>
  <si>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</si>
  <si>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</si>
  <si>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</si>
  <si>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</si>
  <si>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</si>
  <si>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</si>
  <si>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</si>
  <si>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</si>
  <si>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</si>
  <si>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</si>
  <si>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</si>
  <si>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</si>
  <si>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</si>
  <si>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</si>
  <si>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</si>
  <si>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</si>
  <si>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</si>
  <si>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</si>
  <si>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</si>
  <si>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</si>
  <si>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</si>
  <si>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</si>
  <si>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</si>
  <si>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</si>
  <si>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</si>
  <si>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</si>
  <si>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</si>
  <si>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</si>
  <si>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</si>
  <si>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</si>
  <si>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</si>
  <si>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</si>
  <si>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</si>
  <si>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</si>
  <si>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</si>
  <si>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</si>
  <si>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</si>
  <si>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</si>
  <si>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</si>
  <si>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</si>
  <si>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</si>
  <si>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</si>
  <si>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</si>
  <si>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</si>
  <si>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</si>
  <si>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</si>
  <si>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</si>
  <si>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</si>
  <si>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</si>
  <si>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</si>
  <si>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</si>
  <si>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</si>
  <si>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</si>
  <si>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</si>
  <si>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</si>
  <si>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</si>
  <si>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</si>
  <si>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</si>
  <si>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</si>
  <si>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</si>
  <si>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</si>
  <si>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</si>
  <si>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</si>
  <si>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</si>
  <si>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</si>
  <si>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</si>
  <si>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</si>
  <si>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</si>
  <si>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</si>
  <si>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</si>
  <si>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</si>
  <si>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</si>
  <si>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</si>
  <si>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</si>
  <si>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</si>
  <si>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</si>
  <si>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</si>
  <si>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</si>
  <si>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</si>
  <si>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</si>
  <si>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</si>
  <si>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</si>
  <si>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</si>
  <si>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</si>
  <si>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</si>
  <si>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</si>
  <si>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</si>
  <si>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</si>
  <si>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</si>
  <si>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</si>
  <si>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</si>
  <si>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</si>
  <si>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</si>
  <si>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</si>
  <si>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</si>
  <si>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</si>
  <si>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</si>
  <si>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</si>
  <si>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</si>
  <si>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</si>
  <si>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</si>
  <si>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</si>
  <si>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</si>
  <si>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</si>
  <si>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</si>
  <si>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</si>
  <si>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</si>
  <si>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</si>
  <si>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</si>
  <si>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</si>
  <si>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</si>
  <si>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</si>
  <si>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</si>
  <si>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</si>
  <si>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</si>
  <si>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</si>
  <si>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</si>
  <si>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</si>
  <si>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</si>
  <si>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</si>
  <si>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</si>
  <si>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</si>
  <si>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</si>
  <si>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</si>
  <si>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</si>
  <si>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</si>
  <si>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</si>
  <si>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</si>
  <si>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</si>
  <si>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</si>
  <si>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</si>
  <si>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</si>
  <si>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</si>
  <si>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</si>
  <si>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</si>
  <si>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</si>
  <si>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</si>
  <si>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</si>
  <si>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</si>
  <si>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</si>
  <si>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</si>
  <si>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</si>
  <si>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</si>
  <si>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</si>
  <si>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</si>
  <si>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</si>
  <si>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</si>
  <si>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</si>
  <si>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</si>
  <si>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</si>
  <si>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</si>
  <si>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</si>
  <si>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</si>
  <si>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</si>
  <si>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</si>
  <si>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</si>
  <si>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</si>
  <si>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</si>
  <si>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</si>
  <si>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</si>
  <si>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</si>
  <si>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</si>
  <si>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</si>
  <si>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</si>
  <si>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</si>
  <si>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</si>
  <si>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</si>
  <si>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</si>
  <si>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</si>
  <si>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</si>
  <si>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</si>
  <si>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</si>
  <si>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</si>
  <si>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</si>
  <si>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</si>
  <si>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</si>
  <si>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</si>
  <si>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</si>
  <si>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</si>
  <si>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</si>
  <si>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</si>
  <si>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</si>
  <si>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</si>
  <si>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</si>
  <si>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</si>
  <si>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</si>
  <si>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</si>
  <si>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</si>
  <si>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</si>
  <si>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</si>
  <si>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</si>
  <si>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</si>
  <si>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</si>
  <si>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</si>
  <si>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</si>
  <si>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</si>
  <si>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</si>
  <si>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</si>
  <si>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</si>
  <si>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</si>
  <si>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</si>
  <si>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</si>
  <si>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</si>
  <si>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</si>
  <si>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</si>
  <si>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</si>
  <si>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</si>
  <si>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</si>
  <si>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</si>
  <si>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</si>
  <si>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</si>
  <si>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</si>
  <si>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</si>
  <si>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</si>
  <si>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</si>
  <si>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</si>
  <si>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</si>
  <si>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</si>
  <si>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</si>
  <si>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</si>
  <si>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</si>
  <si>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</si>
  <si>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</si>
  <si>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</si>
  <si>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</si>
  <si>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</si>
  <si>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</si>
  <si>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</si>
  <si>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</si>
  <si>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</si>
  <si>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</si>
  <si>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</si>
  <si>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</si>
  <si>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</si>
  <si>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</si>
  <si>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</si>
  <si>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</si>
  <si>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</si>
  <si>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</si>
  <si>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</si>
  <si>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</si>
  <si>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</si>
  <si>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</si>
  <si>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</si>
  <si>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</si>
  <si>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</si>
  <si>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</si>
  <si>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</si>
  <si>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</si>
  <si>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</si>
  <si>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</si>
  <si>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</si>
  <si>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</si>
  <si>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</si>
  <si>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</si>
  <si>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</si>
  <si>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</si>
  <si>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</si>
  <si>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</si>
  <si>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</si>
  <si>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</si>
  <si>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</si>
  <si>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</si>
  <si>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</si>
  <si>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</si>
  <si>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</si>
  <si>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</si>
  <si>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</si>
  <si>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</si>
  <si>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</si>
  <si>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</si>
  <si>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</si>
  <si>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</si>
  <si>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</si>
  <si>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</si>
  <si>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</si>
  <si>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</si>
  <si>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</si>
  <si>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</si>
  <si>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</si>
  <si>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</si>
  <si>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</si>
  <si>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</si>
  <si>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</si>
  <si>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</si>
  <si>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</si>
  <si>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</si>
  <si>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</si>
  <si>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</si>
  <si>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</si>
  <si>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</si>
  <si>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</si>
  <si>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</si>
  <si>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</si>
  <si>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</si>
  <si>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</si>
  <si>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</si>
  <si>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</si>
  <si>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</si>
  <si>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</si>
  <si>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</si>
  <si>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</si>
  <si>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</si>
  <si>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</si>
  <si>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</si>
  <si>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</si>
  <si>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</si>
  <si>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</si>
  <si>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</si>
  <si>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</si>
  <si>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</si>
  <si>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</si>
  <si>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</si>
  <si>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</si>
  <si>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</si>
  <si>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</si>
  <si>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</si>
  <si>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</si>
  <si>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</si>
  <si>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</si>
  <si>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</si>
  <si>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</si>
  <si>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</si>
  <si>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</si>
  <si>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</si>
  <si>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</si>
  <si>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</si>
  <si>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</si>
  <si>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</si>
  <si>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</si>
  <si>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</si>
  <si>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</si>
  <si>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</si>
  <si>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</si>
  <si>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</si>
  <si>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</si>
  <si>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</si>
  <si>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</si>
  <si>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</si>
  <si>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</si>
  <si>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</si>
  <si>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</si>
  <si>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</si>
  <si>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</si>
  <si>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</si>
  <si>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</si>
  <si>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</si>
  <si>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</si>
  <si>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</si>
  <si>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</si>
  <si>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</si>
  <si>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</si>
  <si>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</si>
  <si>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</si>
  <si>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</si>
  <si>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</si>
  <si>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</si>
  <si>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</si>
  <si>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</si>
  <si>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</si>
  <si>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</si>
  <si>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</si>
  <si>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</si>
  <si>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</si>
  <si>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</si>
  <si>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</si>
  <si>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</si>
  <si>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</si>
  <si>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</si>
  <si>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</si>
  <si>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</si>
  <si>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</si>
  <si>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</si>
  <si>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</si>
  <si>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</si>
  <si>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</si>
  <si>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</si>
  <si>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</si>
  <si>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</si>
  <si>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</si>
  <si>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</si>
  <si>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</si>
  <si>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</si>
  <si>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</si>
  <si>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</si>
  <si>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</si>
  <si>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</si>
  <si>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</si>
  <si>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</si>
  <si>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</si>
  <si>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</si>
  <si>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</si>
  <si>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</si>
  <si>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</si>
  <si>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</si>
  <si>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</si>
  <si>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</si>
  <si>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</si>
  <si>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</si>
  <si>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</si>
  <si>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</si>
  <si>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</si>
  <si>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</si>
  <si>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</si>
  <si>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</si>
  <si>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</si>
  <si>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</si>
  <si>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</si>
  <si>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</si>
  <si>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</si>
  <si>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</si>
  <si>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</si>
  <si>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</si>
  <si>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</si>
  <si>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</si>
  <si>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</si>
  <si>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</si>
  <si>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</si>
  <si>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</si>
  <si>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</si>
  <si>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</si>
  <si>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</si>
  <si>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</si>
  <si>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</si>
  <si>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</si>
  <si>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</si>
  <si>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</si>
  <si>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</si>
  <si>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</si>
  <si>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</si>
  <si>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</si>
  <si>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</si>
  <si>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</si>
  <si>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</si>
  <si>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</si>
  <si>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</si>
  <si>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</si>
  <si>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</si>
  <si>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</si>
  <si>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</si>
  <si>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</si>
  <si>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</si>
  <si>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</si>
  <si>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</si>
  <si>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</si>
  <si>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</si>
  <si>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</si>
  <si>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</si>
  <si>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</si>
  <si>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</si>
  <si>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</si>
  <si>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</si>
  <si>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</si>
  <si>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</si>
  <si>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</si>
  <si>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</si>
  <si>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</si>
  <si>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</si>
  <si>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</si>
  <si>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</si>
  <si>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</si>
  <si>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</si>
  <si>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</si>
  <si>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</si>
  <si>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</si>
  <si>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</si>
  <si>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</si>
  <si>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</si>
  <si>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</si>
  <si>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</si>
  <si>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</si>
  <si>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</si>
  <si>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</si>
  <si>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</si>
  <si>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</si>
  <si>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</si>
  <si>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</si>
  <si>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</si>
  <si>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</si>
  <si>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</si>
  <si>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</si>
  <si>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</si>
  <si>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</si>
  <si>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</si>
  <si>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</si>
  <si>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</si>
  <si>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</si>
  <si>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</si>
  <si>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</si>
  <si>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</si>
  <si>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</si>
  <si>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</si>
  <si>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</si>
  <si>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</si>
  <si>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</si>
  <si>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</si>
  <si>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</si>
  <si>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</si>
  <si>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</si>
  <si>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</si>
  <si>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</si>
  <si>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</si>
  <si>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</si>
  <si>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</si>
  <si>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</si>
  <si>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</si>
  <si>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</si>
  <si>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</si>
  <si>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</si>
  <si>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</si>
  <si>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</si>
  <si>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</si>
  <si>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</si>
  <si>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</si>
  <si>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</si>
  <si>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</si>
  <si>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</si>
  <si>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</si>
  <si>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</si>
  <si>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</si>
  <si>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</si>
  <si>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</si>
  <si>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</si>
  <si>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</si>
  <si>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</si>
  <si>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</si>
  <si>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</si>
  <si>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</si>
  <si>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</si>
  <si>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</si>
  <si>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</si>
  <si>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</si>
  <si>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</si>
  <si>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</si>
  <si>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</si>
  <si>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</si>
  <si>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</si>
  <si>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</si>
  <si>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</si>
  <si>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</si>
  <si>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</si>
  <si>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</si>
  <si>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</si>
  <si>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</si>
  <si>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</si>
  <si>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</si>
  <si>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</si>
  <si>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</si>
  <si>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</si>
  <si>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</si>
  <si>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</si>
  <si>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</si>
  <si>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</si>
  <si>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</si>
  <si>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</si>
  <si>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</si>
  <si>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</si>
  <si>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</si>
  <si>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</si>
  <si>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</si>
  <si>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</si>
  <si>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</si>
  <si>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</si>
  <si>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</si>
  <si>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</si>
  <si>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</si>
  <si>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</si>
  <si>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</si>
  <si>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</si>
  <si>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</si>
  <si>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</si>
  <si>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</si>
  <si>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</si>
  <si>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</si>
  <si>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</si>
  <si>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</si>
  <si>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</si>
  <si>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</si>
  <si>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</si>
  <si>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</si>
  <si>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</si>
  <si>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</si>
  <si>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</si>
  <si>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</si>
  <si>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</si>
  <si>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</si>
  <si>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</si>
  <si>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</si>
  <si>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</si>
  <si>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</si>
  <si>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</si>
  <si>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</si>
  <si>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</si>
  <si>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</si>
  <si>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</si>
  <si>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</si>
  <si>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</si>
  <si>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</si>
  <si>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</si>
  <si>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</si>
  <si>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</si>
  <si>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</si>
  <si>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</si>
  <si>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</si>
  <si>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</si>
  <si>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</si>
  <si>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</si>
  <si>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</si>
  <si>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</si>
  <si>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</si>
  <si>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</si>
  <si>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</si>
  <si>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</si>
  <si>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</si>
  <si>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</si>
  <si>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</si>
  <si>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</si>
  <si>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</si>
  <si>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</si>
  <si>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</si>
  <si>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</si>
  <si>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</si>
  <si>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</si>
  <si>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</si>
  <si>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</si>
  <si>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</si>
  <si>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</si>
  <si>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</si>
  <si>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</si>
  <si>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</si>
  <si>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</si>
  <si>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</si>
  <si>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</si>
  <si>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</si>
  <si>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</si>
  <si>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</si>
  <si>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</si>
  <si>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</si>
  <si>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</si>
  <si>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</si>
  <si>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</si>
  <si>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</si>
  <si>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</si>
  <si>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</si>
  <si>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</si>
  <si>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</si>
  <si>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</si>
  <si>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</si>
  <si>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</si>
  <si>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</si>
  <si>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</si>
  <si>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</si>
  <si>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</si>
  <si>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</si>
  <si>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</si>
  <si>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</si>
  <si>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</si>
  <si>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</si>
  <si>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</si>
  <si>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</si>
  <si>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</si>
  <si>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</si>
  <si>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</si>
  <si>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</si>
  <si>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</si>
  <si>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</si>
  <si>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</si>
  <si>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</si>
  <si>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</si>
  <si>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</si>
  <si>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</si>
  <si>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</si>
  <si>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</si>
  <si>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</si>
  <si>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</si>
  <si>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</si>
  <si>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</si>
  <si>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</si>
  <si>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</si>
  <si>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</si>
  <si>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</si>
  <si>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</si>
  <si>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</si>
  <si>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</si>
  <si>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</si>
  <si>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</si>
  <si>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</si>
  <si>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</si>
  <si>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</si>
  <si>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</si>
  <si>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</si>
  <si>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</si>
  <si>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</si>
  <si>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</si>
  <si>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</si>
  <si>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</si>
  <si>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</si>
  <si>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</si>
  <si>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</si>
  <si>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</si>
  <si>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</si>
  <si>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</si>
  <si>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</si>
  <si>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</si>
  <si>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</si>
  <si>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</si>
  <si>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</si>
  <si>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</si>
  <si>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</si>
  <si>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</si>
  <si>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</si>
  <si>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</si>
  <si>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</si>
  <si>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</si>
  <si>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</si>
  <si>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</si>
  <si>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</si>
  <si>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</si>
  <si>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</si>
  <si>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</si>
  <si>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</si>
  <si>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</si>
  <si>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</si>
  <si>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</si>
  <si>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</si>
  <si>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</si>
  <si>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</si>
  <si>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</si>
  <si>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</si>
  <si>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</si>
  <si>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</si>
  <si>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</si>
  <si>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</si>
  <si>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</si>
  <si>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</si>
  <si>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</si>
  <si>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</si>
  <si>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</si>
  <si>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</si>
  <si>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</si>
  <si>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</si>
  <si>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</si>
  <si>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</si>
  <si>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</si>
  <si>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</si>
  <si>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</si>
  <si>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</si>
  <si>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</si>
  <si>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</si>
  <si>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</si>
  <si>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</si>
  <si>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</si>
  <si>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</si>
  <si>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</si>
  <si>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</si>
  <si>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</si>
  <si>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</si>
  <si>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</si>
  <si>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</si>
  <si>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</si>
  <si>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</si>
  <si>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</si>
  <si>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</si>
  <si>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</si>
  <si>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</si>
  <si>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</si>
  <si>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</si>
  <si>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</si>
  <si>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</si>
  <si>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</si>
  <si>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</si>
  <si>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</si>
  <si>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</si>
  <si>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</si>
  <si>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</si>
  <si>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</si>
  <si>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</si>
  <si>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</si>
  <si>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</si>
  <si>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</si>
  <si>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</si>
  <si>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</si>
  <si>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</si>
  <si>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</si>
  <si>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</si>
  <si>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</si>
  <si>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</si>
  <si>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</si>
  <si>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</si>
  <si>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</si>
  <si>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</si>
  <si>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</si>
  <si>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</si>
  <si>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</si>
  <si>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</si>
  <si>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</si>
  <si>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</si>
  <si>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</si>
  <si>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</si>
  <si>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</si>
  <si>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</si>
  <si>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</si>
  <si>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</si>
  <si>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</si>
  <si>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</si>
  <si>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</si>
  <si>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</si>
  <si>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</si>
  <si>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</si>
  <si>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</si>
  <si>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</si>
  <si>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</si>
  <si>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</si>
  <si>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</si>
  <si>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</si>
  <si>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</si>
  <si>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</si>
  <si>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</si>
  <si>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</si>
  <si>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</si>
  <si>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</si>
  <si>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</si>
  <si>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</si>
  <si>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</si>
  <si>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</si>
  <si>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</si>
  <si>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</si>
  <si>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</si>
  <si>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</si>
  <si>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</si>
  <si>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</si>
  <si>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</si>
  <si>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</si>
  <si>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</si>
  <si>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</si>
  <si>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</si>
  <si>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</si>
  <si>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</si>
  <si>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</si>
  <si>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</si>
  <si>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</si>
  <si>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</si>
  <si>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</si>
  <si>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</si>
  <si>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</si>
  <si>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</si>
  <si>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</si>
  <si>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</si>
  <si>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</si>
  <si>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</si>
  <si>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</si>
  <si>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</si>
  <si>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</si>
  <si>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</si>
  <si>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</si>
  <si>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</si>
  <si>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</si>
  <si>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</si>
  <si>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</si>
  <si>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</si>
  <si>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</si>
  <si>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</si>
  <si>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</si>
  <si>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</si>
  <si>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</si>
  <si>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</si>
  <si>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</si>
  <si>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</si>
  <si>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</si>
  <si>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</si>
  <si>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</si>
  <si>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</si>
  <si>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</si>
  <si>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</si>
  <si>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</si>
  <si>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</si>
  <si>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</si>
  <si>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</si>
  <si>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</si>
  <si>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</si>
  <si>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</si>
  <si>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</si>
  <si>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</si>
  <si>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</si>
  <si>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</si>
  <si>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</si>
  <si>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</si>
  <si>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</si>
  <si>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</si>
  <si>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</si>
  <si>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</si>
  <si>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</si>
  <si>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</si>
  <si>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</si>
  <si>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</si>
  <si>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</si>
  <si>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</si>
  <si>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</si>
  <si>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</si>
  <si>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</si>
  <si>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</si>
  <si>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</si>
  <si>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</si>
  <si>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</si>
  <si>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</si>
  <si>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</si>
  <si>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</si>
  <si>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</si>
  <si>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</si>
  <si>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</si>
  <si>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</si>
  <si>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</si>
  <si>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</si>
  <si>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</si>
  <si>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</si>
  <si>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</si>
  <si>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</si>
  <si>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</si>
  <si>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</si>
  <si>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</si>
  <si>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</si>
  <si>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</si>
  <si>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</si>
  <si>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</si>
  <si>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</si>
  <si>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</si>
  <si>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</si>
  <si>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</si>
  <si>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</si>
  <si>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</si>
  <si>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</si>
  <si>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</si>
  <si>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</si>
  <si>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</si>
  <si>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</si>
  <si>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</si>
  <si>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</si>
  <si>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</si>
  <si>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</si>
  <si>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</si>
  <si>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</si>
  <si>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</si>
  <si>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</si>
  <si>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</si>
  <si>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</si>
  <si>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</si>
  <si>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</si>
  <si>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</si>
  <si>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</si>
  <si>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</si>
  <si>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</si>
  <si>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</si>
  <si>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</si>
  <si>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</si>
  <si>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</si>
  <si>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</si>
  <si>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</si>
  <si>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</si>
  <si>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</si>
  <si>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</si>
  <si>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</si>
  <si>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</si>
  <si>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</si>
  <si>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</si>
  <si>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</si>
  <si>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</si>
  <si>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</si>
  <si>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</si>
  <si>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</si>
  <si>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</si>
  <si>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</si>
  <si>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</si>
  <si>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</si>
  <si>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</si>
  <si>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</si>
  <si>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</si>
  <si>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</si>
  <si>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</si>
  <si>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</si>
  <si>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</si>
  <si>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</si>
  <si>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</si>
  <si>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</si>
  <si>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</si>
  <si>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</si>
  <si>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</si>
  <si>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</si>
  <si>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</si>
  <si>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</si>
  <si>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</si>
  <si>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</si>
  <si>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</si>
  <si>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</si>
  <si>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</si>
  <si>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</si>
  <si>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</si>
  <si>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</si>
  <si>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</si>
  <si>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</si>
  <si>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</si>
  <si>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</si>
  <si>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</si>
  <si>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</si>
  <si>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</si>
  <si>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</si>
  <si>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</si>
  <si>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</si>
  <si>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</si>
  <si>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</si>
  <si>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</si>
  <si>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</si>
  <si>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</si>
  <si>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</si>
  <si>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</si>
  <si>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</si>
  <si>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</si>
  <si>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</si>
  <si>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</si>
  <si>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</si>
  <si>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</si>
  <si>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</si>
  <si>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</si>
  <si>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</si>
  <si>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</si>
  <si>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</si>
  <si>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</si>
  <si>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</si>
  <si>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</si>
  <si>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</si>
  <si>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</si>
  <si>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</si>
  <si>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</si>
  <si>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</si>
  <si>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</si>
  <si>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</si>
  <si>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</si>
  <si>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</si>
  <si>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</si>
  <si>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</si>
  <si>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</si>
  <si>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</si>
  <si>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</si>
  <si>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</si>
  <si>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</si>
  <si>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</si>
  <si>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</si>
  <si>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</si>
  <si>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</si>
  <si>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</si>
  <si>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</si>
  <si>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</si>
  <si>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</si>
  <si>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</si>
  <si>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</si>
  <si>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</si>
  <si>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</si>
  <si>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</si>
  <si>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</si>
  <si>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</si>
  <si>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</si>
  <si>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</si>
  <si>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</si>
  <si>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</si>
  <si>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</si>
  <si>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</si>
  <si>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</si>
  <si>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</si>
  <si>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</si>
  <si>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</si>
  <si>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</si>
  <si>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</si>
  <si>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</si>
  <si>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</si>
  <si>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</si>
  <si>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</si>
  <si>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</si>
  <si>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</si>
  <si>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</si>
  <si>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</si>
  <si>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</si>
  <si>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</si>
  <si>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</si>
  <si>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</si>
  <si>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</si>
  <si>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</si>
  <si>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</si>
  <si>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</si>
  <si>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</si>
  <si>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</si>
  <si>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</si>
  <si>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</si>
  <si>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</si>
  <si>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</si>
  <si>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</si>
  <si>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</si>
  <si>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</si>
  <si>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</si>
  <si>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</si>
  <si>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</si>
  <si>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</si>
  <si>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</si>
  <si>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</si>
  <si>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</si>
  <si>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</si>
  <si>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</si>
  <si>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</si>
  <si>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</si>
  <si>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</si>
  <si>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</si>
  <si>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</si>
  <si>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</si>
  <si>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</si>
  <si>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</si>
  <si>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</si>
  <si>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</si>
  <si>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</si>
  <si>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</si>
  <si>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</si>
  <si>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</si>
  <si>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</si>
  <si>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</si>
  <si>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</si>
  <si>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</si>
  <si>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</si>
  <si>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</si>
  <si>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</si>
  <si>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</si>
  <si>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</si>
  <si>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</si>
  <si>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</si>
  <si>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</si>
  <si>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</si>
  <si>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</si>
  <si>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</si>
  <si>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</si>
  <si>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</si>
  <si>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</si>
  <si>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</si>
  <si>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</si>
  <si>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</si>
  <si>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</si>
  <si>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</si>
  <si>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</si>
  <si>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</si>
  <si>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</si>
  <si>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</si>
  <si>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</si>
  <si>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</si>
  <si>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</si>
  <si>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</si>
  <si>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</si>
  <si>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</si>
  <si>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</si>
  <si>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</si>
  <si>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</si>
  <si>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</si>
  <si>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</si>
  <si>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</si>
  <si>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</si>
  <si>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</si>
  <si>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</si>
  <si>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</si>
  <si>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</si>
  <si>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</si>
  <si>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</si>
  <si>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</si>
  <si>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</si>
  <si>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</si>
  <si>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</si>
  <si>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</si>
  <si>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</si>
  <si>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</si>
  <si>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</si>
  <si>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</si>
  <si>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</si>
  <si>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</si>
  <si>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</si>
  <si>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</si>
  <si>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</si>
  <si>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</si>
  <si>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</si>
  <si>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</si>
  <si>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</si>
  <si>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</si>
  <si>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</si>
  <si>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</si>
  <si>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</si>
  <si>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</si>
  <si>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</si>
  <si>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</si>
  <si>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</si>
  <si>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</si>
  <si>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</si>
  <si>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</si>
  <si>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</si>
  <si>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</si>
  <si>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</si>
  <si>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</si>
  <si>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</si>
  <si>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</si>
  <si>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</si>
  <si>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</si>
  <si>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</si>
  <si>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</si>
  <si>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</si>
  <si>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</si>
  <si>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</si>
  <si>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</si>
  <si>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</si>
  <si>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</si>
  <si>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</si>
  <si>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</si>
  <si>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</si>
  <si>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</si>
  <si>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</si>
  <si>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</si>
  <si>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</si>
  <si>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</si>
  <si>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</si>
  <si>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</si>
  <si>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</si>
  <si>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</si>
  <si>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</si>
  <si>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</si>
  <si>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</si>
  <si>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</si>
  <si>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</si>
  <si>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</si>
  <si>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</si>
  <si>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</si>
  <si>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</si>
  <si>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</si>
  <si>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</si>
  <si>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</si>
  <si>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</si>
  <si>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</si>
  <si>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</si>
  <si>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</si>
  <si>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</si>
  <si>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</si>
  <si>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</si>
  <si>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</si>
  <si>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</si>
  <si>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</si>
  <si>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</si>
  <si>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</si>
  <si>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</si>
  <si>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</si>
  <si>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</si>
  <si>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</si>
  <si>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</si>
  <si>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</si>
  <si>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</si>
  <si>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</si>
  <si>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</si>
  <si>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</si>
  <si>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</si>
  <si>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</si>
  <si>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</si>
  <si>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</si>
  <si>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</si>
  <si>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</si>
  <si>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</si>
  <si>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</si>
  <si>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</si>
  <si>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</si>
  <si>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</si>
  <si>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</si>
  <si>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</si>
  <si>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</si>
  <si>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</si>
  <si>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</si>
  <si>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</si>
  <si>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</si>
  <si>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</si>
  <si>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</si>
  <si>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</si>
  <si>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</si>
  <si>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</si>
  <si>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</si>
  <si>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</si>
  <si>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</si>
  <si>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</si>
  <si>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</si>
  <si>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</si>
  <si>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</si>
  <si>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</si>
  <si>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</si>
  <si>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</si>
  <si>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</si>
  <si>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</si>
  <si>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</si>
  <si>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</si>
  <si>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</si>
  <si>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</si>
  <si>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</si>
  <si>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</si>
  <si>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</si>
  <si>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</si>
  <si>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</si>
  <si>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</si>
  <si>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</si>
  <si>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</si>
  <si>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</si>
  <si>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</si>
  <si>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</si>
  <si>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</si>
  <si>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</si>
  <si>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</si>
  <si>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</si>
  <si>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</si>
  <si>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</si>
  <si>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</si>
  <si>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</si>
  <si>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</si>
  <si>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</si>
  <si>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</si>
  <si>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</si>
  <si>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</si>
  <si>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</si>
  <si>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</si>
  <si>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</si>
  <si>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</si>
  <si>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</si>
  <si>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</si>
  <si>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</si>
  <si>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</si>
  <si>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</si>
  <si>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</si>
  <si>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</si>
  <si>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</si>
  <si>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</si>
  <si>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</si>
  <si>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</si>
  <si>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</si>
  <si>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</si>
  <si>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</si>
  <si>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</si>
  <si>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</si>
  <si>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</si>
  <si>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</si>
  <si>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</si>
  <si>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</si>
  <si>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</si>
  <si>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</si>
  <si>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</si>
  <si>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</si>
  <si>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</si>
  <si>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</si>
  <si>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</si>
  <si>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</si>
  <si>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</si>
  <si>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</si>
  <si>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</si>
  <si>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</si>
  <si>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</si>
  <si>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</si>
  <si>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</si>
  <si>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</si>
  <si>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</si>
  <si>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</si>
  <si>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</si>
  <si>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</si>
  <si>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</si>
  <si>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</si>
  <si>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</si>
  <si>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</si>
  <si>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</si>
  <si>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</si>
  <si>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</si>
  <si>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</si>
  <si>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</si>
  <si>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</si>
  <si>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</si>
  <si>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</si>
  <si>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</si>
  <si>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</si>
  <si>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</si>
  <si>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</si>
  <si>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</si>
  <si>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</si>
  <si>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</si>
  <si>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</si>
  <si>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</si>
  <si>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</si>
  <si>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</si>
  <si>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</si>
  <si>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</si>
  <si>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</si>
  <si>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</si>
  <si>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</si>
  <si>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</si>
  <si>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</si>
  <si>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</si>
  <si>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</si>
  <si>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</si>
  <si>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</si>
  <si>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</si>
  <si>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</si>
  <si>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</si>
  <si>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</si>
  <si>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</si>
  <si>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</si>
  <si>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</si>
  <si>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</si>
  <si>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</si>
  <si>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</si>
  <si>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</si>
  <si>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</si>
  <si>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</si>
  <si>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</si>
  <si>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</si>
  <si>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</si>
  <si>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</si>
  <si>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</si>
  <si>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</si>
  <si>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</si>
  <si>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</si>
  <si>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</si>
  <si>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</si>
  <si>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</si>
  <si>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</si>
  <si>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</si>
  <si>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</si>
  <si>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</si>
  <si>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</si>
  <si>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</si>
  <si>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</si>
  <si>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</si>
  <si>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</si>
  <si>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</si>
  <si>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</si>
  <si>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</si>
  <si>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</si>
  <si>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</si>
  <si>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</si>
  <si>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</si>
  <si>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</si>
  <si>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</si>
  <si>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</si>
  <si>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</si>
  <si>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</si>
  <si>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</si>
  <si>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</si>
  <si>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</si>
  <si>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</si>
  <si>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</si>
  <si>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</si>
  <si>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</si>
  <si>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</si>
  <si>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</si>
  <si>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</si>
  <si>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</si>
  <si>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</si>
  <si>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</si>
  <si>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</si>
  <si>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</si>
  <si>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</si>
  <si>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</si>
  <si>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</si>
  <si>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</si>
  <si>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</si>
  <si>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</si>
  <si>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</si>
  <si>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</si>
  <si>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</si>
  <si>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</si>
  <si>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</si>
  <si>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</si>
  <si>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</si>
  <si>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</si>
  <si>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</si>
  <si>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</si>
  <si>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</si>
  <si>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</si>
  <si>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</si>
  <si>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</si>
  <si>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</si>
  <si>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</si>
  <si>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</si>
  <si>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</si>
  <si>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</si>
  <si>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</si>
  <si>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</si>
  <si>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</si>
  <si>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</si>
  <si>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</si>
  <si>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</si>
  <si>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</si>
  <si>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</si>
  <si>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</si>
  <si>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</si>
  <si>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</si>
  <si>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</si>
  <si>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</si>
  <si>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</si>
  <si>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</si>
  <si>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</si>
  <si>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</si>
  <si>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</si>
  <si>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</si>
  <si>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</si>
  <si>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</si>
  <si>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</si>
  <si>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</si>
  <si>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</si>
  <si>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</si>
  <si>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</si>
  <si>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</si>
  <si>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</si>
  <si>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</si>
  <si>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</si>
  <si>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</si>
  <si>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</si>
  <si>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</si>
  <si>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</si>
  <si>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</si>
  <si>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</si>
  <si>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</si>
  <si>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</si>
  <si>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</si>
  <si>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</si>
  <si>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</si>
  <si>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</si>
  <si>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</si>
  <si>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</si>
  <si>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</si>
  <si>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</si>
  <si>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</si>
  <si>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</si>
  <si>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</si>
  <si>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</si>
  <si>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</si>
  <si>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</si>
  <si>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</si>
  <si>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</si>
  <si>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</si>
  <si>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</si>
  <si>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</si>
  <si>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</si>
  <si>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</si>
  <si>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</si>
  <si>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</si>
  <si>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</si>
  <si>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</si>
  <si>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</si>
  <si>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</si>
  <si>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</si>
  <si>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</si>
  <si>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</si>
  <si>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</si>
  <si>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</si>
  <si>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</si>
  <si>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</si>
  <si>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</si>
  <si>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</si>
  <si>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</si>
  <si>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</si>
  <si>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</si>
  <si>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</si>
  <si>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</si>
  <si>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</si>
  <si>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</si>
  <si>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</si>
  <si>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</si>
  <si>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</si>
  <si>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</si>
  <si>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</si>
  <si>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</si>
  <si>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</si>
  <si>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</si>
  <si>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</si>
  <si>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</si>
  <si>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</si>
  <si>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</si>
  <si>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</si>
  <si>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</si>
  <si>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</si>
  <si>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</si>
  <si>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</si>
  <si>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</si>
  <si>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</si>
  <si>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</si>
  <si>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</si>
  <si>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</si>
  <si>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</si>
  <si>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</si>
  <si>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</si>
  <si>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</si>
  <si>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</si>
  <si>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</si>
  <si>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</si>
  <si>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</si>
  <si>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</si>
  <si>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</si>
  <si>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</si>
  <si>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</si>
  <si>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</si>
  <si>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</si>
  <si>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</si>
  <si>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</si>
  <si>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</si>
  <si>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</si>
  <si>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</si>
  <si>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</si>
  <si>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</si>
  <si>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</si>
  <si>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</si>
  <si>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</si>
  <si>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</si>
  <si>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</si>
  <si>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</si>
  <si>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</si>
  <si>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</si>
  <si>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</si>
  <si>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</si>
  <si>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</si>
  <si>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</si>
  <si>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</si>
  <si>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</si>
  <si>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</si>
  <si>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</si>
  <si>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</si>
  <si>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</si>
  <si>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</si>
  <si>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</si>
  <si>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</si>
  <si>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</si>
  <si>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</si>
  <si>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</si>
  <si>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</si>
  <si>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</si>
  <si>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</si>
  <si>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</si>
  <si>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</si>
  <si>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</si>
  <si>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</si>
  <si>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</si>
  <si>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</si>
  <si>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</si>
  <si>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</si>
  <si>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</si>
  <si>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</si>
  <si>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</si>
  <si>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</si>
  <si>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</si>
  <si>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</si>
  <si>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</si>
  <si>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</si>
  <si>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</si>
  <si>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</si>
  <si>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</si>
  <si>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</si>
  <si>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</si>
  <si>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</si>
  <si>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</si>
  <si>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</si>
  <si>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</si>
  <si>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</si>
  <si>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</si>
  <si>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</si>
  <si>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</si>
  <si>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</si>
  <si>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</si>
  <si>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</si>
  <si>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</si>
  <si>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</si>
  <si>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</si>
  <si>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</si>
  <si>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</si>
  <si>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</si>
  <si>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</si>
  <si>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</si>
  <si>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</si>
  <si>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</si>
  <si>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</si>
  <si>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</si>
  <si>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</si>
  <si>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</si>
  <si>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</si>
  <si>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</si>
  <si>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</si>
  <si>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</si>
  <si>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</si>
  <si>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</si>
  <si>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</si>
  <si>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</si>
  <si>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</si>
  <si>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</si>
  <si>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</si>
  <si>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</si>
  <si>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</si>
  <si>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</si>
  <si>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</si>
  <si>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</si>
  <si>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</si>
  <si>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</si>
  <si>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</si>
  <si>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</si>
  <si>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</si>
  <si>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</si>
  <si>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</si>
  <si>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</si>
  <si>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</si>
  <si>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</si>
  <si>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</si>
  <si>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</si>
  <si>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</si>
  <si>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</si>
  <si>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</si>
  <si>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</si>
  <si>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</si>
  <si>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</si>
  <si>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</si>
  <si>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</si>
  <si>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</si>
  <si>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</si>
  <si>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</si>
  <si>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</si>
  <si>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</si>
  <si>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</si>
  <si>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</si>
  <si>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</si>
  <si>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</si>
  <si>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</si>
  <si>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</si>
  <si>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</si>
  <si>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</si>
  <si>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</si>
  <si>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</si>
  <si>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</si>
  <si>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</si>
  <si>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</si>
  <si>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</si>
  <si>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</si>
  <si>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</si>
  <si>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</si>
  <si>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</si>
  <si>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</si>
  <si>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</si>
  <si>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</si>
  <si>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</si>
  <si>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</si>
  <si>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</si>
  <si>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</si>
  <si>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</si>
  <si>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</si>
  <si>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</si>
  <si>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</si>
  <si>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</si>
  <si>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</si>
  <si>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</si>
  <si>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</si>
  <si>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</si>
  <si>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</si>
  <si>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</si>
  <si>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</si>
  <si>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</si>
  <si>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</si>
  <si>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</si>
  <si>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</si>
  <si>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</si>
  <si>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</si>
  <si>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</si>
  <si>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</si>
  <si>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</si>
  <si>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</si>
  <si>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</si>
  <si>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</si>
  <si>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</si>
  <si>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</si>
  <si>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</si>
  <si>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</si>
  <si>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</si>
  <si>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</si>
  <si>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</si>
  <si>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</si>
  <si>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</si>
  <si>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</si>
  <si>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</si>
  <si>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</si>
  <si>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</si>
  <si>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</si>
  <si>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</si>
  <si>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</si>
  <si>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</si>
  <si>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</si>
  <si>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</si>
  <si>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</si>
  <si>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</si>
  <si>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</si>
  <si>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</si>
  <si>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</si>
  <si>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</si>
  <si>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</si>
  <si>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</si>
  <si>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</si>
  <si>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</si>
  <si>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</si>
  <si>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</si>
  <si>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</si>
  <si>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</si>
  <si>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</si>
  <si>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</si>
  <si>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</si>
  <si>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</si>
  <si>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</si>
  <si>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</si>
  <si>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</si>
  <si>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</si>
  <si>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</si>
  <si>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</si>
  <si>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</si>
  <si>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</si>
  <si>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</si>
  <si>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</si>
  <si>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</si>
  <si>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</si>
  <si>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</si>
  <si>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</si>
  <si>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</si>
  <si>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</si>
  <si>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</si>
  <si>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</si>
  <si>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</si>
  <si>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</si>
  <si>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</si>
  <si>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</si>
  <si>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</si>
  <si>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</si>
  <si>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</si>
  <si>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</si>
  <si>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</si>
  <si>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</si>
  <si>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</si>
  <si>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</si>
  <si>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</si>
  <si>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</si>
  <si>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</si>
  <si>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</si>
  <si>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</si>
  <si>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</si>
  <si>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</si>
  <si>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</si>
  <si>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</si>
  <si>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</si>
  <si>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</si>
  <si>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</si>
  <si>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</si>
  <si>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</si>
  <si>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</si>
  <si>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</si>
  <si>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</si>
  <si>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</si>
  <si>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</si>
  <si>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</si>
  <si>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</si>
  <si>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</si>
  <si>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</si>
  <si>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</si>
  <si>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</si>
  <si>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</si>
  <si>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</si>
  <si>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</si>
  <si>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</si>
  <si>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</si>
  <si>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</si>
  <si>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</si>
  <si>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</si>
  <si>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</si>
  <si>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</si>
  <si>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</si>
  <si>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</si>
  <si>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</si>
  <si>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</si>
  <si>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</si>
  <si>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</si>
  <si>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</si>
  <si>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</si>
  <si>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</si>
  <si>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</si>
  <si>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</si>
  <si>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</si>
  <si>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</si>
  <si>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</si>
  <si>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</si>
  <si>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</si>
  <si>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</si>
  <si>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</si>
  <si>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</si>
  <si>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</si>
  <si>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</si>
  <si>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</si>
  <si>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</si>
  <si>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</si>
  <si>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</si>
  <si>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</si>
  <si>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</si>
  <si>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</si>
  <si>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</si>
  <si>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</si>
  <si>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</si>
  <si>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</si>
  <si>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</si>
  <si>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</si>
  <si>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</si>
  <si>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</si>
  <si>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</si>
  <si>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</si>
  <si>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</si>
  <si>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</si>
  <si>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</si>
  <si>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</si>
  <si>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</si>
  <si>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</si>
  <si>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</si>
  <si>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</si>
  <si>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</si>
  <si>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</si>
  <si>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</si>
  <si>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</si>
  <si>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</si>
  <si>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</si>
  <si>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</si>
  <si>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</si>
  <si>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</si>
  <si>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</si>
  <si>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</si>
  <si>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</si>
  <si>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</si>
  <si>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</si>
  <si>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</si>
  <si>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</si>
  <si>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</si>
  <si>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</si>
  <si>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</si>
  <si>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</si>
  <si>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</si>
  <si>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</si>
  <si>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</si>
  <si>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</si>
  <si>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</si>
  <si>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</si>
  <si>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</si>
  <si>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</si>
  <si>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</si>
  <si>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</si>
  <si>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</si>
  <si>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</si>
  <si>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</si>
  <si>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</si>
  <si>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</si>
  <si>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</si>
  <si>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</si>
  <si>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</si>
  <si>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</si>
  <si>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</si>
  <si>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</si>
  <si>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</si>
  <si>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</si>
  <si>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</si>
  <si>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</si>
  <si>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</si>
  <si>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</si>
  <si>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</si>
  <si>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</si>
  <si>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</si>
  <si>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</si>
  <si>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</si>
  <si>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</si>
  <si>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</si>
  <si>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</si>
  <si>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</si>
  <si>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</si>
  <si>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</si>
  <si>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</si>
  <si>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</si>
  <si>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</si>
  <si>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</si>
  <si>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</si>
  <si>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</si>
  <si>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</si>
  <si>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</si>
  <si>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</si>
  <si>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</si>
  <si>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</si>
  <si>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</si>
  <si>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</si>
  <si>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</si>
  <si>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</si>
  <si>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</si>
  <si>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</si>
  <si>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</si>
  <si>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</si>
  <si>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</si>
  <si>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</si>
  <si>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</si>
  <si>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</si>
  <si>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</si>
  <si>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</si>
  <si>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</si>
  <si>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</si>
  <si>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</si>
  <si>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</si>
  <si>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</si>
  <si>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</si>
  <si>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</si>
  <si>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</si>
  <si>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</si>
  <si>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</si>
  <si>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</si>
  <si>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</si>
  <si>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</si>
  <si>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</si>
  <si>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</si>
  <si>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</si>
  <si>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</si>
  <si>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</si>
  <si>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</si>
  <si>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</si>
  <si>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</si>
  <si>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</si>
  <si>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</si>
  <si>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</si>
  <si>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</si>
  <si>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</si>
  <si>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</si>
  <si>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</si>
  <si>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</si>
  <si>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</si>
  <si>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</si>
  <si>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</si>
  <si>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</si>
  <si>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</si>
  <si>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</si>
  <si>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</si>
  <si>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</si>
  <si>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</si>
  <si>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</si>
  <si>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</si>
  <si>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</si>
  <si>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</si>
  <si>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</si>
  <si>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</si>
  <si>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</si>
  <si>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</si>
  <si>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</si>
  <si>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</si>
  <si>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</si>
  <si>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</si>
  <si>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</si>
  <si>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</si>
  <si>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</si>
  <si>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</si>
  <si>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</si>
  <si>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</si>
  <si>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</si>
  <si>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</si>
  <si>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</si>
  <si>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</si>
  <si>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</si>
  <si>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</si>
  <si>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</si>
  <si>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</si>
  <si>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</si>
  <si>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</si>
  <si>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</si>
  <si>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</si>
  <si>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</si>
  <si>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</si>
  <si>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</si>
  <si>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</si>
  <si>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</si>
  <si>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</si>
  <si>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</si>
  <si>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</si>
  <si>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</si>
  <si>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</si>
  <si>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</si>
  <si>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</si>
  <si>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</si>
  <si>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</si>
  <si>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</si>
  <si>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</si>
  <si>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</si>
  <si>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</si>
  <si>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</si>
  <si>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</si>
  <si>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</si>
  <si>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</si>
  <si>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</si>
  <si>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</si>
  <si>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</si>
  <si>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</si>
  <si>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</si>
  <si>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</si>
  <si>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</si>
  <si>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</si>
  <si>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</si>
  <si>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</si>
  <si>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</si>
  <si>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</si>
  <si>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</si>
  <si>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</si>
  <si>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</si>
  <si>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</si>
  <si>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</si>
  <si>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</si>
  <si>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</si>
  <si>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</si>
  <si>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</si>
  <si>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</si>
  <si>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</si>
  <si>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</si>
  <si>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</si>
  <si>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</si>
  <si>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</si>
  <si>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</si>
  <si>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</si>
  <si>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</si>
  <si>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</si>
  <si>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</si>
  <si>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</si>
  <si>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</si>
  <si>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</si>
  <si>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</si>
  <si>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</si>
  <si>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</si>
  <si>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</si>
  <si>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</si>
  <si>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</si>
  <si>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</si>
  <si>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</si>
  <si>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</si>
  <si>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</si>
  <si>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</si>
  <si>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</si>
  <si>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</si>
  <si>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</si>
  <si>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</si>
  <si>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</si>
  <si>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</si>
  <si>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</si>
  <si>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</si>
  <si>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</si>
  <si>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</si>
  <si>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</si>
  <si>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</si>
  <si>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</si>
  <si>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</si>
  <si>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</si>
  <si>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</si>
  <si>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</si>
  <si>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</si>
  <si>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</si>
  <si>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</si>
  <si>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</si>
  <si>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</si>
  <si>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</si>
  <si>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</si>
  <si>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</si>
  <si>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</si>
  <si>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</si>
  <si>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</si>
  <si>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</si>
  <si>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</si>
  <si>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</si>
  <si>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</si>
  <si>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</si>
  <si>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</si>
  <si>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</si>
  <si>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</si>
  <si>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</si>
  <si>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</si>
  <si>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</si>
  <si>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</si>
  <si>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</si>
  <si>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</si>
  <si>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</si>
  <si>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</si>
  <si>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</si>
  <si>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</si>
  <si>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</si>
  <si>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</si>
  <si>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</si>
  <si>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</si>
  <si>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</si>
  <si>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</si>
  <si>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</si>
  <si>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</si>
  <si>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</si>
  <si>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</si>
  <si>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</si>
  <si>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</si>
  <si>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</si>
  <si>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</si>
  <si>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</si>
  <si>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</si>
  <si>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</si>
  <si>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</si>
  <si>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</si>
  <si>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</si>
  <si>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</si>
  <si>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</si>
  <si>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</si>
  <si>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</si>
  <si>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</si>
  <si>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</si>
  <si>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</si>
  <si>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</si>
  <si>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</si>
  <si>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</si>
  <si>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</si>
  <si>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</si>
  <si>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</si>
  <si>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</si>
  <si>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</si>
  <si>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</si>
  <si>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</si>
  <si>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</si>
  <si>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</si>
  <si>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</si>
  <si>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</si>
  <si>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</si>
  <si>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</si>
  <si>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</si>
  <si>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</si>
  <si>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</si>
  <si>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</si>
  <si>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</si>
  <si>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</si>
  <si>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</si>
  <si>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</si>
  <si>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</si>
  <si>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</si>
  <si>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</si>
  <si>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</si>
  <si>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</si>
  <si>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</si>
  <si>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</si>
  <si>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</si>
  <si>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</si>
  <si>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</si>
  <si>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</si>
  <si>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</si>
  <si>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</si>
  <si>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</si>
  <si>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</si>
  <si>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</si>
  <si>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</si>
  <si>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</si>
  <si>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</si>
  <si>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</si>
  <si>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</si>
  <si>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</si>
  <si>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</si>
  <si>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</si>
  <si>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</si>
  <si>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</si>
  <si>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</si>
  <si>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</si>
  <si>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</si>
  <si>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</si>
  <si>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</si>
  <si>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</si>
  <si>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</si>
  <si>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</si>
  <si>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</si>
  <si>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</si>
  <si>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</si>
  <si>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</si>
  <si>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</si>
  <si>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</si>
  <si>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</si>
  <si>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</si>
  <si>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</si>
  <si>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</si>
  <si>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</si>
  <si>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</si>
  <si>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</si>
  <si>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</si>
  <si>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</si>
  <si>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</si>
  <si>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</si>
  <si>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</si>
  <si>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</si>
  <si>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</si>
  <si>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</si>
  <si>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</si>
  <si>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</si>
  <si>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</si>
  <si>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</si>
  <si>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</si>
  <si>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</si>
  <si>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</si>
  <si>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</si>
  <si>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</si>
  <si>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</si>
  <si>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</si>
  <si>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</si>
  <si>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</si>
  <si>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</si>
  <si>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</si>
  <si>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</si>
  <si>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</si>
  <si>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</si>
  <si>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</si>
  <si>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</si>
  <si>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</si>
  <si>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</si>
  <si>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</si>
  <si>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</si>
  <si>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</si>
  <si>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</si>
  <si>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</si>
  <si>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</si>
  <si>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</si>
  <si>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</si>
  <si>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</si>
  <si>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</si>
  <si>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</si>
  <si>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</si>
  <si>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</si>
  <si>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</si>
  <si>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</si>
  <si>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</si>
  <si>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</si>
  <si>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</si>
  <si>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</si>
  <si>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</si>
  <si>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</si>
  <si>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</si>
  <si>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</si>
  <si>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</si>
  <si>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</si>
  <si>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</si>
  <si>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</si>
  <si>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</si>
  <si>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</si>
  <si>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</si>
  <si>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</si>
  <si>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</si>
  <si>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</si>
  <si>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</si>
  <si>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</si>
  <si>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</si>
  <si>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</si>
  <si>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</si>
  <si>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</si>
  <si>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</si>
  <si>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</si>
  <si>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</si>
  <si>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</si>
  <si>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</si>
  <si>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</si>
  <si>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</si>
  <si>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</si>
  <si>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</si>
  <si>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</si>
  <si>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</si>
  <si>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</si>
  <si>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</si>
  <si>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</si>
  <si>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</si>
  <si>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</si>
  <si>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</si>
  <si>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</si>
  <si>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</si>
  <si>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</si>
  <si>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</si>
  <si>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</si>
  <si>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</si>
  <si>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</si>
  <si>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</si>
  <si>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</si>
  <si>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</si>
  <si>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</si>
  <si>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</si>
  <si>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</si>
  <si>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</si>
  <si>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</si>
  <si>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</si>
  <si>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</si>
  <si>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</si>
  <si>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</si>
  <si>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</si>
  <si>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</si>
  <si>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</si>
  <si>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</si>
  <si>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</si>
  <si>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</si>
  <si>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</si>
  <si>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</si>
  <si>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</si>
  <si>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</si>
  <si>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</si>
  <si>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</si>
  <si>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</si>
  <si>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</si>
  <si>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</si>
  <si>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</si>
  <si>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</si>
  <si>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</si>
  <si>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</si>
  <si>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</si>
  <si>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</si>
  <si>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</si>
  <si>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</si>
  <si>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</si>
  <si>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</si>
  <si>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</si>
  <si>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</si>
  <si>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</si>
  <si>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</si>
  <si>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</si>
  <si>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</si>
  <si>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</si>
  <si>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</si>
  <si>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</si>
  <si>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</si>
  <si>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</si>
  <si>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</si>
  <si>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</si>
  <si>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</si>
  <si>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</si>
  <si>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</si>
  <si>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</si>
  <si>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</si>
  <si>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</si>
  <si>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</si>
  <si>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</si>
  <si>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</si>
  <si>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</si>
  <si>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</si>
  <si>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</si>
  <si>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</si>
  <si>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</si>
  <si>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</si>
  <si>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</si>
  <si>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</si>
  <si>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</si>
  <si>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</si>
  <si>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</si>
  <si>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</si>
  <si>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</si>
  <si>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</si>
  <si>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</si>
  <si>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</si>
  <si>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</si>
  <si>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</si>
  <si>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</si>
  <si>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</si>
  <si>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</si>
  <si>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</si>
  <si>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</si>
  <si>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</si>
  <si>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</si>
  <si>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</si>
  <si>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</si>
  <si>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</si>
  <si>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</si>
  <si>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</si>
  <si>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</si>
  <si>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</si>
  <si>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</si>
  <si>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</si>
  <si>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</si>
  <si>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</si>
  <si>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</si>
  <si>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</si>
  <si>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</si>
  <si>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</si>
  <si>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</si>
  <si>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</si>
  <si>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</si>
  <si>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</si>
  <si>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</si>
  <si>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</si>
  <si>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</si>
  <si>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</si>
  <si>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</si>
  <si>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</si>
  <si>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</si>
  <si>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</si>
  <si>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</si>
  <si>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</si>
  <si>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</si>
  <si>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</si>
  <si>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</si>
  <si>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</si>
  <si>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</si>
  <si>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</si>
  <si>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</si>
  <si>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</si>
  <si>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</si>
  <si>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</si>
  <si>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</si>
  <si>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</si>
  <si>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</si>
  <si>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</si>
  <si>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</si>
  <si>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</si>
  <si>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</si>
  <si>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</si>
  <si>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</si>
  <si>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</si>
  <si>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</si>
  <si>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</si>
  <si>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</si>
  <si>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</si>
  <si>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</si>
  <si>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</si>
  <si>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</si>
  <si>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</si>
  <si>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</si>
  <si>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</si>
  <si>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</si>
  <si>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</si>
  <si>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</si>
  <si>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</si>
  <si>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</si>
  <si>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</si>
  <si>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</si>
  <si>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</si>
  <si>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</si>
  <si>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</si>
  <si>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</si>
  <si>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</si>
  <si>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</si>
  <si>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</si>
  <si>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</si>
  <si>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</si>
  <si>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</si>
  <si>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</si>
  <si>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</si>
  <si>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</si>
  <si>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</si>
  <si>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</si>
  <si>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</si>
  <si>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</si>
  <si>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</si>
  <si>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</si>
  <si>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</si>
  <si>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</si>
  <si>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</si>
  <si>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</si>
  <si>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</si>
  <si>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</si>
  <si>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</si>
  <si>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</si>
  <si>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</si>
  <si>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</si>
  <si>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</si>
  <si>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</si>
  <si>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</si>
  <si>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</si>
  <si>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</si>
  <si>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</si>
  <si>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</si>
  <si>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</si>
  <si>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</si>
  <si>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</si>
  <si>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</si>
  <si>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</si>
  <si>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</si>
  <si>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</si>
  <si>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</si>
  <si>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</si>
  <si>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</si>
  <si>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</si>
  <si>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</si>
  <si>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</si>
  <si>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</si>
  <si>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</si>
  <si>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</si>
  <si>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</si>
  <si>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</si>
  <si>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</si>
  <si>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</si>
  <si>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</si>
  <si>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</si>
  <si>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</si>
  <si>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</si>
  <si>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</si>
  <si>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</si>
  <si>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</si>
  <si>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</si>
  <si>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</si>
  <si>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</si>
  <si>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</si>
  <si>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</si>
  <si>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</si>
  <si>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</si>
  <si>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</si>
  <si>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</si>
  <si>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</si>
  <si>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</si>
  <si>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</si>
  <si>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</si>
  <si>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</si>
  <si>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</si>
  <si>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</si>
  <si>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</si>
  <si>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</si>
  <si>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</si>
  <si>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</si>
  <si>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</si>
  <si>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</si>
  <si>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</si>
  <si>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</si>
  <si>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</si>
  <si>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</si>
  <si>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</si>
  <si>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</si>
  <si>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</si>
  <si>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</si>
  <si>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</si>
  <si>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</si>
  <si>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</si>
  <si>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</si>
  <si>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</si>
  <si>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</si>
  <si>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</si>
  <si>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</si>
  <si>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</si>
  <si>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</si>
  <si>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</si>
  <si>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</si>
  <si>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</si>
  <si>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</si>
  <si>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</si>
  <si>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</si>
  <si>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</si>
  <si>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</si>
  <si>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</si>
  <si>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</si>
  <si>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</si>
  <si>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</si>
  <si>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</si>
  <si>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</si>
  <si>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</si>
  <si>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</si>
  <si>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</si>
  <si>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</si>
  <si>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</si>
  <si>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</si>
  <si>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</si>
  <si>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</si>
  <si>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</si>
  <si>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</si>
  <si>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</si>
  <si>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</si>
  <si>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</si>
  <si>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</si>
  <si>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</si>
  <si>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</si>
  <si>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</si>
  <si>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</si>
  <si>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</si>
  <si>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</si>
  <si>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</si>
  <si>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</si>
  <si>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</si>
  <si>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</si>
  <si>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</si>
  <si>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</si>
  <si>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</si>
  <si>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</si>
  <si>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</si>
  <si>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</si>
  <si>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</si>
  <si>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</si>
  <si>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</si>
  <si>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</si>
  <si>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</si>
  <si>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</si>
  <si>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</si>
  <si>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</si>
  <si>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</si>
  <si>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</si>
  <si>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</si>
  <si>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</si>
  <si>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</si>
  <si>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</si>
  <si>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</si>
  <si>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</si>
  <si>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</si>
  <si>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</si>
  <si>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</si>
  <si>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</si>
  <si>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</si>
  <si>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</si>
  <si>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</si>
  <si>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</si>
  <si>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</si>
  <si>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</si>
  <si>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</si>
  <si>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</si>
  <si>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</si>
  <si>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</si>
  <si>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</si>
  <si>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</si>
  <si>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</si>
  <si>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</si>
  <si>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</si>
  <si>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</si>
  <si>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</si>
  <si>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</si>
  <si>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</si>
  <si>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</si>
  <si>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</si>
  <si>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</si>
  <si>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</si>
  <si>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</si>
  <si>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</si>
  <si>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</si>
  <si>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</si>
  <si>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</si>
  <si>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</si>
  <si>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</si>
  <si>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</si>
  <si>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</si>
  <si>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</si>
  <si>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</si>
  <si>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</si>
  <si>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</si>
  <si>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</si>
  <si>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</si>
  <si>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</si>
  <si>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</si>
  <si>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</si>
  <si>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</si>
  <si>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</si>
  <si>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</si>
  <si>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</si>
  <si>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</si>
  <si>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</si>
  <si>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</si>
  <si>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</si>
  <si>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</si>
  <si>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</si>
  <si>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</si>
  <si>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</si>
  <si>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</si>
  <si>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</si>
  <si>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</si>
  <si>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</si>
  <si>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</si>
  <si>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</si>
  <si>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</si>
  <si>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</si>
  <si>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</si>
  <si>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</si>
  <si>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</si>
  <si>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</si>
  <si>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</si>
  <si>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</si>
  <si>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</si>
  <si>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</si>
  <si>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</si>
  <si>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</si>
  <si>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</si>
  <si>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</si>
  <si>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</si>
  <si>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</si>
  <si>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</si>
  <si>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</si>
  <si>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</si>
  <si>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</si>
  <si>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</si>
  <si>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</si>
  <si>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</si>
  <si>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</si>
  <si>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</si>
  <si>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</si>
  <si>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</si>
  <si>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</si>
  <si>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</si>
  <si>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</si>
  <si>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</si>
  <si>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</si>
  <si>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</si>
  <si>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</si>
  <si>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</si>
  <si>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</si>
  <si>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</si>
  <si>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</si>
  <si>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</si>
  <si>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</si>
  <si>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</si>
  <si>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</si>
  <si>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</si>
  <si>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</si>
  <si>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</si>
  <si>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</si>
  <si>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</si>
  <si>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</si>
  <si>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</si>
  <si>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</si>
  <si>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</si>
  <si>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</si>
  <si>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</si>
  <si>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</si>
  <si>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</si>
  <si>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</si>
  <si>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</si>
  <si>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</si>
  <si>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</si>
  <si>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</si>
  <si>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</si>
  <si>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</si>
  <si>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</si>
  <si>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</si>
  <si>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</si>
  <si>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</si>
  <si>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</si>
  <si>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</si>
  <si>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</si>
  <si>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</si>
  <si>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</si>
  <si>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</si>
  <si>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</si>
  <si>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</si>
  <si>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</si>
  <si>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</si>
  <si>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</si>
  <si>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</si>
  <si>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</si>
  <si>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</si>
  <si>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</si>
  <si>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</si>
  <si>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</si>
  <si>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</si>
  <si>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</si>
  <si>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</si>
  <si>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</si>
  <si>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</si>
  <si>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</si>
  <si>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</si>
  <si>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</si>
  <si>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</si>
  <si>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</si>
  <si>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</si>
  <si>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</si>
  <si>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</si>
  <si>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</si>
  <si>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</si>
  <si>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</si>
  <si>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</si>
  <si>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</si>
  <si>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</si>
  <si>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</si>
  <si>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</si>
  <si>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</si>
  <si>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</si>
  <si>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</si>
  <si>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</si>
  <si>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</si>
  <si>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</si>
  <si>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</si>
  <si>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</si>
  <si>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</si>
  <si>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</si>
  <si>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</si>
  <si>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</si>
  <si>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</si>
  <si>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</si>
  <si>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</si>
  <si>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</si>
  <si>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</si>
  <si>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</si>
  <si>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</si>
  <si>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</si>
  <si>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</si>
  <si>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</si>
  <si>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</si>
  <si>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</si>
  <si>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</si>
  <si>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</si>
  <si>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</si>
  <si>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</si>
  <si>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</si>
  <si>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</si>
  <si>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</si>
  <si>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</si>
  <si>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</si>
  <si>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</si>
  <si>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</si>
  <si>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</si>
  <si>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</si>
  <si>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</si>
  <si>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</si>
  <si>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</si>
  <si>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</si>
  <si>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</si>
  <si>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</si>
  <si>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</si>
  <si>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</si>
  <si>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</si>
  <si>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</si>
  <si>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</si>
  <si>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</si>
  <si>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</si>
  <si>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</si>
  <si>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</si>
  <si>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</si>
  <si>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</si>
  <si>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</si>
  <si>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</si>
  <si>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</si>
  <si>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</si>
  <si>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</si>
  <si>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</si>
  <si>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</si>
  <si>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</si>
  <si>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</si>
  <si>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</si>
  <si>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</si>
  <si>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</si>
  <si>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</si>
  <si>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</si>
  <si>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</si>
  <si>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</si>
  <si>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</si>
  <si>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</si>
  <si>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</si>
  <si>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</si>
  <si>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</si>
  <si>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</si>
  <si>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</si>
  <si>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</si>
  <si>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</si>
  <si>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</si>
  <si>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</si>
  <si>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</si>
  <si>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</si>
  <si>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</si>
  <si>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</si>
  <si>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</si>
  <si>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</si>
  <si>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</si>
  <si>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</si>
  <si>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</si>
  <si>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</si>
  <si>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</si>
  <si>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</si>
  <si>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</si>
  <si>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</si>
  <si>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</si>
  <si>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</si>
  <si>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</si>
  <si>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</si>
  <si>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</si>
  <si>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</si>
  <si>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</si>
  <si>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</si>
  <si>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</si>
  <si>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</si>
  <si>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</si>
  <si>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</si>
  <si>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</si>
  <si>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</si>
  <si>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</si>
  <si>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</si>
  <si>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</si>
  <si>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</si>
  <si>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</si>
  <si>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</si>
  <si>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</si>
  <si>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</si>
  <si>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</si>
  <si>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</si>
  <si>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</si>
  <si>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</si>
  <si>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</si>
  <si>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</si>
  <si>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</si>
  <si>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</si>
  <si>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</si>
  <si>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</si>
  <si>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</si>
  <si>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</si>
  <si>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</si>
  <si>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</si>
  <si>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</si>
  <si>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</si>
  <si>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</si>
  <si>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</si>
  <si>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</si>
  <si>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</si>
  <si>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</si>
  <si>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</si>
  <si>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</si>
  <si>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</si>
  <si>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</si>
  <si>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</si>
  <si>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</si>
  <si>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</si>
  <si>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</si>
  <si>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</si>
  <si>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</si>
  <si>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</si>
  <si>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</si>
  <si>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</si>
  <si>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</si>
  <si>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</si>
  <si>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</si>
  <si>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</si>
  <si>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</si>
  <si>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</si>
  <si>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</si>
  <si>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</si>
  <si>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</si>
  <si>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</si>
  <si>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</si>
  <si>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</si>
  <si>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</si>
  <si>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</si>
  <si>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</si>
  <si>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</si>
  <si>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</si>
  <si>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</si>
  <si>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</si>
  <si>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</si>
  <si>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</si>
  <si>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</si>
  <si>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</si>
  <si>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</si>
  <si>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</si>
  <si>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</si>
  <si>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</si>
  <si>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</si>
  <si>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</si>
  <si>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</si>
  <si>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</si>
  <si>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</si>
  <si>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</si>
  <si>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</si>
  <si>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</si>
  <si>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</si>
  <si>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</si>
  <si>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</si>
  <si>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</si>
  <si>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</si>
  <si>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</si>
  <si>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</si>
  <si>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</si>
  <si>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</si>
  <si>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</si>
  <si>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</si>
  <si>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</si>
  <si>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</si>
  <si>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</si>
  <si>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</si>
  <si>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</si>
  <si>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</si>
  <si>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</si>
  <si>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</si>
  <si>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</si>
  <si>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</si>
  <si>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</si>
  <si>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</si>
  <si>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</si>
  <si>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</si>
  <si>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</si>
  <si>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</si>
  <si>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</si>
  <si>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</si>
  <si>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</si>
  <si>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</si>
  <si>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</si>
  <si>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</si>
  <si>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</si>
  <si>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</si>
  <si>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</si>
  <si>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</si>
  <si>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</si>
  <si>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</si>
  <si>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</si>
  <si>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</si>
  <si>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</si>
  <si>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</si>
  <si>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</si>
  <si>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</si>
  <si>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</si>
  <si>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</si>
  <si>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</si>
  <si>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</si>
  <si>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</si>
  <si>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</si>
  <si>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</si>
  <si>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</si>
  <si>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</si>
  <si>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</si>
  <si>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</si>
  <si>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</si>
  <si>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</si>
  <si>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</si>
  <si>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</si>
  <si>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</si>
  <si>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</si>
  <si>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</si>
  <si>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</si>
  <si>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</si>
  <si>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</si>
  <si>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</si>
  <si>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</si>
  <si>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</si>
  <si>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</si>
  <si>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</si>
  <si>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</si>
  <si>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</si>
  <si>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</si>
  <si>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</si>
  <si>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</si>
  <si>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</si>
  <si>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</si>
  <si>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</si>
  <si>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</si>
  <si>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</si>
  <si>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</si>
  <si>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</si>
  <si>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</si>
  <si>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</si>
  <si>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</si>
  <si>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</si>
  <si>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</si>
  <si>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</si>
  <si>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</si>
  <si>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</si>
  <si>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</si>
  <si>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</si>
  <si>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</si>
  <si>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</si>
  <si>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</si>
  <si>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</si>
  <si>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</si>
  <si>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</si>
  <si>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</si>
  <si>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</si>
  <si>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</si>
  <si>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</si>
  <si>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</si>
  <si>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</si>
  <si>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</si>
  <si>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</si>
  <si>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</si>
  <si>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</si>
  <si>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</si>
  <si>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</si>
  <si>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</si>
  <si>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</si>
  <si>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</si>
  <si>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</si>
  <si>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</si>
  <si>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</si>
  <si>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</si>
  <si>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</si>
  <si>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</si>
  <si>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</si>
  <si>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</si>
  <si>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</si>
  <si>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</si>
  <si>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</si>
  <si>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</si>
  <si>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</si>
  <si>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</si>
  <si>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</si>
  <si>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</si>
  <si>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</si>
  <si>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</si>
  <si>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</si>
  <si>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</si>
  <si>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</si>
  <si>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</si>
  <si>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</si>
  <si>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</si>
  <si>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</si>
  <si>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</si>
  <si>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</si>
  <si>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</si>
  <si>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</si>
  <si>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</si>
  <si>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</si>
  <si>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</si>
  <si>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</si>
  <si>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</si>
  <si>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</si>
  <si>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</si>
  <si>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</si>
  <si>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</si>
  <si>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</si>
  <si>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</si>
  <si>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</si>
  <si>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</si>
  <si>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</si>
  <si>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</si>
  <si>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</si>
  <si>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</si>
  <si>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</si>
  <si>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</si>
  <si>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</si>
  <si>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</si>
  <si>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</si>
  <si>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</si>
  <si>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</si>
  <si>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</si>
  <si>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</si>
  <si>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</si>
  <si>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</si>
  <si>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</si>
  <si>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</si>
  <si>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</si>
  <si>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</si>
  <si>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</si>
  <si>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</si>
  <si>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</si>
  <si>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</si>
  <si>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</si>
  <si>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</si>
  <si>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</si>
  <si>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</si>
  <si>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</si>
  <si>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</si>
  <si>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</si>
  <si>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</si>
  <si>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</si>
  <si>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</si>
  <si>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</si>
  <si>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</si>
  <si>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</si>
  <si>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</si>
  <si>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</si>
  <si>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</si>
  <si>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</si>
  <si>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</si>
  <si>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</si>
  <si>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</si>
  <si>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</si>
  <si>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</si>
  <si>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</si>
  <si>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</si>
  <si>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</si>
  <si>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</si>
  <si>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</si>
  <si>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</si>
  <si>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</si>
  <si>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郑燚</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</si>
  <si>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</si>
  <si>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</si>
  <si>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</si>
  <si>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</si>
  <si>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</si>
  <si>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</si>
  <si>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</si>
  <si>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</si>
  <si>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</si>
  <si>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</si>
  <si>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</si>
  <si>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</si>
  <si>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</si>
  <si>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</si>
  <si>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</si>
  <si>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</si>
  <si>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</si>
  <si>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</si>
  <si>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</si>
  <si>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</si>
  <si>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</si>
  <si>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</si>
  <si>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</si>
  <si>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</si>
  <si>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</si>
  <si>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</si>
  <si>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</si>
  <si>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</si>
  <si>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</si>
  <si>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</si>
  <si>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</si>
  <si>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</si>
  <si>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</si>
  <si>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</si>
  <si>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</si>
  <si>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</si>
  <si>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</si>
  <si>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</si>
  <si>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</si>
  <si>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</si>
  <si>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</si>
  <si>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</si>
  <si>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</si>
  <si>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</si>
  <si>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</si>
  <si>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</si>
  <si>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</si>
  <si>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</si>
  <si>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</si>
  <si>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权重</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</si>
  <si>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</si>
  <si>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</si>
  <si>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</si>
  <si>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</si>
  <si>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</si>
  <si>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</si>
  <si>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</si>
  <si>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</si>
  <si>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</si>
  <si>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</si>
  <si>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</si>
  <si>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</si>
  <si>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</si>
  <si>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</si>
  <si>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</si>
  <si>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</si>
  <si>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</si>
  <si>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</si>
  <si>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</si>
  <si>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</si>
  <si>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</si>
  <si>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</si>
  <si>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</si>
  <si>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</si>
  <si>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</si>
  <si>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</si>
  <si>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</si>
  <si>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</si>
  <si>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</si>
  <si>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</si>
  <si>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</si>
  <si>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</si>
  <si>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</si>
  <si>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</si>
  <si>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</si>
  <si>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</si>
  <si>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</si>
  <si>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直接资本化</t>
    <phoneticPr fontId="134"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</si>
  <si>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</si>
  <si>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</si>
  <si>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</si>
  <si>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</si>
  <si>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</si>
  <si>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租金</t>
    <phoneticPr fontId="134" type="noConversion"/>
  </si>
  <si>
    <t>销售费用产生的利润</t>
    <phoneticPr fontId="3" type="noConversion"/>
  </si>
  <si>
    <t>3×利润率</t>
    <phoneticPr fontId="3" type="noConversion"/>
  </si>
  <si>
    <t>售价</t>
    <phoneticPr fontId="134" type="noConversion"/>
  </si>
  <si>
    <t>6</t>
    <phoneticPr fontId="3" type="noConversion"/>
  </si>
  <si>
    <t>销售税费</t>
    <phoneticPr fontId="3" type="noConversion"/>
  </si>
  <si>
    <t>V×费率÷（1+5%）</t>
    <phoneticPr fontId="3" type="noConversion"/>
  </si>
  <si>
    <t>直接资本化率</t>
    <phoneticPr fontId="134"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</si>
  <si>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</si>
  <si>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</si>
  <si>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</si>
  <si>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</si>
  <si>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</si>
  <si>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</si>
  <si>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</si>
  <si>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</si>
  <si>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</si>
  <si>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</si>
  <si>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</si>
  <si>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</si>
  <si>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</si>
  <si>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</si>
  <si>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</si>
  <si>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5</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</si>
  <si>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</si>
  <si>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</si>
  <si>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</si>
  <si>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</si>
  <si>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</si>
  <si>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</si>
  <si>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</si>
  <si>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</si>
  <si>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</si>
  <si>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</si>
  <si>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</si>
  <si>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 xml:space="preserve"> </t>
    <phoneticPr fontId="134"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</si>
  <si>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</si>
  <si>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</si>
  <si>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</si>
  <si>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</si>
  <si>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</si>
  <si>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</si>
  <si>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</si>
  <si>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</si>
  <si>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</si>
  <si>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</si>
  <si>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</si>
  <si>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</si>
  <si>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</si>
  <si>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使用面积</t>
    <phoneticPr fontId="134" type="noConversion"/>
  </si>
  <si>
    <t>建筑面积</t>
    <phoneticPr fontId="134" type="noConversion"/>
  </si>
  <si>
    <t>抵押</t>
  </si>
  <si>
    <t>北京市</t>
  </si>
  <si>
    <t>企业</t>
  </si>
  <si>
    <t>房地产市场价值</t>
  </si>
  <si>
    <t>办公项目</t>
  </si>
  <si>
    <t>无</t>
  </si>
  <si>
    <t>否</t>
  </si>
  <si>
    <t>现房</t>
  </si>
  <si>
    <t>是</t>
  </si>
  <si>
    <t>地上</t>
  </si>
  <si>
    <t>办公</t>
    <phoneticPr fontId="7" type="noConversion"/>
  </si>
  <si>
    <t>成新度</t>
  </si>
  <si>
    <t>单套模式</t>
  </si>
  <si>
    <t>售价</t>
  </si>
  <si>
    <t>金嘉大厦</t>
    <phoneticPr fontId="3" type="noConversion"/>
  </si>
  <si>
    <t>正常</t>
  </si>
  <si>
    <t>办公</t>
    <phoneticPr fontId="31" type="noConversion"/>
  </si>
  <si>
    <t>较好</t>
  </si>
  <si>
    <t>七通</t>
  </si>
  <si>
    <t>高区</t>
    <phoneticPr fontId="31" type="noConversion"/>
  </si>
  <si>
    <t>中区</t>
    <phoneticPr fontId="31" type="noConversion"/>
  </si>
  <si>
    <t>低区</t>
  </si>
  <si>
    <t>低区</t>
    <phoneticPr fontId="31" type="noConversion"/>
  </si>
  <si>
    <t>写字楼</t>
  </si>
  <si>
    <t>写字楼</t>
    <phoneticPr fontId="31" type="noConversion"/>
  </si>
  <si>
    <t>钢混</t>
  </si>
  <si>
    <t>钢混</t>
    <phoneticPr fontId="31" type="noConversion"/>
  </si>
  <si>
    <t>精装修</t>
  </si>
  <si>
    <t>精装修</t>
    <phoneticPr fontId="31" type="noConversion"/>
  </si>
  <si>
    <t>甲级</t>
    <phoneticPr fontId="31" type="noConversion"/>
  </si>
  <si>
    <t>乙级</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</si>
  <si>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</si>
  <si>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</si>
  <si>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</si>
  <si>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</si>
  <si>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</si>
  <si>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</si>
  <si>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</si>
  <si>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</si>
  <si>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</si>
  <si>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</si>
  <si>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</si>
  <si>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中区</t>
  </si>
  <si>
    <t>中海国际中心</t>
    <phoneticPr fontId="3" type="noConversion"/>
  </si>
  <si>
    <t>富凯大厦</t>
    <phoneticPr fontId="3" type="noConversion"/>
  </si>
  <si>
    <t>报价</t>
  </si>
  <si>
    <t>报价</t>
    <phoneticPr fontId="31" type="noConversion"/>
  </si>
  <si>
    <t>中海金融中心</t>
    <phoneticPr fontId="3" type="noConversion"/>
  </si>
  <si>
    <t>租金</t>
  </si>
  <si>
    <r>
      <rPr>
        <sz val="10"/>
        <color indexed="8"/>
        <rFont val="宋体"/>
        <family val="3"/>
        <charset val="134"/>
      </rPr>
      <t>共</t>
    </r>
    <r>
      <rPr>
        <sz val="10"/>
        <color indexed="8"/>
        <rFont val="Arial"/>
        <family val="2"/>
      </rPr>
      <t>13</t>
    </r>
    <r>
      <rPr>
        <sz val="10"/>
        <color indexed="8"/>
        <rFont val="宋体"/>
        <family val="3"/>
        <charset val="134"/>
      </rPr>
      <t>层</t>
    </r>
    <phoneticPr fontId="24" type="noConversion"/>
  </si>
  <si>
    <t>物业费 35</t>
    <phoneticPr fontId="134" type="noConversion"/>
  </si>
  <si>
    <t>物业费34</t>
    <phoneticPr fontId="134" type="noConversion"/>
  </si>
  <si>
    <t>物业费30</t>
    <phoneticPr fontId="134" type="noConversion"/>
  </si>
  <si>
    <t>高区</t>
  </si>
  <si>
    <t>金融街中心</t>
    <phoneticPr fontId="3" type="noConversion"/>
  </si>
  <si>
    <r>
      <rPr>
        <sz val="10"/>
        <color theme="9" tint="-0.249977111117893"/>
        <rFont val="宋体"/>
        <family val="3"/>
        <charset val="134"/>
      </rPr>
      <t>西城区金融大街</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t>
    </r>
    <r>
      <rPr>
        <sz val="10"/>
        <color theme="9" tint="-0.249977111117893"/>
        <rFont val="Arial"/>
        <family val="2"/>
      </rPr>
      <t>3</t>
    </r>
    <r>
      <rPr>
        <sz val="10"/>
        <color theme="9" tint="-0.249977111117893"/>
        <rFont val="宋体"/>
        <family val="3"/>
        <charset val="134"/>
      </rPr>
      <t>套办公用房</t>
    </r>
    <phoneticPr fontId="6" type="noConversion"/>
  </si>
  <si>
    <t>物业费 30</t>
    <phoneticPr fontId="134" type="noConversion"/>
  </si>
  <si>
    <t>金益大厦</t>
    <phoneticPr fontId="3" type="noConversion"/>
  </si>
  <si>
    <t>E9大厦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</si>
</sst>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409]d\-mmm\-yy;@"/>
    <numFmt numFmtId="198" formatCode="_(* #,##0.00_);_(* \(#,##0.00\);_(* &quot;-&quot;??_);_(@_)"/>
    <numFmt numFmtId="199" formatCode="_-* #,##0.00_-;\-* #,##0.00_-;_-* &quot;-&quot;??_-;_-@_-"/>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1"/>
      <color rgb="FFFF0000"/>
      <name val="宋体"/>
      <family val="3"/>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name val="ＭＳ Ｐゴシック"/>
      <family val="2"/>
      <charset val="128"/>
    </font>
    <font>
      <sz val="11"/>
      <color rgb="FF9C0006"/>
      <name val="宋体"/>
      <family val="3"/>
      <charset val="134"/>
      <scheme val="minor"/>
    </font>
    <font>
      <sz val="12"/>
      <name val="新細明體"/>
      <charset val="134"/>
    </font>
    <font>
      <sz val="12"/>
      <name val="細明體"/>
      <charset val="136"/>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rgb="FFFFC7CE"/>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8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7" fontId="95" fillId="0" borderId="0">
      <alignment vertical="center"/>
    </xf>
    <xf numFmtId="9" fontId="95" fillId="0" borderId="0" applyFont="0" applyFill="0" applyBorder="0" applyAlignment="0" applyProtection="0">
      <alignment vertical="center"/>
    </xf>
    <xf numFmtId="197" fontId="95" fillId="0" borderId="0">
      <alignment vertical="center"/>
    </xf>
    <xf numFmtId="197" fontId="36" fillId="0" borderId="0"/>
    <xf numFmtId="43" fontId="128" fillId="0" borderId="0" applyFont="0" applyFill="0" applyBorder="0" applyAlignment="0" applyProtection="0">
      <alignment vertical="center"/>
    </xf>
    <xf numFmtId="198" fontId="174" fillId="0" borderId="0" applyFont="0" applyFill="0" applyBorder="0" applyAlignment="0" applyProtection="0"/>
    <xf numFmtId="197" fontId="95" fillId="0" borderId="0">
      <alignment vertical="center"/>
    </xf>
    <xf numFmtId="197" fontId="288" fillId="0" borderId="0"/>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197" fontId="289" fillId="25" borderId="0" applyNumberFormat="0" applyBorder="0" applyAlignment="0" applyProtection="0">
      <alignment vertical="center"/>
    </xf>
    <xf numFmtId="197" fontId="147" fillId="0" borderId="0"/>
    <xf numFmtId="197" fontId="36" fillId="0" borderId="0"/>
    <xf numFmtId="197" fontId="95" fillId="0" borderId="0">
      <alignment vertical="center"/>
    </xf>
    <xf numFmtId="197" fontId="36" fillId="0" borderId="0"/>
    <xf numFmtId="197" fontId="36" fillId="0" borderId="0">
      <alignment vertical="center"/>
    </xf>
    <xf numFmtId="197" fontId="36" fillId="0" borderId="0">
      <alignment vertical="center"/>
    </xf>
    <xf numFmtId="197" fontId="36" fillId="0" borderId="0">
      <alignment vertical="center"/>
    </xf>
    <xf numFmtId="0" fontId="95" fillId="0" borderId="0"/>
    <xf numFmtId="197" fontId="95"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36" fillId="0" borderId="0">
      <alignment vertical="center"/>
    </xf>
    <xf numFmtId="197" fontId="95" fillId="0" borderId="0"/>
    <xf numFmtId="197" fontId="147" fillId="0" borderId="0"/>
    <xf numFmtId="43" fontId="36" fillId="0" borderId="0" applyFont="0" applyFill="0" applyBorder="0" applyAlignment="0" applyProtection="0"/>
    <xf numFmtId="199" fontId="36" fillId="0" borderId="0" applyFont="0" applyFill="0" applyBorder="0" applyAlignment="0" applyProtection="0">
      <alignment vertical="center"/>
    </xf>
    <xf numFmtId="43" fontId="36" fillId="0" borderId="0" applyFont="0" applyFill="0" applyBorder="0" applyAlignment="0" applyProtection="0"/>
    <xf numFmtId="43" fontId="135" fillId="0" borderId="0" applyFont="0" applyFill="0" applyBorder="0" applyAlignment="0" applyProtection="0">
      <alignment vertical="center"/>
    </xf>
    <xf numFmtId="43" fontId="290"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0" fillId="0" borderId="0" applyFont="0" applyFill="0" applyBorder="0" applyAlignment="0" applyProtection="0">
      <alignment vertical="center"/>
    </xf>
    <xf numFmtId="41" fontId="36" fillId="0" borderId="0" applyFont="0" applyFill="0" applyBorder="0" applyAlignment="0" applyProtection="0">
      <alignment vertical="center"/>
    </xf>
    <xf numFmtId="10" fontId="291" fillId="0" borderId="0"/>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19" applyNumberFormat="1" applyFont="1" applyBorder="1" applyAlignment="1">
      <alignment vertical="center"/>
    </xf>
    <xf numFmtId="0" fontId="272" fillId="0" borderId="1" xfId="19" applyNumberFormat="1" applyFont="1" applyBorder="1" applyAlignment="1">
      <alignment horizontal="left" vertical="center" wrapText="1" shrinkToFit="1"/>
    </xf>
    <xf numFmtId="0" fontId="273" fillId="0" borderId="1" xfId="19" applyNumberFormat="1" applyFont="1" applyBorder="1" applyAlignment="1">
      <alignment horizontal="center" vertical="center" wrapText="1" shrinkToFit="1"/>
    </xf>
    <xf numFmtId="0" fontId="95" fillId="0" borderId="0" xfId="19" applyNumberFormat="1" applyAlignment="1"/>
    <xf numFmtId="0" fontId="95" fillId="0" borderId="0" xfId="19" applyNumberFormat="1" applyFont="1" applyAlignment="1">
      <alignment vertical="center" wrapText="1"/>
    </xf>
    <xf numFmtId="0" fontId="110" fillId="0" borderId="1" xfId="19" applyNumberFormat="1" applyFont="1" applyFill="1" applyBorder="1" applyAlignment="1">
      <alignment horizontal="center" vertical="center" wrapText="1" shrinkToFit="1"/>
    </xf>
    <xf numFmtId="0" fontId="110" fillId="0" borderId="1" xfId="19" applyNumberFormat="1" applyFont="1" applyFill="1" applyBorder="1" applyAlignment="1">
      <alignment vertical="center" wrapText="1" shrinkToFit="1"/>
    </xf>
    <xf numFmtId="0" fontId="272" fillId="0" borderId="1" xfId="19" applyNumberFormat="1" applyFont="1" applyBorder="1" applyAlignment="1">
      <alignment horizontal="center" vertical="center" wrapText="1" shrinkToFit="1"/>
    </xf>
    <xf numFmtId="0" fontId="107" fillId="0" borderId="0" xfId="19" applyNumberFormat="1" applyFont="1" applyAlignment="1">
      <alignment wrapText="1"/>
    </xf>
    <xf numFmtId="0" fontId="110" fillId="0" borderId="1" xfId="19" applyNumberFormat="1" applyFont="1" applyBorder="1" applyAlignment="1">
      <alignment horizontal="center" vertical="center" wrapText="1" shrinkToFit="1"/>
    </xf>
    <xf numFmtId="0" fontId="110" fillId="0" borderId="1" xfId="19" applyNumberFormat="1" applyFont="1" applyFill="1" applyBorder="1" applyAlignment="1">
      <alignment horizontal="left" vertical="center" wrapText="1" shrinkToFit="1"/>
    </xf>
    <xf numFmtId="0" fontId="110" fillId="0" borderId="1" xfId="19" applyNumberFormat="1" applyFont="1" applyBorder="1" applyAlignment="1">
      <alignment horizontal="left" vertical="center" wrapText="1" shrinkToFit="1"/>
    </xf>
    <xf numFmtId="0" fontId="107" fillId="0" borderId="0" xfId="19" applyNumberFormat="1" applyFont="1" applyFill="1" applyAlignment="1">
      <alignment wrapText="1"/>
    </xf>
    <xf numFmtId="181" fontId="276" fillId="5" borderId="1" xfId="20" applyNumberFormat="1" applyFont="1" applyFill="1" applyBorder="1" applyAlignment="1">
      <alignment horizontal="center" vertical="center" wrapText="1" shrinkToFit="1"/>
    </xf>
    <xf numFmtId="0" fontId="277" fillId="0" borderId="1" xfId="19" applyNumberFormat="1" applyFont="1" applyFill="1" applyBorder="1" applyAlignment="1">
      <alignment horizontal="center" vertical="center" wrapText="1"/>
    </xf>
    <xf numFmtId="0" fontId="276" fillId="0" borderId="1" xfId="19" applyNumberFormat="1" applyFont="1" applyFill="1" applyBorder="1" applyAlignment="1">
      <alignment horizontal="center" vertical="center" wrapText="1" shrinkToFit="1"/>
    </xf>
    <xf numFmtId="0" fontId="110" fillId="0" borderId="0" xfId="19" applyNumberFormat="1" applyFont="1" applyFill="1" applyBorder="1" applyAlignment="1">
      <alignment horizontal="center" vertical="center"/>
    </xf>
    <xf numFmtId="0" fontId="278" fillId="22" borderId="1" xfId="19" applyNumberFormat="1" applyFont="1" applyFill="1" applyBorder="1" applyAlignment="1">
      <alignment horizontal="center" vertical="center" wrapText="1"/>
    </xf>
    <xf numFmtId="0" fontId="95" fillId="0" borderId="0" xfId="19" applyNumberFormat="1" applyFont="1" applyAlignment="1">
      <alignment vertical="center" wrapText="1" shrinkToFit="1"/>
    </xf>
    <xf numFmtId="0" fontId="110" fillId="0" borderId="0" xfId="19" applyNumberFormat="1" applyFont="1" applyBorder="1" applyAlignment="1">
      <alignment horizontal="center" vertical="center"/>
    </xf>
    <xf numFmtId="0" fontId="107" fillId="0" borderId="1" xfId="19" applyNumberFormat="1" applyFont="1" applyBorder="1" applyAlignment="1">
      <alignment vertical="center" wrapText="1"/>
    </xf>
    <xf numFmtId="0" fontId="107" fillId="0" borderId="1" xfId="19" applyNumberFormat="1" applyFont="1" applyBorder="1" applyAlignment="1">
      <alignment horizontal="center" vertical="center" wrapText="1"/>
    </xf>
    <xf numFmtId="9" fontId="272" fillId="0" borderId="1" xfId="19" applyNumberFormat="1" applyFont="1" applyFill="1" applyBorder="1" applyAlignment="1">
      <alignment horizontal="center" vertical="center" wrapText="1"/>
    </xf>
    <xf numFmtId="0" fontId="110" fillId="5" borderId="1" xfId="19" applyNumberFormat="1" applyFont="1" applyFill="1" applyBorder="1" applyAlignment="1">
      <alignment horizontal="center" vertical="center" wrapText="1" shrinkToFit="1"/>
    </xf>
    <xf numFmtId="0" fontId="279" fillId="0" borderId="0" xfId="19" applyNumberFormat="1" applyFont="1" applyAlignment="1">
      <alignment vertical="center"/>
    </xf>
    <xf numFmtId="0" fontId="107" fillId="22" borderId="1" xfId="19" applyNumberFormat="1" applyFont="1" applyFill="1" applyBorder="1" applyAlignment="1">
      <alignment horizontal="center" vertical="center" wrapText="1"/>
    </xf>
    <xf numFmtId="0" fontId="112" fillId="0" borderId="1" xfId="19" applyNumberFormat="1" applyFont="1" applyBorder="1" applyAlignment="1">
      <alignment horizontal="center" vertical="center" wrapText="1"/>
    </xf>
    <xf numFmtId="0" fontId="107" fillId="0" borderId="1" xfId="19" applyNumberFormat="1" applyFont="1" applyBorder="1" applyAlignment="1">
      <alignment wrapText="1"/>
    </xf>
    <xf numFmtId="0" fontId="95" fillId="0" borderId="0" xfId="19" applyNumberFormat="1" applyFont="1" applyAlignment="1">
      <alignment vertical="center"/>
    </xf>
    <xf numFmtId="0" fontId="122" fillId="0" borderId="0" xfId="21" applyNumberFormat="1" applyFont="1" applyBorder="1" applyAlignment="1" applyProtection="1">
      <alignment horizontal="left" vertical="center"/>
      <protection hidden="1"/>
    </xf>
    <xf numFmtId="0" fontId="279" fillId="0" borderId="0" xfId="19" applyNumberFormat="1" applyFont="1" applyAlignment="1">
      <alignment vertical="center" wrapText="1" shrinkToFit="1"/>
    </xf>
    <xf numFmtId="0" fontId="110" fillId="0" borderId="13" xfId="19" applyNumberFormat="1" applyFont="1" applyFill="1" applyBorder="1" applyAlignment="1">
      <alignment horizontal="center" vertical="center" wrapText="1" shrinkToFit="1"/>
    </xf>
    <xf numFmtId="0" fontId="110" fillId="0" borderId="13" xfId="19" applyNumberFormat="1" applyFont="1" applyFill="1" applyBorder="1" applyAlignment="1">
      <alignment vertical="center" wrapText="1" shrinkToFit="1"/>
    </xf>
    <xf numFmtId="0" fontId="110" fillId="0" borderId="5" xfId="19" applyNumberFormat="1" applyFont="1" applyFill="1" applyBorder="1" applyAlignment="1">
      <alignment horizontal="center" vertical="center" wrapText="1" shrinkToFit="1"/>
    </xf>
    <xf numFmtId="0" fontId="110" fillId="0" borderId="54" xfId="19" applyNumberFormat="1" applyFont="1" applyFill="1" applyBorder="1" applyAlignment="1">
      <alignment horizontal="center" vertical="center" wrapText="1" shrinkToFit="1"/>
    </xf>
    <xf numFmtId="0" fontId="110" fillId="0" borderId="3" xfId="19" applyNumberFormat="1" applyFont="1" applyFill="1" applyBorder="1" applyAlignment="1">
      <alignment horizontal="left" vertical="center" wrapText="1" shrinkToFit="1"/>
    </xf>
    <xf numFmtId="10" fontId="110" fillId="0" borderId="1" xfId="20" applyNumberFormat="1" applyFont="1" applyFill="1" applyBorder="1" applyAlignment="1">
      <alignment horizontal="center" vertical="center" wrapText="1" shrinkToFit="1"/>
    </xf>
    <xf numFmtId="0" fontId="280" fillId="0" borderId="0" xfId="19" applyNumberFormat="1" applyFont="1" applyAlignment="1">
      <alignment vertical="center" wrapText="1" shrinkToFit="1"/>
    </xf>
    <xf numFmtId="0" fontId="110" fillId="0" borderId="5" xfId="19" applyNumberFormat="1" applyFont="1" applyFill="1" applyBorder="1" applyAlignment="1">
      <alignment horizontal="right" vertical="center" wrapText="1" shrinkToFit="1"/>
    </xf>
    <xf numFmtId="0" fontId="111" fillId="0" borderId="0" xfId="19" applyNumberFormat="1" applyFont="1" applyFill="1" applyBorder="1" applyAlignment="1">
      <alignment horizontal="center" vertical="center"/>
    </xf>
    <xf numFmtId="0" fontId="281" fillId="0" borderId="0" xfId="19" applyNumberFormat="1" applyFont="1" applyFill="1" applyAlignment="1">
      <alignment vertical="center"/>
    </xf>
    <xf numFmtId="0" fontId="95" fillId="0" borderId="0" xfId="19" applyNumberFormat="1" applyAlignment="1">
      <alignment horizontal="left" vertical="center" wrapText="1"/>
    </xf>
    <xf numFmtId="0" fontId="95" fillId="0" borderId="0" xfId="19" applyNumberFormat="1" applyFill="1" applyAlignment="1">
      <alignment vertical="center" wrapText="1"/>
    </xf>
    <xf numFmtId="0" fontId="95" fillId="0" borderId="0" xfId="19" applyNumberFormat="1" applyAlignment="1">
      <alignment horizontal="center" vertical="center" wrapText="1"/>
    </xf>
    <xf numFmtId="0" fontId="95" fillId="0" borderId="0" xfId="19" applyNumberFormat="1" applyAlignment="1">
      <alignment vertical="center" wrapText="1"/>
    </xf>
    <xf numFmtId="0" fontId="279" fillId="0" borderId="0" xfId="19" applyNumberFormat="1" applyFont="1" applyFill="1" applyAlignment="1">
      <alignment horizontal="center" vertical="center" wrapText="1"/>
    </xf>
    <xf numFmtId="0" fontId="279" fillId="0" borderId="0" xfId="19" applyNumberFormat="1" applyFont="1" applyFill="1" applyAlignment="1">
      <alignment vertical="center" wrapText="1"/>
    </xf>
    <xf numFmtId="0" fontId="95" fillId="0" borderId="0" xfId="19" applyNumberFormat="1" applyFont="1" applyFill="1" applyAlignment="1">
      <alignment vertical="center" wrapText="1"/>
    </xf>
    <xf numFmtId="0" fontId="134" fillId="0" borderId="1" xfId="19" applyNumberFormat="1" applyFont="1" applyBorder="1" applyAlignment="1">
      <alignment horizontal="center" vertical="center" wrapText="1"/>
    </xf>
    <xf numFmtId="0" fontId="134" fillId="0" borderId="1" xfId="19" applyNumberFormat="1" applyFont="1" applyFill="1" applyBorder="1" applyAlignment="1">
      <alignment horizontal="center" vertical="center" wrapText="1"/>
    </xf>
    <xf numFmtId="0" fontId="279" fillId="0" borderId="0" xfId="20" applyNumberFormat="1" applyFont="1" applyFill="1" applyAlignment="1">
      <alignment horizontal="center" vertical="center" wrapText="1"/>
    </xf>
    <xf numFmtId="0" fontId="286" fillId="0" borderId="0" xfId="19" applyNumberFormat="1" applyFont="1" applyFill="1" applyAlignment="1">
      <alignment vertical="center" wrapText="1"/>
    </xf>
    <xf numFmtId="0" fontId="287" fillId="0" borderId="0" xfId="19" applyNumberFormat="1" applyFont="1" applyFill="1" applyAlignment="1">
      <alignment vertical="center" wrapText="1"/>
    </xf>
    <xf numFmtId="0" fontId="279" fillId="0" borderId="0" xfId="19" applyNumberFormat="1" applyFont="1" applyAlignment="1">
      <alignment horizontal="center" vertical="center" wrapText="1"/>
    </xf>
    <xf numFmtId="0" fontId="286" fillId="0" borderId="0" xfId="19" applyNumberFormat="1" applyFont="1" applyFill="1" applyAlignment="1">
      <alignment horizontal="center" vertical="center" wrapText="1"/>
    </xf>
    <xf numFmtId="0" fontId="279" fillId="0" borderId="1" xfId="19" applyNumberFormat="1" applyFont="1" applyBorder="1" applyAlignment="1">
      <alignment horizontal="center" vertical="center" wrapText="1"/>
    </xf>
    <xf numFmtId="0" fontId="279" fillId="0" borderId="0" xfId="19" applyNumberFormat="1" applyFont="1" applyAlignment="1">
      <alignment horizontal="left" vertical="center" wrapText="1"/>
    </xf>
    <xf numFmtId="0" fontId="279" fillId="0" borderId="0" xfId="19" applyNumberFormat="1" applyFont="1" applyAlignment="1">
      <alignment vertical="center" wrapText="1"/>
    </xf>
    <xf numFmtId="0" fontId="95" fillId="0" borderId="0" xfId="19" applyNumberFormat="1" applyFont="1" applyAlignment="1">
      <alignment horizontal="left" vertical="center" wrapText="1"/>
    </xf>
    <xf numFmtId="0" fontId="95" fillId="0" borderId="0" xfId="19" applyNumberFormat="1" applyFont="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34" fillId="0" borderId="1" xfId="19" applyNumberFormat="1" applyFont="1" applyFill="1" applyBorder="1" applyAlignment="1">
      <alignment horizontal="center" vertical="center" wrapText="1"/>
    </xf>
    <xf numFmtId="0" fontId="283" fillId="24" borderId="0" xfId="19" applyNumberFormat="1" applyFont="1" applyFill="1" applyBorder="1" applyAlignment="1">
      <alignment horizontal="center" vertical="center" wrapText="1"/>
    </xf>
    <xf numFmtId="0" fontId="134" fillId="0" borderId="5" xfId="19" applyNumberFormat="1" applyFont="1" applyFill="1" applyBorder="1" applyAlignment="1">
      <alignment horizontal="center" vertical="center" wrapText="1"/>
    </xf>
    <xf numFmtId="0" fontId="134" fillId="0" borderId="54" xfId="19" applyNumberFormat="1" applyFont="1" applyFill="1" applyBorder="1" applyAlignment="1">
      <alignment horizontal="center" vertical="center" wrapText="1"/>
    </xf>
    <xf numFmtId="0" fontId="134" fillId="0" borderId="3" xfId="19" applyNumberFormat="1" applyFont="1" applyFill="1" applyBorder="1" applyAlignment="1">
      <alignment horizontal="center" vertical="center" wrapText="1"/>
    </xf>
    <xf numFmtId="0" fontId="134" fillId="0" borderId="1" xfId="19" applyNumberFormat="1" applyFont="1" applyBorder="1" applyAlignment="1">
      <alignment horizontal="center" vertical="center" wrapText="1"/>
    </xf>
    <xf numFmtId="0" fontId="134" fillId="5" borderId="5" xfId="19" applyNumberFormat="1" applyFont="1" applyFill="1" applyBorder="1" applyAlignment="1">
      <alignment horizontal="center" vertical="center" wrapText="1"/>
    </xf>
    <xf numFmtId="0" fontId="134" fillId="5" borderId="54" xfId="19" applyNumberFormat="1" applyFont="1" applyFill="1" applyBorder="1" applyAlignment="1">
      <alignment horizontal="center" vertical="center" wrapText="1"/>
    </xf>
    <xf numFmtId="0" fontId="134" fillId="5" borderId="3" xfId="19" applyNumberFormat="1" applyFont="1" applyFill="1" applyBorder="1" applyAlignment="1">
      <alignment horizontal="center" vertical="center" wrapText="1"/>
    </xf>
    <xf numFmtId="0" fontId="110" fillId="0" borderId="5" xfId="19" applyNumberFormat="1" applyFont="1" applyFill="1" applyBorder="1" applyAlignment="1">
      <alignment horizontal="center" vertical="center" wrapText="1" shrinkToFit="1"/>
    </xf>
    <xf numFmtId="0" fontId="110" fillId="0" borderId="54" xfId="19" applyNumberFormat="1" applyFont="1" applyFill="1" applyBorder="1" applyAlignment="1">
      <alignment horizontal="center" vertical="center" wrapText="1" shrinkToFit="1"/>
    </xf>
    <xf numFmtId="0" fontId="110" fillId="0" borderId="3" xfId="19" applyNumberFormat="1" applyFont="1" applyFill="1" applyBorder="1" applyAlignment="1">
      <alignment horizontal="center" vertical="center" wrapText="1" shrinkToFit="1"/>
    </xf>
    <xf numFmtId="0" fontId="110" fillId="0" borderId="1" xfId="19" applyNumberFormat="1" applyFont="1" applyBorder="1" applyAlignment="1">
      <alignment horizontal="center" vertical="center" wrapText="1" shrinkToFit="1"/>
    </xf>
    <xf numFmtId="0" fontId="110" fillId="0" borderId="1" xfId="19" applyNumberFormat="1" applyFont="1" applyFill="1" applyBorder="1" applyAlignment="1">
      <alignment horizontal="left" vertical="center" wrapText="1" shrinkToFit="1"/>
    </xf>
    <xf numFmtId="0" fontId="110" fillId="23" borderId="46" xfId="19" applyNumberFormat="1" applyFont="1" applyFill="1" applyBorder="1" applyAlignment="1">
      <alignment horizontal="center" vertical="center" wrapText="1" shrinkToFit="1"/>
    </xf>
    <xf numFmtId="0" fontId="110" fillId="23" borderId="36" xfId="19" applyNumberFormat="1" applyFont="1" applyFill="1" applyBorder="1" applyAlignment="1">
      <alignment horizontal="center" vertical="center" wrapText="1" shrinkToFit="1"/>
    </xf>
    <xf numFmtId="0" fontId="110" fillId="23" borderId="22" xfId="19" applyNumberFormat="1" applyFont="1" applyFill="1" applyBorder="1" applyAlignment="1">
      <alignment horizontal="center" vertical="center" wrapText="1" shrinkToFit="1"/>
    </xf>
    <xf numFmtId="0" fontId="110" fillId="23" borderId="4" xfId="19" applyNumberFormat="1" applyFont="1" applyFill="1" applyBorder="1" applyAlignment="1">
      <alignment horizontal="center" vertical="center" wrapText="1" shrinkToFit="1"/>
    </xf>
    <xf numFmtId="0" fontId="110" fillId="23" borderId="60" xfId="19" applyNumberFormat="1" applyFont="1" applyFill="1" applyBorder="1" applyAlignment="1">
      <alignment horizontal="center" vertical="center" wrapText="1" shrinkToFit="1"/>
    </xf>
    <xf numFmtId="0" fontId="110" fillId="23" borderId="7" xfId="19" applyNumberFormat="1" applyFont="1" applyFill="1" applyBorder="1" applyAlignment="1">
      <alignment horizontal="center" vertical="center" wrapText="1" shrinkToFit="1"/>
    </xf>
    <xf numFmtId="0" fontId="110" fillId="0" borderId="1" xfId="19" applyNumberFormat="1" applyFont="1" applyFill="1" applyBorder="1" applyAlignment="1">
      <alignment horizontal="center" vertical="center" wrapText="1" shrinkToFit="1"/>
    </xf>
    <xf numFmtId="181" fontId="110" fillId="0" borderId="1" xfId="20" applyNumberFormat="1" applyFont="1" applyFill="1" applyBorder="1" applyAlignment="1">
      <alignment horizontal="center" vertical="center" wrapText="1" shrinkToFit="1"/>
    </xf>
    <xf numFmtId="0" fontId="110" fillId="0" borderId="5" xfId="19" applyNumberFormat="1" applyFont="1" applyFill="1" applyBorder="1" applyAlignment="1">
      <alignment horizontal="right" vertical="center" wrapText="1" shrinkToFit="1"/>
    </xf>
    <xf numFmtId="0" fontId="110" fillId="0" borderId="54" xfId="19" applyNumberFormat="1" applyFont="1" applyFill="1" applyBorder="1" applyAlignment="1">
      <alignment horizontal="right" vertical="center" wrapText="1" shrinkToFit="1"/>
    </xf>
    <xf numFmtId="0" fontId="110" fillId="0" borderId="54" xfId="19" applyNumberFormat="1" applyFont="1" applyFill="1" applyBorder="1" applyAlignment="1">
      <alignment horizontal="left" vertical="center" wrapText="1" shrinkToFit="1"/>
    </xf>
    <xf numFmtId="0" fontId="110" fillId="0" borderId="3" xfId="19" applyNumberFormat="1" applyFont="1" applyFill="1" applyBorder="1" applyAlignment="1">
      <alignment horizontal="left" vertical="center" wrapText="1" shrinkToFit="1"/>
    </xf>
    <xf numFmtId="0" fontId="110" fillId="7" borderId="54" xfId="19" applyNumberFormat="1" applyFont="1" applyFill="1" applyBorder="1" applyAlignment="1">
      <alignment horizontal="left" vertical="center" wrapText="1" shrinkToFit="1"/>
    </xf>
    <xf numFmtId="0" fontId="110" fillId="7" borderId="3" xfId="19" applyNumberFormat="1" applyFont="1" applyFill="1" applyBorder="1" applyAlignment="1">
      <alignment horizontal="left" vertical="center" wrapText="1" shrinkToFit="1"/>
    </xf>
    <xf numFmtId="0" fontId="110" fillId="5" borderId="54" xfId="19" applyNumberFormat="1" applyFont="1" applyFill="1" applyBorder="1" applyAlignment="1">
      <alignment horizontal="left" vertical="center" wrapText="1" shrinkToFit="1"/>
    </xf>
    <xf numFmtId="0" fontId="110" fillId="5" borderId="3" xfId="19" applyNumberFormat="1" applyFont="1" applyFill="1" applyBorder="1" applyAlignment="1">
      <alignment horizontal="left" vertical="center" wrapText="1" shrinkToFit="1"/>
    </xf>
    <xf numFmtId="181" fontId="110" fillId="0" borderId="5" xfId="20" applyNumberFormat="1" applyFont="1" applyFill="1" applyBorder="1" applyAlignment="1">
      <alignment horizontal="center" vertical="center" wrapText="1" shrinkToFit="1"/>
    </xf>
    <xf numFmtId="181" fontId="110" fillId="0" borderId="3" xfId="20" applyNumberFormat="1" applyFont="1" applyFill="1" applyBorder="1" applyAlignment="1">
      <alignment horizontal="center" vertical="center" wrapText="1" shrinkToFit="1"/>
    </xf>
    <xf numFmtId="0" fontId="110" fillId="0" borderId="13" xfId="19" applyNumberFormat="1" applyFont="1" applyFill="1" applyBorder="1" applyAlignment="1">
      <alignment horizontal="left" vertical="center" wrapText="1" shrinkToFit="1"/>
    </xf>
    <xf numFmtId="0" fontId="110" fillId="0" borderId="2" xfId="19" applyNumberFormat="1" applyFont="1" applyFill="1" applyBorder="1" applyAlignment="1">
      <alignment horizontal="left" vertical="center" wrapText="1" shrinkToFit="1"/>
    </xf>
    <xf numFmtId="181" fontId="276" fillId="5" borderId="1" xfId="20" applyNumberFormat="1" applyFont="1" applyFill="1" applyBorder="1" applyAlignment="1">
      <alignment horizontal="center" vertical="center" wrapText="1" shrinkToFit="1"/>
    </xf>
    <xf numFmtId="9" fontId="110" fillId="0" borderId="1" xfId="20" applyFont="1" applyFill="1" applyBorder="1" applyAlignment="1">
      <alignment horizontal="center" vertical="center" wrapText="1" shrinkToFit="1"/>
    </xf>
    <xf numFmtId="0" fontId="112" fillId="0" borderId="0" xfId="19" applyNumberFormat="1" applyFont="1" applyFill="1" applyBorder="1" applyAlignment="1">
      <alignment horizontal="center" vertical="center" wrapText="1"/>
    </xf>
    <xf numFmtId="0" fontId="95" fillId="0" borderId="1" xfId="19" applyNumberFormat="1" applyFont="1" applyBorder="1" applyAlignment="1">
      <alignment horizontal="center" vertical="center" wrapText="1"/>
    </xf>
    <xf numFmtId="0" fontId="110" fillId="9" borderId="5" xfId="19" applyNumberFormat="1" applyFont="1" applyFill="1" applyBorder="1" applyAlignment="1">
      <alignment horizontal="center" vertical="center" wrapText="1" shrinkToFit="1"/>
    </xf>
    <xf numFmtId="0" fontId="110" fillId="9" borderId="54" xfId="19" applyNumberFormat="1" applyFont="1" applyFill="1" applyBorder="1" applyAlignment="1">
      <alignment horizontal="center" vertical="center" wrapText="1" shrinkToFit="1"/>
    </xf>
    <xf numFmtId="0" fontId="110" fillId="9" borderId="3" xfId="19" applyNumberFormat="1" applyFont="1" applyFill="1" applyBorder="1" applyAlignment="1">
      <alignment horizontal="center" vertical="center" wrapText="1" shrinkToFit="1"/>
    </xf>
    <xf numFmtId="0" fontId="110" fillId="0" borderId="46" xfId="19" applyNumberFormat="1" applyFont="1" applyFill="1" applyBorder="1" applyAlignment="1">
      <alignment horizontal="center" vertical="center" wrapText="1" shrinkToFit="1"/>
    </xf>
    <xf numFmtId="0" fontId="110" fillId="0" borderId="36" xfId="19" applyNumberFormat="1" applyFont="1" applyFill="1" applyBorder="1" applyAlignment="1">
      <alignment horizontal="center" vertical="center" wrapText="1" shrinkToFit="1"/>
    </xf>
    <xf numFmtId="0" fontId="110" fillId="0" borderId="22" xfId="19" applyNumberFormat="1" applyFont="1" applyFill="1" applyBorder="1" applyAlignment="1">
      <alignment horizontal="center" vertical="center" wrapText="1" shrinkToFit="1"/>
    </xf>
    <xf numFmtId="0" fontId="110" fillId="0" borderId="58" xfId="19" applyNumberFormat="1" applyFont="1" applyFill="1" applyBorder="1" applyAlignment="1">
      <alignment horizontal="center" vertical="center" wrapText="1" shrinkToFit="1"/>
    </xf>
    <xf numFmtId="0" fontId="110" fillId="0" borderId="0" xfId="19" applyNumberFormat="1" applyFont="1" applyFill="1" applyBorder="1" applyAlignment="1">
      <alignment horizontal="center" vertical="center" wrapText="1" shrinkToFit="1"/>
    </xf>
    <xf numFmtId="0" fontId="110" fillId="0" borderId="35" xfId="19" applyNumberFormat="1" applyFont="1" applyFill="1" applyBorder="1" applyAlignment="1">
      <alignment horizontal="center" vertical="center" wrapText="1" shrinkToFit="1"/>
    </xf>
    <xf numFmtId="0" fontId="110" fillId="0" borderId="4" xfId="19" applyNumberFormat="1" applyFont="1" applyFill="1" applyBorder="1" applyAlignment="1">
      <alignment horizontal="center" vertical="center" wrapText="1" shrinkToFit="1"/>
    </xf>
    <xf numFmtId="0" fontId="110" fillId="0" borderId="60" xfId="19" applyNumberFormat="1" applyFont="1" applyFill="1" applyBorder="1" applyAlignment="1">
      <alignment horizontal="center" vertical="center" wrapText="1" shrinkToFit="1"/>
    </xf>
    <xf numFmtId="0" fontId="110" fillId="0" borderId="7" xfId="19" applyNumberFormat="1" applyFont="1" applyFill="1" applyBorder="1" applyAlignment="1">
      <alignment horizontal="center" vertical="center" wrapText="1" shrinkToFit="1"/>
    </xf>
    <xf numFmtId="0" fontId="95" fillId="0" borderId="1" xfId="19" applyNumberFormat="1" applyFont="1" applyBorder="1" applyAlignment="1">
      <alignment horizontal="center" vertical="center" wrapText="1" shrinkToFit="1"/>
    </xf>
    <xf numFmtId="10" fontId="110" fillId="0" borderId="1" xfId="19" applyNumberFormat="1" applyFont="1" applyFill="1" applyBorder="1" applyAlignment="1">
      <alignment horizontal="center" vertical="center" wrapText="1" shrinkToFi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83">
    <cellStyle name="0,0_x000d__x000d_NA_x000d__x000d_" xfId="22"/>
    <cellStyle name="Comma 5 2" xfId="23"/>
    <cellStyle name="Comma 7" xfId="24"/>
    <cellStyle name="Normal 7 2 2 3" xfId="25"/>
    <cellStyle name="Normal_0511GS-Report(Kuzuha)  " xfId="26"/>
    <cellStyle name="百分比" xfId="17" builtinId="5"/>
    <cellStyle name="百分比 2" xfId="14"/>
    <cellStyle name="百分比 2 6" xfId="27"/>
    <cellStyle name="百分比 3" xfId="20"/>
    <cellStyle name="百分比 4" xfId="28"/>
    <cellStyle name="百分比 4 2" xfId="29"/>
    <cellStyle name="差 2" xfId="30"/>
    <cellStyle name="常规" xfId="0" builtinId="0"/>
    <cellStyle name="常规 10" xfId="31"/>
    <cellStyle name="常规 11" xfId="18"/>
    <cellStyle name="常规 11 2" xfId="32"/>
    <cellStyle name="常规 13" xfId="33"/>
    <cellStyle name="常规 16" xfId="10"/>
    <cellStyle name="常规 16 2" xfId="19"/>
    <cellStyle name="常规 2" xfId="1"/>
    <cellStyle name="常规 2 2" xfId="8"/>
    <cellStyle name="常规 2 2 2 2 3" xfId="15"/>
    <cellStyle name="常规 2 3" xfId="21"/>
    <cellStyle name="常规 2 5" xfId="34"/>
    <cellStyle name="常规 3" xfId="2"/>
    <cellStyle name="常规 3 10" xfId="35"/>
    <cellStyle name="常规 3 11" xfId="36"/>
    <cellStyle name="常规 3 12" xfId="37"/>
    <cellStyle name="常规 3 13" xfId="38"/>
    <cellStyle name="常规 3 2" xfId="3"/>
    <cellStyle name="常规 3 2 2" xfId="39"/>
    <cellStyle name="常规 3 3" xfId="40"/>
    <cellStyle name="常规 3 4" xfId="41"/>
    <cellStyle name="常规 3 5" xfId="42"/>
    <cellStyle name="常规 3 6" xfId="43"/>
    <cellStyle name="常规 3 7" xfId="44"/>
    <cellStyle name="常规 3 8" xfId="45"/>
    <cellStyle name="常规 3 9" xfId="46"/>
    <cellStyle name="常规 4" xfId="4"/>
    <cellStyle name="常规 4 10" xfId="47"/>
    <cellStyle name="常规 4 11" xfId="48"/>
    <cellStyle name="常规 4 12" xfId="49"/>
    <cellStyle name="常规 4 2" xfId="50"/>
    <cellStyle name="常规 4 3" xfId="51"/>
    <cellStyle name="常规 4 4" xfId="52"/>
    <cellStyle name="常规 4 5" xfId="53"/>
    <cellStyle name="常规 4 6" xfId="54"/>
    <cellStyle name="常规 4 7" xfId="55"/>
    <cellStyle name="常规 4 8" xfId="56"/>
    <cellStyle name="常规 4 9" xfId="57"/>
    <cellStyle name="常规 5" xfId="5"/>
    <cellStyle name="常规 5 10" xfId="58"/>
    <cellStyle name="常规 5 11" xfId="59"/>
    <cellStyle name="常规 5 12" xfId="60"/>
    <cellStyle name="常规 5 2" xfId="61"/>
    <cellStyle name="常规 5 3" xfId="62"/>
    <cellStyle name="常规 5 4" xfId="63"/>
    <cellStyle name="常规 5 5" xfId="64"/>
    <cellStyle name="常规 5 6" xfId="65"/>
    <cellStyle name="常规 5 7" xfId="66"/>
    <cellStyle name="常规 5 8" xfId="67"/>
    <cellStyle name="常规 5 9" xfId="68"/>
    <cellStyle name="常规 6" xfId="6"/>
    <cellStyle name="常规 6 2" xfId="9"/>
    <cellStyle name="常规 6 2 2" xfId="16"/>
    <cellStyle name="常规 6 2 3" xfId="13"/>
    <cellStyle name="常规 7" xfId="7"/>
    <cellStyle name="常规 71" xfId="69"/>
    <cellStyle name="常规 8" xfId="11"/>
    <cellStyle name="常规 9" xfId="12"/>
    <cellStyle name="普通 3" xfId="70"/>
    <cellStyle name="千分位_Sheet1" xfId="71"/>
    <cellStyle name="千位分隔 2" xfId="72"/>
    <cellStyle name="千位分隔 2 2" xfId="73"/>
    <cellStyle name="千位分隔 2 3" xfId="74"/>
    <cellStyle name="千位分隔 3" xfId="75"/>
    <cellStyle name="千位分隔 3 2" xfId="76"/>
    <cellStyle name="千位分隔 4" xfId="77"/>
    <cellStyle name="千位分隔 5" xfId="78"/>
    <cellStyle name="千位分隔 6" xfId="79"/>
    <cellStyle name="千位分隔[0] 2" xfId="80"/>
    <cellStyle name="千位分隔[0] 3" xfId="81"/>
    <cellStyle name="一般_PUD" xfId="8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238125</xdr:colOff>
      <xdr:row>38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582525" cy="6448425"/>
        </a:xfrm>
        <a:prstGeom prst="rect">
          <a:avLst/>
        </a:prstGeom>
      </xdr:spPr>
    </xdr:pic>
    <xdr:clientData/>
  </xdr:twoCellAnchor>
  <xdr:twoCellAnchor editAs="oneCell">
    <xdr:from>
      <xdr:col>0</xdr:col>
      <xdr:colOff>0</xdr:colOff>
      <xdr:row>39</xdr:row>
      <xdr:rowOff>0</xdr:rowOff>
    </xdr:from>
    <xdr:to>
      <xdr:col>18</xdr:col>
      <xdr:colOff>323850</xdr:colOff>
      <xdr:row>70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2668250" cy="5334000"/>
        </a:xfrm>
        <a:prstGeom prst="rect">
          <a:avLst/>
        </a:prstGeom>
      </xdr:spPr>
    </xdr:pic>
    <xdr:clientData/>
  </xdr:twoCellAnchor>
  <xdr:twoCellAnchor editAs="oneCell">
    <xdr:from>
      <xdr:col>0</xdr:col>
      <xdr:colOff>0</xdr:colOff>
      <xdr:row>71</xdr:row>
      <xdr:rowOff>0</xdr:rowOff>
    </xdr:from>
    <xdr:to>
      <xdr:col>18</xdr:col>
      <xdr:colOff>266700</xdr:colOff>
      <xdr:row>110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2611100" cy="6838950"/>
        </a:xfrm>
        <a:prstGeom prst="rect">
          <a:avLst/>
        </a:prstGeom>
      </xdr:spPr>
    </xdr:pic>
    <xdr:clientData/>
  </xdr:twoCellAnchor>
  <xdr:twoCellAnchor editAs="oneCell">
    <xdr:from>
      <xdr:col>0</xdr:col>
      <xdr:colOff>0</xdr:colOff>
      <xdr:row>111</xdr:row>
      <xdr:rowOff>0</xdr:rowOff>
    </xdr:from>
    <xdr:to>
      <xdr:col>18</xdr:col>
      <xdr:colOff>266700</xdr:colOff>
      <xdr:row>150</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611100" cy="6848475"/>
        </a:xfrm>
        <a:prstGeom prst="rect">
          <a:avLst/>
        </a:prstGeom>
      </xdr:spPr>
    </xdr:pic>
    <xdr:clientData/>
  </xdr:twoCellAnchor>
  <xdr:twoCellAnchor editAs="oneCell">
    <xdr:from>
      <xdr:col>0</xdr:col>
      <xdr:colOff>0</xdr:colOff>
      <xdr:row>152</xdr:row>
      <xdr:rowOff>0</xdr:rowOff>
    </xdr:from>
    <xdr:to>
      <xdr:col>18</xdr:col>
      <xdr:colOff>323850</xdr:colOff>
      <xdr:row>191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12668250" cy="6848475"/>
        </a:xfrm>
        <a:prstGeom prst="rect">
          <a:avLst/>
        </a:prstGeom>
      </xdr:spPr>
    </xdr:pic>
    <xdr:clientData/>
  </xdr:twoCellAnchor>
  <xdr:twoCellAnchor editAs="oneCell">
    <xdr:from>
      <xdr:col>19</xdr:col>
      <xdr:colOff>0</xdr:colOff>
      <xdr:row>152</xdr:row>
      <xdr:rowOff>0</xdr:rowOff>
    </xdr:from>
    <xdr:to>
      <xdr:col>37</xdr:col>
      <xdr:colOff>257175</xdr:colOff>
      <xdr:row>193</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26060400"/>
          <a:ext cx="12601575" cy="7038975"/>
        </a:xfrm>
        <a:prstGeom prst="rect">
          <a:avLst/>
        </a:prstGeom>
      </xdr:spPr>
    </xdr:pic>
    <xdr:clientData/>
  </xdr:twoCellAnchor>
  <xdr:twoCellAnchor editAs="oneCell">
    <xdr:from>
      <xdr:col>19</xdr:col>
      <xdr:colOff>0</xdr:colOff>
      <xdr:row>71</xdr:row>
      <xdr:rowOff>0</xdr:rowOff>
    </xdr:from>
    <xdr:to>
      <xdr:col>37</xdr:col>
      <xdr:colOff>285750</xdr:colOff>
      <xdr:row>112</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12172950"/>
          <a:ext cx="12630150" cy="7038975"/>
        </a:xfrm>
        <a:prstGeom prst="rect">
          <a:avLst/>
        </a:prstGeom>
      </xdr:spPr>
    </xdr:pic>
    <xdr:clientData/>
  </xdr:twoCellAnchor>
  <xdr:twoCellAnchor editAs="oneCell">
    <xdr:from>
      <xdr:col>0</xdr:col>
      <xdr:colOff>0</xdr:colOff>
      <xdr:row>193</xdr:row>
      <xdr:rowOff>0</xdr:rowOff>
    </xdr:from>
    <xdr:to>
      <xdr:col>18</xdr:col>
      <xdr:colOff>228600</xdr:colOff>
      <xdr:row>213</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089850"/>
          <a:ext cx="12573000" cy="3448050"/>
        </a:xfrm>
        <a:prstGeom prst="rect">
          <a:avLst/>
        </a:prstGeom>
      </xdr:spPr>
    </xdr:pic>
    <xdr:clientData/>
  </xdr:twoCellAnchor>
  <xdr:twoCellAnchor editAs="oneCell">
    <xdr:from>
      <xdr:col>0</xdr:col>
      <xdr:colOff>0</xdr:colOff>
      <xdr:row>214</xdr:row>
      <xdr:rowOff>0</xdr:rowOff>
    </xdr:from>
    <xdr:to>
      <xdr:col>18</xdr:col>
      <xdr:colOff>257175</xdr:colOff>
      <xdr:row>236</xdr:row>
      <xdr:rowOff>123825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6690300"/>
          <a:ext cx="12601575" cy="3895725"/>
        </a:xfrm>
        <a:prstGeom prst="rect">
          <a:avLst/>
        </a:prstGeom>
      </xdr:spPr>
    </xdr:pic>
    <xdr:clientData/>
  </xdr:twoCellAnchor>
  <xdr:twoCellAnchor editAs="oneCell">
    <xdr:from>
      <xdr:col>0</xdr:col>
      <xdr:colOff>0</xdr:colOff>
      <xdr:row>237</xdr:row>
      <xdr:rowOff>0</xdr:rowOff>
    </xdr:from>
    <xdr:to>
      <xdr:col>18</xdr:col>
      <xdr:colOff>352425</xdr:colOff>
      <xdr:row>270</xdr:row>
      <xdr:rowOff>38100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633650"/>
          <a:ext cx="12696825" cy="5695950"/>
        </a:xfrm>
        <a:prstGeom prst="rect">
          <a:avLst/>
        </a:prstGeom>
      </xdr:spPr>
    </xdr:pic>
    <xdr:clientData/>
  </xdr:twoCellAnchor>
  <xdr:twoCellAnchor editAs="oneCell">
    <xdr:from>
      <xdr:col>0</xdr:col>
      <xdr:colOff>0</xdr:colOff>
      <xdr:row>271</xdr:row>
      <xdr:rowOff>1</xdr:rowOff>
    </xdr:from>
    <xdr:to>
      <xdr:col>10</xdr:col>
      <xdr:colOff>393871</xdr:colOff>
      <xdr:row>290</xdr:row>
      <xdr:rowOff>152401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6462951"/>
          <a:ext cx="7251871" cy="3409950"/>
        </a:xfrm>
        <a:prstGeom prst="rect">
          <a:avLst/>
        </a:prstGeom>
      </xdr:spPr>
    </xdr:pic>
    <xdr:clientData/>
  </xdr:twoCellAnchor>
  <xdr:twoCellAnchor editAs="oneCell">
    <xdr:from>
      <xdr:col>0</xdr:col>
      <xdr:colOff>0</xdr:colOff>
      <xdr:row>291</xdr:row>
      <xdr:rowOff>66675</xdr:rowOff>
    </xdr:from>
    <xdr:to>
      <xdr:col>11</xdr:col>
      <xdr:colOff>514962</xdr:colOff>
      <xdr:row>313</xdr:row>
      <xdr:rowOff>133350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9958625"/>
          <a:ext cx="8058762" cy="3838575"/>
        </a:xfrm>
        <a:prstGeom prst="rect">
          <a:avLst/>
        </a:prstGeom>
      </xdr:spPr>
    </xdr:pic>
    <xdr:clientData/>
  </xdr:twoCellAnchor>
  <xdr:twoCellAnchor editAs="oneCell">
    <xdr:from>
      <xdr:col>0</xdr:col>
      <xdr:colOff>0</xdr:colOff>
      <xdr:row>315</xdr:row>
      <xdr:rowOff>9525</xdr:rowOff>
    </xdr:from>
    <xdr:to>
      <xdr:col>12</xdr:col>
      <xdr:colOff>57150</xdr:colOff>
      <xdr:row>338</xdr:row>
      <xdr:rowOff>81482</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4016275"/>
          <a:ext cx="8286750" cy="4015307"/>
        </a:xfrm>
        <a:prstGeom prst="rect">
          <a:avLst/>
        </a:prstGeom>
      </xdr:spPr>
    </xdr:pic>
    <xdr:clientData/>
  </xdr:twoCellAnchor>
  <xdr:twoCellAnchor editAs="oneCell">
    <xdr:from>
      <xdr:col>0</xdr:col>
      <xdr:colOff>0</xdr:colOff>
      <xdr:row>340</xdr:row>
      <xdr:rowOff>104775</xdr:rowOff>
    </xdr:from>
    <xdr:to>
      <xdr:col>11</xdr:col>
      <xdr:colOff>604750</xdr:colOff>
      <xdr:row>362</xdr:row>
      <xdr:rowOff>57150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58397775"/>
          <a:ext cx="8148550" cy="3724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76201</xdr:rowOff>
    </xdr:from>
    <xdr:to>
      <xdr:col>12</xdr:col>
      <xdr:colOff>425350</xdr:colOff>
      <xdr:row>23</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1"/>
          <a:ext cx="8654950" cy="3705224"/>
        </a:xfrm>
        <a:prstGeom prst="rect">
          <a:avLst/>
        </a:prstGeom>
      </xdr:spPr>
    </xdr:pic>
    <xdr:clientData/>
  </xdr:twoCellAnchor>
  <xdr:twoCellAnchor editAs="oneCell">
    <xdr:from>
      <xdr:col>0</xdr:col>
      <xdr:colOff>0</xdr:colOff>
      <xdr:row>25</xdr:row>
      <xdr:rowOff>9526</xdr:rowOff>
    </xdr:from>
    <xdr:to>
      <xdr:col>12</xdr:col>
      <xdr:colOff>209550</xdr:colOff>
      <xdr:row>46</xdr:row>
      <xdr:rowOff>31804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95776"/>
          <a:ext cx="8439150" cy="3622728"/>
        </a:xfrm>
        <a:prstGeom prst="rect">
          <a:avLst/>
        </a:prstGeom>
      </xdr:spPr>
    </xdr:pic>
    <xdr:clientData/>
  </xdr:twoCellAnchor>
  <xdr:twoCellAnchor editAs="oneCell">
    <xdr:from>
      <xdr:col>0</xdr:col>
      <xdr:colOff>0</xdr:colOff>
      <xdr:row>48</xdr:row>
      <xdr:rowOff>1</xdr:rowOff>
    </xdr:from>
    <xdr:to>
      <xdr:col>12</xdr:col>
      <xdr:colOff>371475</xdr:colOff>
      <xdr:row>69</xdr:row>
      <xdr:rowOff>31593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1"/>
          <a:ext cx="8601075" cy="3632042"/>
        </a:xfrm>
        <a:prstGeom prst="rect">
          <a:avLst/>
        </a:prstGeom>
      </xdr:spPr>
    </xdr:pic>
    <xdr:clientData/>
  </xdr:twoCellAnchor>
  <xdr:twoCellAnchor editAs="oneCell">
    <xdr:from>
      <xdr:col>0</xdr:col>
      <xdr:colOff>1</xdr:colOff>
      <xdr:row>70</xdr:row>
      <xdr:rowOff>0</xdr:rowOff>
    </xdr:from>
    <xdr:to>
      <xdr:col>12</xdr:col>
      <xdr:colOff>385763</xdr:colOff>
      <xdr:row>91</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2001500"/>
          <a:ext cx="8615362" cy="3743325"/>
        </a:xfrm>
        <a:prstGeom prst="rect">
          <a:avLst/>
        </a:prstGeom>
      </xdr:spPr>
    </xdr:pic>
    <xdr:clientData/>
  </xdr:twoCellAnchor>
  <xdr:twoCellAnchor editAs="oneCell">
    <xdr:from>
      <xdr:col>0</xdr:col>
      <xdr:colOff>0</xdr:colOff>
      <xdr:row>94</xdr:row>
      <xdr:rowOff>1</xdr:rowOff>
    </xdr:from>
    <xdr:to>
      <xdr:col>12</xdr:col>
      <xdr:colOff>547761</xdr:colOff>
      <xdr:row>116</xdr:row>
      <xdr:rowOff>57151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116301"/>
          <a:ext cx="8777361" cy="3829050"/>
        </a:xfrm>
        <a:prstGeom prst="rect">
          <a:avLst/>
        </a:prstGeom>
      </xdr:spPr>
    </xdr:pic>
    <xdr:clientData/>
  </xdr:twoCellAnchor>
  <xdr:twoCellAnchor editAs="oneCell">
    <xdr:from>
      <xdr:col>0</xdr:col>
      <xdr:colOff>0</xdr:colOff>
      <xdr:row>118</xdr:row>
      <xdr:rowOff>1</xdr:rowOff>
    </xdr:from>
    <xdr:to>
      <xdr:col>12</xdr:col>
      <xdr:colOff>677277</xdr:colOff>
      <xdr:row>140</xdr:row>
      <xdr:rowOff>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1"/>
          <a:ext cx="8906877" cy="3771900"/>
        </a:xfrm>
        <a:prstGeom prst="rect">
          <a:avLst/>
        </a:prstGeom>
      </xdr:spPr>
    </xdr:pic>
    <xdr:clientData/>
  </xdr:twoCellAnchor>
  <xdr:twoCellAnchor editAs="oneCell">
    <xdr:from>
      <xdr:col>0</xdr:col>
      <xdr:colOff>0</xdr:colOff>
      <xdr:row>141</xdr:row>
      <xdr:rowOff>0</xdr:rowOff>
    </xdr:from>
    <xdr:to>
      <xdr:col>11</xdr:col>
      <xdr:colOff>488848</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174450"/>
          <a:ext cx="8032648" cy="3648075"/>
        </a:xfrm>
        <a:prstGeom prst="rect">
          <a:avLst/>
        </a:prstGeom>
      </xdr:spPr>
    </xdr:pic>
    <xdr:clientData/>
  </xdr:twoCellAnchor>
  <xdr:twoCellAnchor editAs="oneCell">
    <xdr:from>
      <xdr:col>0</xdr:col>
      <xdr:colOff>0</xdr:colOff>
      <xdr:row>162</xdr:row>
      <xdr:rowOff>28575</xdr:rowOff>
    </xdr:from>
    <xdr:to>
      <xdr:col>5</xdr:col>
      <xdr:colOff>161476</xdr:colOff>
      <xdr:row>188</xdr:row>
      <xdr:rowOff>75637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803475"/>
          <a:ext cx="3590476" cy="4504762"/>
        </a:xfrm>
        <a:prstGeom prst="rect">
          <a:avLst/>
        </a:prstGeom>
      </xdr:spPr>
    </xdr:pic>
    <xdr:clientData/>
  </xdr:twoCellAnchor>
  <xdr:twoCellAnchor editAs="oneCell">
    <xdr:from>
      <xdr:col>6</xdr:col>
      <xdr:colOff>0</xdr:colOff>
      <xdr:row>163</xdr:row>
      <xdr:rowOff>0</xdr:rowOff>
    </xdr:from>
    <xdr:to>
      <xdr:col>11</xdr:col>
      <xdr:colOff>542429</xdr:colOff>
      <xdr:row>185</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4114800" y="27946350"/>
          <a:ext cx="3971429" cy="38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246420</xdr:colOff>
      <xdr:row>33</xdr:row>
      <xdr:rowOff>113579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620"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31199;&#37329;-&#21556;&#34183;/&#27979;&#31639;&#34920;-&#37329;&#22025;&#22823;&#21414;-&#36213;&#38639;-&#36213;&#38639;20250310-140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售价"/>
      <sheetName val="比较法-办公"/>
      <sheetName val="比较法-工业"/>
      <sheetName val="比较法-车位"/>
      <sheetName val="比较法-仓储"/>
      <sheetName val="土地比较法-住宅、综合"/>
      <sheetName val="土地比较法-工业"/>
      <sheetName val="收益法倒推-办公"/>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欧陆时尚购物中心-租赁台账"/>
      <sheetName val="合同租金"/>
      <sheetName val="比较法-商业售价"/>
      <sheetName val="租金"/>
      <sheetName val="商业案例"/>
      <sheetName val="售价"/>
      <sheetName val="成本法 (元)"/>
      <sheetName val="基准地价修正"/>
      <sheetName val="租金案例"/>
      <sheetName val="售价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row r="21">
          <cell r="B21">
            <v>2</v>
          </cell>
        </row>
        <row r="35">
          <cell r="B35">
            <v>200</v>
          </cell>
        </row>
        <row r="51">
          <cell r="B51">
            <v>0.12</v>
          </cell>
        </row>
      </sheetData>
      <sheetData sheetId="15"/>
      <sheetData sheetId="16"/>
      <sheetData sheetId="17"/>
      <sheetData sheetId="18"/>
      <sheetData sheetId="19">
        <row r="49">
          <cell r="C49" t="e">
            <v>#REF!</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3">
          <cell r="B3" t="e">
            <v>#REF!</v>
          </cell>
        </row>
      </sheetData>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北京市西城区金融大街6号楼2层201、5层501、6层601共3套办公用房房地产市场价值预评估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受贵公司委托，我公司对北京市西城区金融大街6号楼2层201、5层501、6层601共3套办公用房房地产市场价值进行了预评估。</v>
      </c>
    </row>
    <row r="7" spans="1:2" s="1202" customFormat="1">
      <c r="A7" s="1200" t="s">
        <v>566</v>
      </c>
      <c r="B7" s="1201" t="str">
        <f>'预评函-1'!A7</f>
        <v>估价对象为北京市西城区金融大街6号楼2层201、5层501、6层601共3套办公用房房地产，为所有。根据《国有土地使用证》[]，估价对象（分摊）出让国有建设用地使用权面积为0平方米，建筑面积为6305.16平方米。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2025年9月9日（评估专业人员实地查勘之日）</v>
      </c>
    </row>
    <row r="13" spans="1:2" s="1202" customFormat="1">
      <c r="A13" s="1200" t="s">
        <v>529</v>
      </c>
      <c r="B13" s="1201"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北京市西城区金融大街6号楼2层201、5层501、6层601共3套办公用房房地产</v>
      </c>
    </row>
    <row r="42" spans="1:2" s="1202" customFormat="1">
      <c r="A42" s="1200" t="s">
        <v>590</v>
      </c>
      <c r="B42" s="1201" t="str">
        <f>'预评函-3'!B2</f>
        <v>建筑面积</v>
      </c>
    </row>
    <row r="43" spans="1:2" s="1202" customFormat="1">
      <c r="A43" s="1200" t="s">
        <v>591</v>
      </c>
      <c r="B43" s="1201">
        <f>'预评函-3'!B4</f>
        <v>6305.16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3" t="s">
        <v>385</v>
      </c>
      <c r="C54" s="1550" t="s">
        <v>583</v>
      </c>
    </row>
    <row r="55" spans="1:4">
      <c r="A55" s="3591"/>
      <c r="B55" s="1553" t="s">
        <v>386</v>
      </c>
      <c r="C55" s="1550" t="s">
        <v>584</v>
      </c>
    </row>
    <row r="56" spans="1:4">
      <c r="A56" s="3591"/>
      <c r="B56" s="1553" t="s">
        <v>387</v>
      </c>
      <c r="C56" s="1550" t="s">
        <v>588</v>
      </c>
    </row>
    <row r="57" spans="1:4">
      <c r="A57" s="35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92" t="s">
        <v>2579</v>
      </c>
      <c r="J2" s="3592"/>
      <c r="K2" s="3592"/>
      <c r="L2" s="3592"/>
      <c r="M2" s="3592"/>
      <c r="N2" s="3592"/>
      <c r="O2" s="3592"/>
      <c r="P2" s="3592"/>
      <c r="Q2" s="3592"/>
      <c r="R2" s="3592"/>
    </row>
    <row r="3" spans="1:18">
      <c r="A3" s="3019" t="s">
        <v>2500</v>
      </c>
      <c r="B3" s="3020">
        <f>项目基本情况!D3</f>
        <v>45909</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1.27</v>
      </c>
      <c r="D5" s="3024">
        <f>IF(ISERROR(ROUND(POWER(1+E5,A5-C5)*(POWER(1+E5,C5)-1)/(POWER(1+E5,A5)-1),3)),0,ROUND(POWER(1+E5,A5-C5)*(POWER(1+E5,C5)-1)/(POWER(1+E5,A5)-1),4))</f>
        <v>6.1400000000000003E-2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11.28</v>
      </c>
      <c r="D6" s="3024">
        <f>IF(ISERROR(ROUND(POWER(1+E6,A6-C6)*(POWER(1+E6,C6)-1)/(POWER(1+E6,A6)-1),3)),0,ROUND(POWER(1+E6,A6-C6)*(POWER(1+E6,C6)-1)/(POWER(1+E6,A6)-1),4))</f>
        <v>0.41610000000000003</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31.29</v>
      </c>
      <c r="D7" s="3024">
        <f>IF(ISERROR(ROUND(POWER(1+E7,A7-C7)*(POWER(1+E7,C7)-1)/(POWER(1+E7,A7)-1),3)),0,ROUND(POWER(1+E7,A7-C7)*(POWER(1+E7,C7)-1)/(POWER(1+E7,A7)-1),4))</f>
        <v>0.75539999999999996</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601" t="str">
        <f>IF(B10="北京市","北京市",C10)&amp;F10&amp;IF(结果表!G1="在建","出让国有建设用地使用权及在建建筑物",IF(结果表!G1="土地","出让国有建设用地使用权",))&amp;B9&amp;"预评估"</f>
        <v>北京市西城区金融大街6号楼2层201、5层501、6层601共3套办公用房房地产市场价值预评估</v>
      </c>
      <c r="C1" s="3602"/>
      <c r="D1" s="3602"/>
      <c r="E1" s="3602"/>
      <c r="F1" s="3602"/>
      <c r="G1" s="3602"/>
      <c r="H1" s="3602"/>
      <c r="I1" s="36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北京市西城区金融大街6号楼2层201、5层501、6层601共3套办公用房房地产市场价值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北京市西城区金融大街6号楼2层201、5层501、6层601共3套办公用房房地产</v>
      </c>
      <c r="T2" s="1744"/>
      <c r="U2" s="1744"/>
      <c r="V2" s="1744"/>
      <c r="W2" s="1744"/>
      <c r="X2" s="1744"/>
      <c r="Y2" s="1744"/>
      <c r="Z2" s="1744"/>
      <c r="AA2" s="1744"/>
      <c r="AB2" s="1744"/>
    </row>
    <row r="3" spans="1:30">
      <c r="A3" s="302" t="s">
        <v>2169</v>
      </c>
      <c r="B3" s="2372">
        <v>45909</v>
      </c>
      <c r="C3" s="2373" t="s">
        <v>2170</v>
      </c>
      <c r="D3" s="2372">
        <f>B3</f>
        <v>45909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3416</v>
      </c>
      <c r="C4" s="2375">
        <f ca="1">SUMIF(注册房地产估价师,B4,估价师及机构信息!B3:B24)</f>
        <v>1419970001</v>
      </c>
      <c r="D4" s="2374" t="s">
        <v>3417</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3562</v>
      </c>
      <c r="C8" s="2389"/>
      <c r="D8" s="3604" t="s">
        <v>2176</v>
      </c>
      <c r="E8" s="2390"/>
      <c r="F8" s="2391"/>
      <c r="G8" s="2662"/>
      <c r="H8" s="2662"/>
      <c r="I8" s="2662"/>
      <c r="J8" s="2438"/>
      <c r="K8" s="2613"/>
      <c r="L8" s="2612"/>
      <c r="M8" s="2612"/>
      <c r="N8" s="2438"/>
      <c r="O8" s="2449"/>
      <c r="P8" s="2438"/>
      <c r="Q8" s="2438"/>
      <c r="R8" s="2438"/>
    </row>
    <row r="9" spans="1:30" ht="13.5" thickBot="1">
      <c r="A9" s="2392" t="s">
        <v>2177</v>
      </c>
      <c r="B9" s="2393" t="s">
        <v>3565</v>
      </c>
      <c r="C9" s="2394"/>
      <c r="D9" s="3605"/>
      <c r="E9" s="2393"/>
      <c r="F9" s="2395"/>
      <c r="G9" s="2664"/>
      <c r="H9" s="2664"/>
      <c r="I9" s="2664"/>
      <c r="J9" s="2438"/>
      <c r="K9" s="2615"/>
      <c r="L9" s="2612"/>
      <c r="M9" s="2612"/>
      <c r="N9" s="2438"/>
      <c r="O9" s="2449"/>
      <c r="P9" s="2438"/>
      <c r="Q9" s="2438"/>
      <c r="R9" s="2438"/>
    </row>
    <row r="10" spans="1:30" ht="13.5" thickTop="1">
      <c r="A10" s="2396" t="s">
        <v>2178</v>
      </c>
      <c r="B10" s="2397" t="s">
        <v>3563</v>
      </c>
      <c r="C10" s="2398"/>
      <c r="D10" s="2381"/>
      <c r="E10" s="2399" t="s">
        <v>2179</v>
      </c>
      <c r="F10" s="2665" t="s">
        <v>3617</v>
      </c>
      <c r="G10" s="2666"/>
      <c r="H10" s="2667"/>
      <c r="I10" s="2668"/>
      <c r="J10" s="2438"/>
      <c r="K10" s="2615"/>
      <c r="L10" s="2612"/>
      <c r="M10" s="2612"/>
      <c r="N10" s="2438"/>
      <c r="O10" s="2449"/>
      <c r="P10" s="2438"/>
      <c r="Q10" s="2438"/>
      <c r="R10" s="2438"/>
    </row>
    <row r="11" spans="1:30">
      <c r="A11" s="2400" t="s">
        <v>2180</v>
      </c>
      <c r="B11" s="2401" t="s">
        <v>3564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5"/>
      <c r="D13" s="855">
        <v>56506</v>
      </c>
      <c r="E13" s="855">
        <v>60159</v>
      </c>
      <c r="F13" s="855"/>
      <c r="G13" s="855"/>
      <c r="H13" s="855"/>
      <c r="I13" s="855"/>
      <c r="J13" s="3061"/>
      <c r="K13" s="2612"/>
      <c r="L13" s="2612"/>
      <c r="M13" s="2438"/>
      <c r="N13" s="2449"/>
      <c r="O13" s="2438"/>
      <c r="P13" s="2438"/>
      <c r="Q13" s="2438"/>
      <c r="AD13" s="1744"/>
    </row>
    <row r="14" spans="1:30">
      <c r="A14" s="1080"/>
      <c r="B14" s="2406" t="s">
        <v>2190</v>
      </c>
      <c r="C14" s="2407"/>
      <c r="D14" s="2407">
        <v>40</v>
      </c>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29.03</v>
      </c>
      <c r="E15" s="2409">
        <f>IF(A13="出让",IF(E13="","",ROUNDDOWN(MIN((E13-$D$3)/365,E14),2)),E14)</f>
        <v>39.04</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611"/>
      <c r="C16" s="3612"/>
      <c r="D16" s="3613"/>
      <c r="E16" s="2412" t="s">
        <v>2193</v>
      </c>
      <c r="F16" s="3614"/>
      <c r="G16" s="3615"/>
      <c r="H16" s="3615"/>
      <c r="I16" s="3616"/>
      <c r="J16" s="2438"/>
      <c r="K16" s="2616"/>
      <c r="L16" s="2450"/>
      <c r="M16" s="2450"/>
      <c r="N16" s="2508"/>
      <c r="O16" s="2450"/>
      <c r="P16" s="2508"/>
      <c r="Q16" s="2438"/>
      <c r="R16" s="2438"/>
    </row>
    <row r="17" spans="1:28">
      <c r="A17" s="313" t="s">
        <v>2194</v>
      </c>
      <c r="B17" s="302" t="s">
        <v>2195</v>
      </c>
      <c r="C17" s="8">
        <f>'数据-汇总表'!E3</f>
        <v>6305.16</v>
      </c>
      <c r="D17" s="2321" t="s">
        <v>2196</v>
      </c>
      <c r="E17" s="3617" t="s">
        <v>2197</v>
      </c>
      <c r="F17" s="3618"/>
      <c r="G17" s="3618"/>
      <c r="H17" s="3618"/>
      <c r="I17" s="361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620" t="s">
        <v>2201</v>
      </c>
      <c r="F18" s="3621"/>
      <c r="G18" s="3621"/>
      <c r="H18" s="3621"/>
      <c r="I18" s="362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607" t="s">
        <v>2205</v>
      </c>
      <c r="C20" s="3608"/>
      <c r="D20" s="3609" t="s">
        <v>2206</v>
      </c>
      <c r="E20" s="3610"/>
      <c r="F20" s="2646" t="s">
        <v>1056</v>
      </c>
      <c r="G20" s="2663"/>
      <c r="H20" s="2663"/>
      <c r="I20" s="2663"/>
      <c r="J20" s="2438"/>
      <c r="K20" s="360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6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6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4" t="s">
        <v>2213</v>
      </c>
      <c r="B27" s="320" t="s">
        <v>2214</v>
      </c>
      <c r="C27" s="2415" t="s">
        <v>3566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4"/>
      <c r="B28" s="302" t="s">
        <v>2215</v>
      </c>
      <c r="C28" s="2417" t="s">
        <v>3567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4"/>
      <c r="B29" s="302" t="s">
        <v>2216</v>
      </c>
      <c r="C29" s="2419" t="s">
        <v>3568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5"/>
      <c r="B30" s="302" t="s">
        <v>2217</v>
      </c>
      <c r="C30" s="3596"/>
      <c r="D30" s="3597"/>
      <c r="E30" s="2663"/>
      <c r="F30" s="2663"/>
      <c r="G30" s="2663"/>
      <c r="H30" s="2663"/>
      <c r="I30" s="2663"/>
      <c r="J30" s="2438"/>
      <c r="K30" s="2615"/>
      <c r="L30" s="2612"/>
      <c r="M30" s="2612"/>
      <c r="N30" s="2438"/>
      <c r="O30" s="2449"/>
      <c r="P30" s="2438"/>
      <c r="Q30" s="2438"/>
      <c r="R30" s="2438"/>
      <c r="S30" s="2438"/>
      <c r="T30" s="2438"/>
      <c r="U30" s="2438"/>
      <c r="V30" s="2438"/>
    </row>
    <row r="31" spans="1:28">
      <c r="A31" s="3598" t="s">
        <v>2218</v>
      </c>
      <c r="B31" s="2421" t="s">
        <v>3569</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9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9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93" t="s">
        <v>2227</v>
      </c>
      <c r="T34" s="2427" t="str">
        <f>NUMBERSTRING(7-K34,1)&amp;"通"</f>
        <v>七通</v>
      </c>
      <c r="U34" s="2438"/>
      <c r="V34" s="2438"/>
    </row>
    <row r="35" spans="1:30">
      <c r="A35" s="2428"/>
      <c r="B35" s="3600" t="s">
        <v>2228</v>
      </c>
      <c r="C35" s="3600"/>
      <c r="D35" s="3600"/>
      <c r="E35" s="360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6305.16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6305.16</v>
      </c>
      <c r="H5" s="13">
        <f t="shared" ref="H5:AT5" si="0">SUM(H13:H656)</f>
        <v>6305.16</v>
      </c>
      <c r="I5" s="13">
        <f t="shared" si="0"/>
        <v>6305.16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6305.16</v>
      </c>
      <c r="BA5" s="15">
        <f t="shared" si="1"/>
        <v>6305.16</v>
      </c>
      <c r="BB5" s="15">
        <f t="shared" si="1"/>
        <v>6305.16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3571</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201</v>
      </c>
      <c r="D13" s="1624" t="s">
        <v>3570</v>
      </c>
      <c r="E13" s="13">
        <f>IF($C$3="是",ROUND($A$3*G13/$B$3,2),ROUND($A$3*(G13-AT13)/$B$3,2))</f>
        <v>0</v>
      </c>
      <c r="F13" s="29"/>
      <c r="G13" s="30">
        <f>H13+AC13+AT13</f>
        <v>1369.88</v>
      </c>
      <c r="H13" s="17">
        <f>SUMIF(I$12:AB$12,"总值",I13:AB13)</f>
        <v>1369.88</v>
      </c>
      <c r="I13" s="1625">
        <v>1369.88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201</v>
      </c>
      <c r="AY13" s="1348">
        <f>ROUND($AY$6*AZ13/$AZ$5,2)</f>
        <v>0</v>
      </c>
      <c r="AZ13" s="13">
        <f>BA13+BL13</f>
        <v>1369.88</v>
      </c>
      <c r="BA13" s="13">
        <f>SUM(BB13:BK13)</f>
        <v>1369.88</v>
      </c>
      <c r="BB13" s="13">
        <f>IF($D13="是",I13-J13,0)</f>
        <v>1369.88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501</v>
      </c>
      <c r="D14" s="1624" t="s">
        <v>3570</v>
      </c>
      <c r="E14" s="13">
        <f>IF($C$3="是",ROUND($A$3*G14/$B$3,2),ROUND($A$3*(G14-AT14)/$B$3,2))</f>
        <v>0</v>
      </c>
      <c r="F14" s="29"/>
      <c r="G14" s="30">
        <f>H14+AC14+AT14</f>
        <v>2467.64</v>
      </c>
      <c r="H14" s="17">
        <f>SUMIF(I$12:AB$12,"总值",I14:AB14)</f>
        <v>2467.64</v>
      </c>
      <c r="I14" s="1625">
        <v>2467.64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501</v>
      </c>
      <c r="AY14" s="1348">
        <f>ROUND($AY$6*AZ14/$AZ$5,2)</f>
        <v>0</v>
      </c>
      <c r="AZ14" s="13">
        <f>BA14+BL14</f>
        <v>2467.64</v>
      </c>
      <c r="BA14" s="13">
        <f>SUM(BB14:BK14)</f>
        <v>2467.64</v>
      </c>
      <c r="BB14" s="13">
        <f>IF($D14="是",I14-J14,0)</f>
        <v>2467.64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601</v>
      </c>
      <c r="D15" s="1624" t="s">
        <v>3570</v>
      </c>
      <c r="E15" s="13">
        <f>IF($C$3="是",ROUND($A$3*G15/$B$3,2),ROUND($A$3*(G15-AT15)/$B$3,2))</f>
        <v>0</v>
      </c>
      <c r="F15" s="29"/>
      <c r="G15" s="30">
        <f>H15+AC15+AT15</f>
        <v>2467.64</v>
      </c>
      <c r="H15" s="17">
        <f>SUMIF(I$12:AB$12,"总值",I15:AB15)</f>
        <v>2467.64</v>
      </c>
      <c r="I15" s="1625">
        <v>2467.64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601</v>
      </c>
      <c r="AY15" s="1348">
        <f>ROUND($AY$6*AZ15/$AZ$5,2)</f>
        <v>0</v>
      </c>
      <c r="AZ15" s="13">
        <f>BA15+BL15</f>
        <v>2467.64</v>
      </c>
      <c r="BA15" s="13">
        <f>SUM(BB15:BK15)</f>
        <v>2467.64</v>
      </c>
      <c r="BB15" s="13">
        <f>IF($D15="是",I15-J15,0)</f>
        <v>2467.64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32" t="s">
        <v>1131</v>
      </c>
      <c r="B2" s="3632"/>
      <c r="C2" s="3632"/>
      <c r="D2" s="795" t="s">
        <v>1107</v>
      </c>
      <c r="E2" s="1638" t="s">
        <v>1108</v>
      </c>
      <c r="F2" s="2658"/>
      <c r="G2" s="2649"/>
      <c r="H2" s="2650"/>
      <c r="I2" s="2324" t="s">
        <v>1132</v>
      </c>
      <c r="J2" s="2658"/>
      <c r="K2" s="2658"/>
      <c r="L2" s="2658"/>
      <c r="M2" s="2658"/>
      <c r="N2" s="2660"/>
      <c r="O2" s="2658"/>
      <c r="P2" s="2658"/>
    </row>
    <row r="3" spans="1:16" ht="15.75" thickBot="1">
      <c r="A3" s="3633" t="s">
        <v>1105</v>
      </c>
      <c r="B3" s="3633"/>
      <c r="C3" s="3633"/>
      <c r="D3" s="43">
        <f>'数据-基础表'!AY6</f>
        <v>0</v>
      </c>
      <c r="E3" s="43">
        <f>'数据-基础表'!AZ5</f>
        <v>6305.16</v>
      </c>
      <c r="F3" s="2658"/>
      <c r="G3" s="1144"/>
      <c r="H3" s="1025" t="s">
        <v>1106</v>
      </c>
      <c r="I3" s="854" t="e">
        <f>ROUND('数据-基础表'!B3/'数据-基础表'!A3,2)</f>
        <v>#DIV/0!</v>
      </c>
      <c r="J3" s="2658"/>
      <c r="K3" s="2658"/>
      <c r="L3" s="2658"/>
      <c r="M3" s="2658"/>
      <c r="N3" s="2660"/>
      <c r="O3" s="2658"/>
      <c r="P3" s="2658"/>
    </row>
    <row r="4" spans="1:16" ht="15">
      <c r="A4" s="3634"/>
      <c r="B4" s="3635"/>
      <c r="C4" s="363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37" t="s">
        <v>1110</v>
      </c>
      <c r="C5" s="363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37" t="s">
        <v>1111</v>
      </c>
      <c r="C6" s="3637"/>
      <c r="D6" s="45">
        <f>ROUND($D$3*E6/$E$3,2)</f>
        <v>0</v>
      </c>
      <c r="E6" s="46">
        <f>E3-E5</f>
        <v>6305.16</v>
      </c>
      <c r="F6" s="2658"/>
      <c r="G6" s="2652" t="s">
        <v>1112</v>
      </c>
      <c r="H6" s="1145" t="s">
        <v>1113</v>
      </c>
      <c r="I6" s="2653" t="e">
        <f>ROUND(F31/D31,2)</f>
        <v>#DIV/0!</v>
      </c>
      <c r="J6" s="2658"/>
      <c r="K6" s="2658"/>
      <c r="L6" s="2658"/>
      <c r="M6" s="2658"/>
      <c r="N6" s="2658"/>
      <c r="O6" s="2658"/>
      <c r="P6" s="2658"/>
    </row>
    <row r="7" spans="1:16" ht="15.75" thickBot="1">
      <c r="A7" s="3629"/>
      <c r="B7" s="3630"/>
      <c r="C7" s="363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6305.16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6305.16</v>
      </c>
      <c r="F16" s="2658"/>
      <c r="G16" s="2659"/>
      <c r="H16" s="1647" t="s">
        <v>1135</v>
      </c>
      <c r="I16" s="1648"/>
      <c r="J16" s="1138"/>
      <c r="K16" s="3626" t="s">
        <v>1135</v>
      </c>
      <c r="L16" s="3627"/>
      <c r="M16" s="3627"/>
      <c r="N16" s="3627"/>
      <c r="O16" s="3627"/>
      <c r="P16" s="3628"/>
    </row>
    <row r="17" spans="1:19" ht="15">
      <c r="A17" s="1649" t="s">
        <v>1136</v>
      </c>
      <c r="B17" s="1650" t="s">
        <v>1137</v>
      </c>
      <c r="C17" s="1651" t="s">
        <v>1138</v>
      </c>
      <c r="D17" s="1652" t="s">
        <v>1126</v>
      </c>
      <c r="E17" s="1653" t="s">
        <v>1127</v>
      </c>
      <c r="F17" s="1654"/>
      <c r="G17" s="1655"/>
      <c r="H17" s="1656" t="s">
        <v>1139</v>
      </c>
      <c r="I17" s="1657" t="s">
        <v>1124</v>
      </c>
      <c r="J17" s="1138"/>
      <c r="K17" s="3623" t="s">
        <v>1140</v>
      </c>
      <c r="L17" s="3624"/>
      <c r="M17" s="3625"/>
      <c r="N17" s="3623" t="s">
        <v>1141</v>
      </c>
      <c r="O17" s="3624"/>
      <c r="P17" s="362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3572</v>
      </c>
      <c r="D19" s="45">
        <f>ROUND($D$3*E19/$E$3,2)</f>
        <v>0</v>
      </c>
      <c r="E19" s="53">
        <f t="shared" ref="E19:E26" si="1">SUM(F19:G19)</f>
        <v>6305.16</v>
      </c>
      <c r="F19" s="2794">
        <f>'数据-基础表'!I13+'数据-基础表'!I14+'数据-基础表'!I15</f>
        <v>6305.16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6305.16</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6305.16</v>
      </c>
      <c r="F27" s="1139">
        <f>IF(SUM(F19:F26)=E8,SUM(F19:F26),"地上面积有误")</f>
        <v>6305.16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6305.16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6305.16</v>
      </c>
      <c r="F31" s="676">
        <f>F27+F30</f>
        <v>6305.16</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3573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60159</v>
      </c>
      <c r="F6" s="64">
        <f>SUMIF(项目基本情况!C$12:I$12,C6,项目基本情况!C$15:I$15)</f>
        <v>39.04</v>
      </c>
      <c r="G6" s="65">
        <f>IF(ISERROR(ROUND(POWER(1+H6,D6-F6)*(POWER(1+H6,F6)-1)/(POWER(1+H6,D6)-1),3)),0,ROUND(POWER(1+H6,D6-F6)*(POWER(1+H6,F6)-1)/(POWER(1+H6,D6)-1),3))</f>
        <v>0.94099999999999995</v>
      </c>
      <c r="H6" s="731">
        <v>5.5E-2</v>
      </c>
      <c r="I6" s="731">
        <v>0.06</v>
      </c>
      <c r="J6" s="66">
        <v>7.0000000000000007E-2</v>
      </c>
      <c r="K6" s="1029">
        <f>SUMIF('数据-汇总表'!C$19:C$33,A6,'数据-汇总表'!E$19:E$33)</f>
        <v>6305.16</v>
      </c>
      <c r="L6" s="732">
        <v>5000</v>
      </c>
      <c r="M6" s="67">
        <f t="shared" ref="M6:M14" si="0">ROUND(K6*L6/10000,0)</f>
        <v>3153</v>
      </c>
      <c r="N6" s="730">
        <f>ROUND(1-(1-0%)*(2025-N18)/60,2)</f>
        <v>0.9</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20</v>
      </c>
      <c r="V6" s="70">
        <v>0.02</v>
      </c>
      <c r="W6" s="70">
        <v>0.1</v>
      </c>
      <c r="X6" s="1039"/>
      <c r="Y6" s="71">
        <f>N6</f>
        <v>0.9</v>
      </c>
      <c r="Z6" s="72"/>
      <c r="AA6" s="66"/>
      <c r="AB6" s="66"/>
      <c r="AC6" s="1039"/>
      <c r="AD6" s="73"/>
      <c r="AE6" s="1040">
        <f ca="1">IF(AN6="",0,SUMIF(INDIRECT("'"&amp;AN6&amp;"'"&amp;"!E:E"),$AE$5,INDIRECT("'"&amp;AN6&amp;"'"&amp;"!F:F")))</f>
        <v>0</v>
      </c>
      <c r="AF6" s="1347"/>
      <c r="AG6" s="138">
        <f>IF(AF6="",0,AE6-AF6)</f>
        <v>0</v>
      </c>
      <c r="AH6" s="74"/>
      <c r="AI6" s="76">
        <v>365</v>
      </c>
      <c r="AJ6" s="77"/>
      <c r="AK6" s="78">
        <v>3.0000000000000001E-3</v>
      </c>
      <c r="AL6" s="79">
        <v>1E-3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0.94099999999999995</v>
      </c>
      <c r="H16" s="90">
        <f>ROUND(SUMPRODUCT(H6:H13,K6:K13)/SUMPRODUCT((H6:H13&gt;0)*(K6:K13)),3)</f>
        <v>5.5E-2</v>
      </c>
      <c r="I16" s="91"/>
      <c r="J16" s="91"/>
      <c r="K16" s="92">
        <f>SUM(K6:K15)</f>
        <v>6305.16</v>
      </c>
      <c r="L16" s="93">
        <f>ROUND(M16*10000/SUM(K6:K14),0)</f>
        <v>5001</v>
      </c>
      <c r="M16" s="93">
        <f>SUM(M6:M14)</f>
        <v>3153</v>
      </c>
      <c r="N16" s="94">
        <f>ROUND(SUMPRODUCT(M6:M14,N6:N14)/M16,3)</f>
        <v>0.9</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2019</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38" t="s">
        <v>2285</v>
      </c>
      <c r="B1" s="3639"/>
      <c r="C1" s="3639"/>
      <c r="D1" s="3639"/>
      <c r="E1" s="3639"/>
      <c r="F1" s="3639"/>
      <c r="G1" s="36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0" sqref="E1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6305.16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45909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52165</v>
      </c>
      <c r="C5" s="2511">
        <f ca="1">IF(B5=D14,结果表!H102,ROUND(B5*10000/$B$1,0))</f>
        <v>0</v>
      </c>
      <c r="D5" s="2511" t="e">
        <f>ROUND(B5*10000/$B$2,0)</f>
        <v>#DIV/0!</v>
      </c>
      <c r="E5" s="2685"/>
      <c r="F5" s="2686"/>
      <c r="G5" s="2686"/>
      <c r="H5" s="2687"/>
      <c r="I5" s="2687"/>
      <c r="J5" s="2687"/>
      <c r="K5" s="2687"/>
    </row>
    <row r="6" spans="1:11" ht="16.5">
      <c r="A6" s="2511" t="s">
        <v>656</v>
      </c>
      <c r="B6" s="2511">
        <f>SUM(G14:G23)</f>
        <v>52165</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52165</v>
      </c>
      <c r="C10" s="2511" t="s">
        <v>3353</v>
      </c>
      <c r="D10" s="2511" t="s">
        <v>3354</v>
      </c>
      <c r="E10" s="3440">
        <f>典型户型修正!R22</f>
        <v>17</v>
      </c>
      <c r="F10" s="3444" t="s">
        <v>3355</v>
      </c>
      <c r="G10" s="3441">
        <v>7.4999999999999997E-2</v>
      </c>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6305.16</v>
      </c>
      <c r="C14" s="2517"/>
      <c r="D14" s="2517">
        <f>B10</f>
        <v>52165</v>
      </c>
      <c r="E14" s="2517">
        <f>ROUND(D14*10000/B14,0)</f>
        <v>82734</v>
      </c>
      <c r="F14" s="2517" t="e">
        <f>ROUND(D14*10000/C14,0)</f>
        <v>#DIV/0!</v>
      </c>
      <c r="G14" s="2517">
        <f>B10</f>
        <v>52165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4" t="str">
        <f>项目基本情况!S2</f>
        <v>北京市西城区金融大街6号楼2层201、5层501、6层601共3套办公用房房地产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3" t="s">
        <v>1265</v>
      </c>
      <c r="B4" s="1754" t="s">
        <v>1266</v>
      </c>
      <c r="C4" s="1755"/>
      <c r="D4" s="1755"/>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4" t="s">
        <v>1268</v>
      </c>
      <c r="B5" s="3641">
        <v>25</v>
      </c>
      <c r="C5" s="3657"/>
      <c r="D5" s="3677"/>
      <c r="E5" s="131" t="s">
        <v>1269</v>
      </c>
      <c r="F5" s="1756"/>
      <c r="G5" s="1756"/>
      <c r="H5" s="1756"/>
      <c r="I5" s="1372"/>
    </row>
    <row r="6" spans="1:12" ht="12.75">
      <c r="A6" s="3654"/>
      <c r="B6" s="3641"/>
      <c r="C6" s="3658"/>
      <c r="D6" s="3677"/>
      <c r="E6" s="131" t="s">
        <v>1270</v>
      </c>
      <c r="F6" s="1756"/>
      <c r="G6" s="1756"/>
      <c r="H6" s="1756"/>
      <c r="I6" s="1372"/>
    </row>
    <row r="7" spans="1:12" ht="12.75">
      <c r="A7" s="3654"/>
      <c r="B7" s="3641"/>
      <c r="C7" s="3659"/>
      <c r="D7" s="3677"/>
      <c r="E7" s="131" t="s">
        <v>1271</v>
      </c>
      <c r="F7" s="1756"/>
      <c r="G7" s="1756"/>
      <c r="H7" s="1756"/>
      <c r="I7" s="1372"/>
    </row>
    <row r="8" spans="1:12" ht="12.75">
      <c r="A8" s="3654" t="s">
        <v>1272</v>
      </c>
      <c r="B8" s="3641">
        <v>15</v>
      </c>
      <c r="C8" s="3657"/>
      <c r="D8" s="3677"/>
      <c r="E8" s="131" t="s">
        <v>1273</v>
      </c>
      <c r="F8" s="1756"/>
      <c r="G8" s="1756"/>
      <c r="H8" s="1756"/>
      <c r="I8" s="1372"/>
    </row>
    <row r="9" spans="1:12" ht="12.75">
      <c r="A9" s="3654"/>
      <c r="B9" s="3641"/>
      <c r="C9" s="3659"/>
      <c r="D9" s="3677"/>
      <c r="E9" s="131" t="s">
        <v>1274</v>
      </c>
      <c r="F9" s="1756"/>
      <c r="G9" s="1756"/>
      <c r="H9" s="1756"/>
      <c r="I9" s="1372"/>
    </row>
    <row r="10" spans="1:12" ht="12.75">
      <c r="A10" s="3654" t="s">
        <v>1275</v>
      </c>
      <c r="B10" s="3641">
        <v>15</v>
      </c>
      <c r="C10" s="3657"/>
      <c r="D10" s="3677"/>
      <c r="E10" s="131" t="s">
        <v>1276</v>
      </c>
      <c r="F10" s="1756"/>
      <c r="G10" s="1756"/>
      <c r="H10" s="1756"/>
      <c r="I10" s="1372"/>
    </row>
    <row r="11" spans="1:12" ht="12.75">
      <c r="A11" s="3654"/>
      <c r="B11" s="3641"/>
      <c r="C11" s="3659"/>
      <c r="D11" s="3677"/>
      <c r="E11" s="131" t="s">
        <v>1277</v>
      </c>
      <c r="F11" s="1756"/>
      <c r="G11" s="1756"/>
      <c r="H11" s="1756"/>
      <c r="I11" s="1372"/>
    </row>
    <row r="12" spans="1:12" ht="12.75">
      <c r="A12" s="3654" t="s">
        <v>1278</v>
      </c>
      <c r="B12" s="3641">
        <v>15</v>
      </c>
      <c r="C12" s="3657"/>
      <c r="D12" s="3677"/>
      <c r="E12" s="131" t="s">
        <v>1279</v>
      </c>
      <c r="F12" s="1756"/>
      <c r="G12" s="1756"/>
      <c r="H12" s="1756"/>
      <c r="I12" s="1372"/>
    </row>
    <row r="13" spans="1:12" ht="12.75">
      <c r="A13" s="3654"/>
      <c r="B13" s="3641"/>
      <c r="C13" s="3659"/>
      <c r="D13" s="3677"/>
      <c r="E13" s="131" t="s">
        <v>1280</v>
      </c>
      <c r="F13" s="1756"/>
      <c r="G13" s="1756"/>
      <c r="H13" s="1756"/>
      <c r="I13" s="1372"/>
    </row>
    <row r="14" spans="1:12" ht="12.75">
      <c r="A14" s="3654" t="s">
        <v>1281</v>
      </c>
      <c r="B14" s="3641">
        <v>30</v>
      </c>
      <c r="C14" s="3657"/>
      <c r="D14" s="3677"/>
      <c r="E14" s="131" t="s">
        <v>1282</v>
      </c>
      <c r="F14" s="1756"/>
      <c r="G14" s="1756"/>
      <c r="H14" s="1756"/>
      <c r="I14" s="1372"/>
    </row>
    <row r="15" spans="1:12" ht="12.75">
      <c r="A15" s="3654"/>
      <c r="B15" s="3641"/>
      <c r="C15" s="3658"/>
      <c r="D15" s="3677"/>
      <c r="E15" s="131" t="s">
        <v>1283</v>
      </c>
      <c r="F15" s="1756"/>
      <c r="G15" s="1756"/>
      <c r="H15" s="1756"/>
      <c r="I15" s="1372"/>
    </row>
    <row r="16" spans="1:12" ht="12.75">
      <c r="A16" s="3654"/>
      <c r="B16" s="3641"/>
      <c r="C16" s="3659"/>
      <c r="D16" s="3677"/>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64" t="s">
        <v>2130</v>
      </c>
      <c r="F18" s="3665"/>
      <c r="G18" s="3665"/>
      <c r="H18" s="3665"/>
      <c r="I18" s="3665"/>
      <c r="K18" s="302" t="s">
        <v>1289</v>
      </c>
      <c r="L18" s="302">
        <f>IF(C1="",'数据-汇总表'!E3,SUMIF(项目类型,C1,'数据-汇总表'!E17:E26)+SUMIF(项目类型,C1,'数据-汇总表'!I17:I26))</f>
        <v>6305.16</v>
      </c>
      <c r="M18" s="302">
        <f>IF(C1="",'数据-汇总表'!E3,SUMIF(项目类型,C1,'数据-汇总表'!E17:E26))</f>
        <v>6305.16</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t="e">
        <f ca="1">SUMIF(INDIRECT("'"&amp;C4&amp;"'"&amp;"!A:A"),结果表!B20,INDIRECT("'"&amp;C4&amp;"'"&amp;"!B:B"))</f>
        <v>#REF!</v>
      </c>
      <c r="D20" s="138" t="e">
        <f ca="1">SUMIF(INDIRECT("'"&amp;D4&amp;"'"&amp;"!A:A"),结果表!B20,INDIRECT("'"&amp;D4&amp;"'"&amp;"!B:B"))</f>
        <v>#REF!</v>
      </c>
      <c r="E20" s="1763"/>
      <c r="F20" s="1025" t="s">
        <v>1295</v>
      </c>
      <c r="G20" s="139" t="e">
        <f ca="1">ROUND(C20*$C$18+D20*$D$18,0)</f>
        <v>#REF!</v>
      </c>
      <c r="H20" s="807" t="s">
        <v>1296</v>
      </c>
      <c r="I20" s="129"/>
    </row>
    <row r="21" spans="1:36" ht="15" customHeight="1" thickBot="1">
      <c r="A21" s="827"/>
      <c r="B21" s="1764" t="s">
        <v>1297</v>
      </c>
      <c r="C21" s="718" t="e">
        <f ca="1">ROUND(C19*10000/L19,0)</f>
        <v>#REF!</v>
      </c>
      <c r="D21" s="719" t="e">
        <f ca="1">ROUND(D19*10000/L19,0)</f>
        <v>#REF!</v>
      </c>
      <c r="E21" s="827"/>
      <c r="F21" s="1764" t="s">
        <v>1297</v>
      </c>
      <c r="G21" s="140" t="e">
        <f ca="1">ROUND(G19*10000/L19,0)</f>
        <v>#REF!</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48" t="s">
        <v>1299</v>
      </c>
      <c r="B24" s="1761" t="s">
        <v>1291</v>
      </c>
      <c r="C24" s="136">
        <f>IF(B30=0,0,D30)</f>
        <v>0</v>
      </c>
      <c r="D24" s="1768"/>
      <c r="E24" s="129"/>
      <c r="F24" s="129"/>
      <c r="G24" s="129"/>
      <c r="H24" s="129"/>
      <c r="I24" s="129"/>
    </row>
    <row r="25" spans="1:36" ht="14.25">
      <c r="A25" s="364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68" t="s">
        <v>1312</v>
      </c>
      <c r="B36" s="1786" t="s">
        <v>1313</v>
      </c>
      <c r="C36" s="145"/>
      <c r="D36" s="1787"/>
      <c r="E36" s="1788"/>
      <c r="F36" s="1789"/>
      <c r="G36" s="129"/>
      <c r="H36" s="129"/>
      <c r="I36" s="129"/>
    </row>
    <row r="37" spans="1:15" ht="15.75" thickBot="1">
      <c r="A37" s="3669"/>
      <c r="B37" s="1673" t="s">
        <v>1314</v>
      </c>
      <c r="C37" s="147"/>
      <c r="D37" s="1138"/>
      <c r="E37" s="1138"/>
      <c r="F37" s="1789"/>
      <c r="G37" s="129"/>
      <c r="H37" s="129"/>
      <c r="I37" s="129"/>
    </row>
    <row r="38" spans="1:15" ht="15.75" thickBot="1">
      <c r="A38" s="367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t="e">
        <f ca="1">ROUND(H101*F45,0)</f>
        <v>#REF!</v>
      </c>
      <c r="E45" s="156" t="s">
        <v>1327</v>
      </c>
      <c r="F45" s="157">
        <v>1</v>
      </c>
      <c r="G45" s="158" t="s">
        <v>1328</v>
      </c>
      <c r="H45" s="129"/>
      <c r="I45" s="129"/>
      <c r="J45" s="3723" t="s">
        <v>1329</v>
      </c>
      <c r="K45" s="3723"/>
      <c r="L45" s="3723"/>
      <c r="M45" s="3723"/>
      <c r="N45" s="3723"/>
      <c r="O45" s="3723"/>
    </row>
    <row r="46" spans="1:15" ht="14.25" customHeight="1">
      <c r="A46" s="3642" t="s">
        <v>1330</v>
      </c>
      <c r="B46" s="3643"/>
      <c r="C46" s="3643"/>
      <c r="D46" s="3643"/>
      <c r="E46" s="3643"/>
      <c r="F46" s="3643"/>
      <c r="G46" s="3644"/>
      <c r="H46" s="1805"/>
      <c r="I46" s="159"/>
      <c r="J46" s="2522">
        <v>1</v>
      </c>
      <c r="K46" s="3704" t="s">
        <v>1331</v>
      </c>
      <c r="L46" s="3704"/>
      <c r="M46" s="3724"/>
      <c r="N46" s="3724"/>
      <c r="O46" s="3724"/>
    </row>
    <row r="47" spans="1:15" ht="12" customHeight="1">
      <c r="A47" s="160" t="s">
        <v>1332</v>
      </c>
      <c r="B47" s="161"/>
      <c r="C47" s="162"/>
      <c r="D47" s="1086" t="s">
        <v>1333</v>
      </c>
      <c r="E47" s="302" t="s">
        <v>1334</v>
      </c>
      <c r="F47" s="163" t="s">
        <v>1335</v>
      </c>
      <c r="G47" s="2545" t="s">
        <v>1336</v>
      </c>
      <c r="H47" s="2546"/>
      <c r="I47" s="159"/>
      <c r="J47" s="2522">
        <v>2</v>
      </c>
      <c r="K47" s="3704" t="s">
        <v>1337</v>
      </c>
      <c r="L47" s="3704"/>
      <c r="M47" s="3725">
        <f>'数据-取费表'!B2</f>
        <v>45909</v>
      </c>
      <c r="N47" s="3725"/>
      <c r="O47" s="3725"/>
    </row>
    <row r="48" spans="1:15" ht="25.5">
      <c r="A48" s="3673" t="s">
        <v>1338</v>
      </c>
      <c r="B48" s="3656"/>
      <c r="C48" s="365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04" t="s">
        <v>1340</v>
      </c>
      <c r="L48" s="3704"/>
      <c r="M48" s="3726" t="e">
        <f ca="1">H101</f>
        <v>#REF!</v>
      </c>
      <c r="N48" s="3726"/>
      <c r="O48" s="3726"/>
    </row>
    <row r="49" spans="1:35" ht="25.5" customHeight="1">
      <c r="A49" s="2332" t="s">
        <v>1341</v>
      </c>
      <c r="B49" s="3640" t="s">
        <v>1342</v>
      </c>
      <c r="C49" s="3640"/>
      <c r="D49" s="1589">
        <v>0</v>
      </c>
      <c r="E49" s="324" t="s">
        <v>1343</v>
      </c>
      <c r="F49" s="2423" t="s">
        <v>28</v>
      </c>
      <c r="G49" s="3710"/>
      <c r="H49" s="2309" t="s">
        <v>2133</v>
      </c>
      <c r="I49" s="2310"/>
      <c r="J49" s="2522">
        <v>4</v>
      </c>
      <c r="K49" s="3704" t="str">
        <f>IF(项目基本情况!E8="房地产抵押价值","房地产抵押价值","抵押担保权已注销时的房地产抵押价值")</f>
        <v>抵押担保权已注销时的房地产抵押价值</v>
      </c>
      <c r="L49" s="3704"/>
      <c r="M49" s="3726" t="str">
        <f>IF(项目基本情况!E8="房地产抵押价值",H107,H109)</f>
        <v>——</v>
      </c>
      <c r="N49" s="3726"/>
      <c r="O49" s="3726"/>
    </row>
    <row r="50" spans="1:35" ht="25.5" customHeight="1">
      <c r="A50" s="2550"/>
      <c r="B50" s="3640" t="s">
        <v>1344</v>
      </c>
      <c r="C50" s="3640"/>
      <c r="D50" s="2551"/>
      <c r="E50" s="332"/>
      <c r="F50" s="2423"/>
      <c r="G50" s="3711"/>
      <c r="H50" s="2311" t="s">
        <v>2134</v>
      </c>
      <c r="I50" s="2310"/>
      <c r="J50" s="3723" t="s">
        <v>1345</v>
      </c>
      <c r="K50" s="3723"/>
      <c r="L50" s="3723"/>
      <c r="M50" s="3723"/>
      <c r="N50" s="3723"/>
      <c r="O50" s="3723"/>
    </row>
    <row r="51" spans="1:35" ht="20.45" customHeight="1">
      <c r="A51" s="2552"/>
      <c r="B51" s="3640" t="s">
        <v>1346</v>
      </c>
      <c r="C51" s="3640"/>
      <c r="D51" s="1086"/>
      <c r="E51" s="327"/>
      <c r="F51" s="2423"/>
      <c r="G51" s="3712"/>
      <c r="H51" s="2311" t="s">
        <v>2135</v>
      </c>
      <c r="I51" s="2310"/>
      <c r="J51" s="2523" t="s">
        <v>1347</v>
      </c>
      <c r="K51" s="3704" t="s">
        <v>1348</v>
      </c>
      <c r="L51" s="3704"/>
      <c r="M51" s="2523" t="s">
        <v>1349</v>
      </c>
      <c r="N51" s="2523" t="s">
        <v>1350</v>
      </c>
      <c r="O51" s="2523" t="s">
        <v>1351</v>
      </c>
    </row>
    <row r="52" spans="1:35" ht="24" customHeight="1">
      <c r="A52" s="2334" t="s">
        <v>1352</v>
      </c>
      <c r="B52" s="3640" t="s">
        <v>1353</v>
      </c>
      <c r="C52" s="3640"/>
      <c r="D52" s="1086" t="e">
        <f ca="1">ROUND(D45*'数据-取费表'!B41/(1+'数据-取费表'!C42),0)</f>
        <v>#REF!</v>
      </c>
      <c r="E52" s="2333" t="s">
        <v>1354</v>
      </c>
      <c r="F52" s="2553">
        <f>'数据-取费表'!B41</f>
        <v>5.6000000000000001E-2</v>
      </c>
      <c r="G52" s="2554"/>
      <c r="H52" s="2543"/>
      <c r="I52" s="1806"/>
      <c r="J52" s="2522">
        <v>1</v>
      </c>
      <c r="K52" s="3705" t="s">
        <v>1355</v>
      </c>
      <c r="L52" s="3705"/>
      <c r="M52" s="2524" t="b">
        <f>D48</f>
        <v>0</v>
      </c>
      <c r="N52" s="2522" t="str">
        <f>E48</f>
        <v>销售额×税（费）率</v>
      </c>
      <c r="O52" s="2525">
        <f>F48</f>
        <v>5.6000000000000001E-2</v>
      </c>
    </row>
    <row r="53" spans="1:35" ht="12" customHeight="1">
      <c r="A53" s="2334" t="s">
        <v>1356</v>
      </c>
      <c r="B53" s="3666" t="s">
        <v>2290</v>
      </c>
      <c r="C53" s="3667"/>
      <c r="D53" s="1086" t="e">
        <f ca="1">ROUND(D45*'数据-取费表'!B41/(1+'数据-取费表'!C42),0)</f>
        <v>#REF!</v>
      </c>
      <c r="E53" s="2333" t="s">
        <v>1354</v>
      </c>
      <c r="F53" s="2553">
        <f>'数据-取费表'!B41</f>
        <v>5.6000000000000001E-2</v>
      </c>
      <c r="G53" s="2554"/>
      <c r="H53" s="2543"/>
      <c r="I53" s="1806"/>
      <c r="J53" s="2522">
        <v>2</v>
      </c>
      <c r="K53" s="3705" t="s">
        <v>1357</v>
      </c>
      <c r="L53" s="3705"/>
      <c r="M53" s="2524" t="e">
        <f t="shared" ref="M53:O54" ca="1" si="0">D55</f>
        <v>#REF!</v>
      </c>
      <c r="N53" s="2522" t="str">
        <f t="shared" si="0"/>
        <v>销售额×税（费）率</v>
      </c>
      <c r="O53" s="2525" t="str">
        <f t="shared" si="0"/>
        <v>免征</v>
      </c>
    </row>
    <row r="54" spans="1:35" ht="12" customHeight="1">
      <c r="A54" s="2334" t="s">
        <v>1358</v>
      </c>
      <c r="B54" s="3666" t="s">
        <v>2291</v>
      </c>
      <c r="C54" s="3667"/>
      <c r="D54" s="1086" t="e">
        <f ca="1">C68</f>
        <v>#REF!</v>
      </c>
      <c r="E54" s="327" t="s">
        <v>1359</v>
      </c>
      <c r="F54" s="2553">
        <f>'数据-取费表'!B41</f>
        <v>5.6000000000000001E-2</v>
      </c>
      <c r="G54" s="2554"/>
      <c r="H54" s="2555"/>
      <c r="I54" s="1806"/>
      <c r="J54" s="2522">
        <v>3</v>
      </c>
      <c r="K54" s="3705" t="s">
        <v>1360</v>
      </c>
      <c r="L54" s="3705"/>
      <c r="M54" s="2524" t="e">
        <f t="shared" ca="1" si="0"/>
        <v>#REF!</v>
      </c>
      <c r="N54" s="2522" t="str">
        <f t="shared" si="0"/>
        <v>增值额×税（费）率</v>
      </c>
      <c r="O54" s="2526" t="str">
        <f t="shared" si="0"/>
        <v>免征</v>
      </c>
    </row>
    <row r="55" spans="1:35" ht="24" customHeight="1">
      <c r="A55" s="3655" t="s">
        <v>1361</v>
      </c>
      <c r="B55" s="3656"/>
      <c r="C55" s="3656"/>
      <c r="D55" s="2323" t="e">
        <f ca="1">IF(H55="个人住宅",0,ROUND(D45*I55,0))</f>
        <v>#REF!</v>
      </c>
      <c r="E55" s="2333" t="s">
        <v>1362</v>
      </c>
      <c r="F55" s="2553" t="str">
        <f>IF(H55="正常",I55,"免征")</f>
        <v>免征</v>
      </c>
      <c r="G55" s="2554"/>
      <c r="H55" s="2549"/>
      <c r="I55" s="165">
        <f>'数据-取费表'!B49</f>
        <v>5.0000000000000001E-4</v>
      </c>
      <c r="J55" s="2522">
        <f>IF(H59="非个人房产","",4)</f>
        <v>4</v>
      </c>
      <c r="K55" s="3705" t="str">
        <f>IF(H59="非个人房产","——","个人所得税")</f>
        <v>个人所得税</v>
      </c>
      <c r="L55" s="3705"/>
      <c r="M55" s="2527" t="e">
        <f ca="1">D59</f>
        <v>#REF!</v>
      </c>
      <c r="N55" s="2039" t="str">
        <f>E59</f>
        <v>差额计税</v>
      </c>
      <c r="O55" s="2528">
        <f>F59</f>
        <v>0.01</v>
      </c>
    </row>
    <row r="56" spans="1:35" ht="24.75">
      <c r="A56" s="3655" t="s">
        <v>1363</v>
      </c>
      <c r="B56" s="3656"/>
      <c r="C56" s="3656"/>
      <c r="D56" s="2323" t="e">
        <f ca="1">IF(H56="个人住宅",D57,D58)</f>
        <v>#REF!</v>
      </c>
      <c r="E56" s="2333" t="s">
        <v>1364</v>
      </c>
      <c r="F56" s="2553" t="str">
        <f>IF(H56="正常",F58,"免征")</f>
        <v>免征</v>
      </c>
      <c r="G56" s="2556" t="s">
        <v>1365</v>
      </c>
      <c r="H56" s="2557"/>
      <c r="I56" s="1807"/>
      <c r="J56" s="2522" t="str">
        <f>IF(项目基本情况!K6="上海银行",IF(J55="",4,J55+1),"")</f>
        <v/>
      </c>
      <c r="K56" s="3728" t="str">
        <f>IF(项目基本情况!K6="上海银行","其他处置费用","")</f>
        <v/>
      </c>
      <c r="L56" s="3729"/>
      <c r="M56" s="2524" t="str">
        <f>IF(项目基本情况!K6="上海银行",M69,"")</f>
        <v/>
      </c>
      <c r="N56" s="3728" t="str">
        <f>IF(项目基本情况!K6="上海银行","包含处置中涉及的律师、诉讼、拍卖、评估等费用","")</f>
        <v/>
      </c>
      <c r="O56" s="3731"/>
    </row>
    <row r="57" spans="1:35" ht="12.75">
      <c r="A57" s="2334" t="s">
        <v>1341</v>
      </c>
      <c r="B57" s="3666" t="s">
        <v>1366</v>
      </c>
      <c r="C57" s="3667"/>
      <c r="D57" s="1589">
        <v>0</v>
      </c>
      <c r="E57" s="324" t="s">
        <v>1343</v>
      </c>
      <c r="F57" s="302"/>
      <c r="G57" s="2554"/>
      <c r="H57" s="2558"/>
      <c r="I57" s="1807"/>
      <c r="J57" s="3705">
        <f>IF(AND(J55="",J56=""),4,IF(项目基本情况!K6="上海银行",结果表!J56+1,结果表!J55+1))</f>
        <v>5</v>
      </c>
      <c r="K57" s="3705" t="s">
        <v>1367</v>
      </c>
      <c r="L57" s="2529" t="s">
        <v>1368</v>
      </c>
      <c r="M57" s="2530"/>
      <c r="N57" s="2531">
        <f ca="1">SUMIF(M52:M56,"&lt;9e307")</f>
        <v>0</v>
      </c>
      <c r="O57" s="2532"/>
      <c r="P57" s="2689" t="e">
        <f ca="1">N57/M49</f>
        <v>#VALUE!</v>
      </c>
    </row>
    <row r="58" spans="1:35" ht="24.75">
      <c r="A58" s="2334" t="s">
        <v>1352</v>
      </c>
      <c r="B58" s="3666" t="s">
        <v>1369</v>
      </c>
      <c r="C58" s="3640"/>
      <c r="D58" s="2323" t="e">
        <f ca="1">IF(H58="转让取得",C81,C97)</f>
        <v>#REF!</v>
      </c>
      <c r="E58" s="2333" t="s">
        <v>1364</v>
      </c>
      <c r="F58" s="302" t="s">
        <v>28</v>
      </c>
      <c r="G58" s="2554"/>
      <c r="H58" s="2557"/>
      <c r="I58" s="1807"/>
      <c r="J58" s="3705"/>
      <c r="K58" s="3705"/>
      <c r="L58" s="2529" t="s">
        <v>1370</v>
      </c>
      <c r="M58" s="2533"/>
      <c r="N58" s="2534" t="str">
        <f ca="1">NUMBERSTRING(INT(N57*10000),2)&amp;"元整"</f>
        <v>零元整</v>
      </c>
      <c r="O58" s="2535"/>
    </row>
    <row r="59" spans="1:35" ht="24.75" thickBot="1">
      <c r="A59" s="3708" t="s">
        <v>1371</v>
      </c>
      <c r="B59" s="3709"/>
      <c r="C59" s="370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706">
        <f>J57+1</f>
        <v>6</v>
      </c>
      <c r="K59" s="3705" t="s">
        <v>1372</v>
      </c>
      <c r="L59" s="2522" t="s">
        <v>1368</v>
      </c>
      <c r="M59" s="2536"/>
      <c r="N59" s="2537" t="e">
        <f ca="1">M49-N57</f>
        <v>#VALUE!</v>
      </c>
      <c r="O59" s="2538"/>
    </row>
    <row r="60" spans="1:35" ht="12" customHeight="1">
      <c r="A60" s="1808"/>
      <c r="B60" s="1746"/>
      <c r="C60" s="1746"/>
      <c r="D60" s="1746"/>
      <c r="E60" s="1577"/>
      <c r="F60" s="1807"/>
      <c r="G60" s="1807"/>
      <c r="H60" s="1809"/>
      <c r="I60" s="129"/>
      <c r="J60" s="3707"/>
      <c r="K60" s="3705"/>
      <c r="L60" s="2529" t="s">
        <v>1370</v>
      </c>
      <c r="M60" s="2533"/>
      <c r="N60" s="2534" t="e">
        <f ca="1">NUMBERSTRING(INT(N59*10000),2)&amp;"元整"</f>
        <v>#VALUE!</v>
      </c>
      <c r="O60" s="2535"/>
    </row>
    <row r="61" spans="1:35" ht="13.5" thickBot="1">
      <c r="A61" s="3653" t="s">
        <v>1373</v>
      </c>
      <c r="B61" s="3653"/>
      <c r="C61" s="3653"/>
      <c r="D61" s="3653"/>
      <c r="E61" s="3653"/>
      <c r="F61" s="1807"/>
      <c r="G61" s="1807"/>
      <c r="H61" s="1809"/>
      <c r="I61" s="129"/>
      <c r="J61" s="2522">
        <f>J59+1</f>
        <v>7</v>
      </c>
      <c r="K61" s="3705" t="s">
        <v>1374</v>
      </c>
      <c r="L61" s="3705"/>
      <c r="M61" s="2539"/>
      <c r="N61" s="2540" t="e">
        <f ca="1">ROUND(N59*10000/'数据-汇总表'!E3,0)</f>
        <v>#VALUE!</v>
      </c>
      <c r="O61" s="2541"/>
    </row>
    <row r="62" spans="1:35" ht="12.75">
      <c r="A62" s="3671" t="s">
        <v>1375</v>
      </c>
      <c r="B62" s="367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3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3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3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3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3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3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30"/>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92" t="s">
        <v>1394</v>
      </c>
      <c r="B70" s="3693"/>
      <c r="C70" s="3693"/>
      <c r="D70" s="3693"/>
      <c r="E70" s="3693"/>
      <c r="F70" s="3693"/>
      <c r="G70" s="3693"/>
      <c r="H70" s="369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71" t="s">
        <v>1375</v>
      </c>
      <c r="B71" s="367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66" t="s">
        <v>1402</v>
      </c>
      <c r="F76" s="3640"/>
      <c r="G76" s="3640"/>
      <c r="H76" s="36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50" t="s">
        <v>1406</v>
      </c>
      <c r="F78" s="3651"/>
      <c r="G78" s="3651"/>
      <c r="H78" s="366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92" t="s">
        <v>1410</v>
      </c>
      <c r="B83" s="3693"/>
      <c r="C83" s="3693"/>
      <c r="D83" s="3693"/>
      <c r="E83" s="3693"/>
      <c r="F83" s="3693"/>
      <c r="G83" s="3693"/>
      <c r="H83" s="36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71" t="s">
        <v>1375</v>
      </c>
      <c r="B84" s="367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32" t="s">
        <v>2128</v>
      </c>
      <c r="H90" s="373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50" t="s">
        <v>1419</v>
      </c>
      <c r="F91" s="3651"/>
      <c r="G91" s="365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50" t="s">
        <v>1422</v>
      </c>
      <c r="F92" s="3651"/>
      <c r="G92" s="3651"/>
      <c r="H92" s="366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50" t="s">
        <v>1406</v>
      </c>
      <c r="F93" s="3651"/>
      <c r="G93" s="3651"/>
      <c r="H93" s="366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34" t="s">
        <v>1428</v>
      </c>
      <c r="B100" s="3635"/>
      <c r="C100" s="3635"/>
      <c r="D100" s="3652"/>
      <c r="E100" s="3635" t="s">
        <v>1429</v>
      </c>
      <c r="F100" s="3635"/>
      <c r="G100" s="3635"/>
      <c r="H100" s="3652"/>
      <c r="I100" s="129"/>
    </row>
    <row r="101" spans="1:35" ht="18.75" customHeight="1">
      <c r="A101" s="3713" t="s">
        <v>1430</v>
      </c>
      <c r="B101" s="3714"/>
      <c r="C101" s="2584">
        <f>C4</f>
        <v>0</v>
      </c>
      <c r="D101" s="2585">
        <f>D4</f>
        <v>0</v>
      </c>
      <c r="E101" s="3727" t="s">
        <v>1431</v>
      </c>
      <c r="F101" s="3684"/>
      <c r="G101" s="1826" t="s">
        <v>1432</v>
      </c>
      <c r="H101" s="2594" t="e">
        <f ca="1">H118</f>
        <v>#REF!</v>
      </c>
      <c r="I101" s="129"/>
    </row>
    <row r="102" spans="1:35" ht="18.75" customHeight="1">
      <c r="A102" s="3686" t="s">
        <v>1433</v>
      </c>
      <c r="B102" s="2583" t="s">
        <v>1432</v>
      </c>
      <c r="C102" s="2584" t="e">
        <f ca="1">IF(D32="楼面单价",ROUND(C19,0),C19)</f>
        <v>#REF!</v>
      </c>
      <c r="D102" s="2585" t="e">
        <f ca="1">IF(D32="楼面单价",ROUND(D19,0),D19)</f>
        <v>#REF!</v>
      </c>
      <c r="E102" s="3727"/>
      <c r="F102" s="3684"/>
      <c r="G102" s="1826" t="s">
        <v>1434</v>
      </c>
      <c r="H102" s="2554" t="e">
        <f ca="1">I118</f>
        <v>#REF!</v>
      </c>
      <c r="I102" s="129"/>
    </row>
    <row r="103" spans="1:35" ht="42.75" customHeight="1">
      <c r="A103" s="3686"/>
      <c r="B103" s="2583" t="s">
        <v>1434</v>
      </c>
      <c r="C103" s="2586" t="e">
        <f ca="1">C20</f>
        <v>#REF!</v>
      </c>
      <c r="D103" s="2587" t="e">
        <f ca="1">D20</f>
        <v>#REF!</v>
      </c>
      <c r="E103" s="3721" t="s">
        <v>1435</v>
      </c>
      <c r="F103" s="3722"/>
      <c r="G103" s="1827" t="s">
        <v>1436</v>
      </c>
      <c r="H103" s="2594">
        <f>IF(D36="正常操作",H104+H105+H106,H105+H106)</f>
        <v>0</v>
      </c>
      <c r="I103" s="129"/>
    </row>
    <row r="104" spans="1:35" ht="18.75" customHeight="1">
      <c r="A104" s="368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8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83" t="str">
        <f>IF(项目基本情况!E8="已注销","——","3.房地产抵押价值")</f>
        <v>3.房地产抵押价值</v>
      </c>
      <c r="F107" s="3684"/>
      <c r="G107" s="1826" t="s">
        <v>1432</v>
      </c>
      <c r="H107" s="2594" t="e">
        <f ca="1">IF(E107="——","——",H101-H103)</f>
        <v>#REF!</v>
      </c>
      <c r="I107" s="129"/>
    </row>
    <row r="108" spans="1:35" ht="18.75" customHeight="1">
      <c r="A108" s="129"/>
      <c r="B108" s="129"/>
      <c r="C108" s="129"/>
      <c r="D108" s="129"/>
      <c r="E108" s="3683"/>
      <c r="F108" s="3684"/>
      <c r="G108" s="1826" t="s">
        <v>1434</v>
      </c>
      <c r="H108" s="2554">
        <f ca="1">IF(H107=H101,H102,ROUND(H107*10000/'数据-汇总表'!E3,0))</f>
        <v>0</v>
      </c>
      <c r="I108" s="129"/>
    </row>
    <row r="109" spans="1:35" ht="18.75" customHeight="1">
      <c r="A109" s="129"/>
      <c r="B109" s="129"/>
      <c r="C109" s="129"/>
      <c r="D109" s="129"/>
      <c r="E109" s="3683" t="str">
        <f>IF(项目基本情况!E8="已注销及未注销","4.抵押担保权已注销时的房地产抵押价值",IF(项目基本情况!E8="已注销","3.抵押担保权已注销时的房地产抵押价值","——"))</f>
        <v>——</v>
      </c>
      <c r="F109" s="3684"/>
      <c r="G109" s="1826" t="s">
        <v>1432</v>
      </c>
      <c r="H109" s="2597" t="str">
        <f>IF(E109="——","——",H101-H105-H106)</f>
        <v>——</v>
      </c>
      <c r="I109" s="129"/>
    </row>
    <row r="110" spans="1:35" ht="18.75" customHeight="1">
      <c r="A110" s="129"/>
      <c r="B110" s="129"/>
      <c r="C110" s="129"/>
      <c r="D110" s="129"/>
      <c r="E110" s="3683"/>
      <c r="F110" s="3684"/>
      <c r="G110" s="1826" t="s">
        <v>1434</v>
      </c>
      <c r="H110" s="2554" t="str">
        <f>IF(H109="——","——",ROUND(H109*10000/'数据-汇总表'!E3,0))</f>
        <v>——</v>
      </c>
      <c r="I110" s="129"/>
    </row>
    <row r="111" spans="1:35" ht="18.75" customHeight="1">
      <c r="A111" s="129"/>
      <c r="B111" s="129"/>
      <c r="C111" s="129"/>
      <c r="D111" s="129"/>
      <c r="E111" s="3715" t="str">
        <f>IF(项目基本情况!E9="抵押净值",IF(OR(项目基本情况!E8="已注销",项目基本情况!E8="房地产抵押价值"),"4.抵押净值","5.抵押净值"),"——")</f>
        <v>——</v>
      </c>
      <c r="F111" s="3685"/>
      <c r="G111" s="1826" t="s">
        <v>1432</v>
      </c>
      <c r="H111" s="2594" t="str">
        <f>IF(E111="——","——",N59)</f>
        <v>——</v>
      </c>
      <c r="I111" s="129"/>
    </row>
    <row r="112" spans="1:35" ht="18.75" customHeight="1" thickBot="1">
      <c r="A112" s="129"/>
      <c r="B112" s="129"/>
      <c r="C112" s="129"/>
      <c r="D112" s="129"/>
      <c r="E112" s="3716"/>
      <c r="F112" s="3717"/>
      <c r="G112" s="1829" t="s">
        <v>1434</v>
      </c>
      <c r="H112" s="2598" t="str">
        <f>IF(E111="——","——",N61)</f>
        <v>——</v>
      </c>
      <c r="I112" s="129"/>
    </row>
    <row r="113" spans="1:27" ht="18.75" customHeight="1">
      <c r="A113" s="129"/>
      <c r="B113" s="129"/>
      <c r="C113" s="129"/>
      <c r="D113" s="129"/>
      <c r="E113" s="3688" t="s">
        <v>1440</v>
      </c>
      <c r="F113" s="3688"/>
      <c r="G113" s="3688"/>
      <c r="H113" s="3688"/>
      <c r="I113" s="129"/>
    </row>
    <row r="114" spans="1:27" ht="3.75" customHeight="1">
      <c r="A114" s="1746"/>
      <c r="B114" s="1746"/>
      <c r="C114" s="1746"/>
      <c r="D114" s="1746"/>
      <c r="E114" s="1808"/>
      <c r="F114" s="1808"/>
      <c r="G114" s="1808"/>
      <c r="H114" s="1808"/>
      <c r="I114" s="1746"/>
    </row>
    <row r="115" spans="1:27" ht="18.75" customHeight="1">
      <c r="A115" s="3698" t="s">
        <v>1442</v>
      </c>
      <c r="B115" s="3699"/>
      <c r="C115" s="3699"/>
      <c r="D115" s="3699"/>
      <c r="E115" s="3699"/>
      <c r="F115" s="3699"/>
      <c r="G115" s="3699"/>
      <c r="H115" s="3699"/>
      <c r="I115" s="3700"/>
    </row>
    <row r="116" spans="1:27" ht="27" customHeight="1">
      <c r="A116" s="3654" t="s">
        <v>1443</v>
      </c>
      <c r="B116" s="3689" t="s">
        <v>1444</v>
      </c>
      <c r="C116" s="3689" t="s">
        <v>1445</v>
      </c>
      <c r="D116" s="3702" t="s">
        <v>1446</v>
      </c>
      <c r="E116" s="3703"/>
      <c r="F116" s="3697" t="s">
        <v>1447</v>
      </c>
      <c r="G116" s="3697"/>
      <c r="H116" s="3654" t="s">
        <v>1448</v>
      </c>
      <c r="I116" s="3654"/>
    </row>
    <row r="117" spans="1:27" ht="18.75" customHeight="1">
      <c r="A117" s="3654"/>
      <c r="B117" s="3690"/>
      <c r="C117" s="3690"/>
      <c r="D117" s="2328" t="s">
        <v>1449</v>
      </c>
      <c r="E117" s="2328" t="s">
        <v>1450</v>
      </c>
      <c r="F117" s="2328" t="s">
        <v>1449</v>
      </c>
      <c r="G117" s="2328" t="s">
        <v>1451</v>
      </c>
      <c r="H117" s="2328" t="s">
        <v>1449</v>
      </c>
      <c r="I117" s="2328" t="s">
        <v>1451</v>
      </c>
    </row>
    <row r="118" spans="1:27" ht="24.75" customHeight="1">
      <c r="A118" s="2599" t="str">
        <f>项目基本情况!S2</f>
        <v>北京市西城区金融大街6号楼2层201、5层501、6层601共3套办公用房房地产</v>
      </c>
      <c r="B118" s="2328">
        <f>M18</f>
        <v>6305.16</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54" t="s">
        <v>1452</v>
      </c>
      <c r="B119" s="3654"/>
      <c r="C119" s="3654"/>
      <c r="D119" s="3694" t="e">
        <f ca="1">NUMBERSTRING(INT(D118*10000),2)&amp;"元整"</f>
        <v>#REF!</v>
      </c>
      <c r="E119" s="3696"/>
      <c r="F119" s="3694" t="e">
        <f ca="1">NUMBERSTRING(INT(F118*10000),2)&amp;"元整"</f>
        <v>#REF!</v>
      </c>
      <c r="G119" s="3696"/>
      <c r="H119" s="3694" t="e">
        <f ca="1">NUMBERSTRING(INT(H118*10000),2)&amp;"元整"</f>
        <v>#REF!</v>
      </c>
      <c r="I119" s="3696"/>
    </row>
    <row r="120" spans="1:27" ht="18.75" customHeight="1">
      <c r="A120" s="3718" t="str">
        <f>IF(项目基本情况!B9="房地产市场价值","",MID(E103,3,LEN(E103)-2))</f>
        <v/>
      </c>
      <c r="B120" s="3719"/>
      <c r="C120" s="3720"/>
      <c r="D120" s="3718">
        <f>H103</f>
        <v>0</v>
      </c>
      <c r="E120" s="3719"/>
      <c r="F120" s="3719"/>
      <c r="G120" s="3719"/>
      <c r="H120" s="3719"/>
      <c r="I120" s="372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94" t="s">
        <v>1452</v>
      </c>
      <c r="B121" s="3695"/>
      <c r="C121" s="3696"/>
      <c r="D121" s="3694" t="str">
        <f>IF(D120=0,"零元整",NUMBERSTRING(INT(D120*10000),2)&amp;"元整")</f>
        <v>零元整</v>
      </c>
      <c r="E121" s="3695"/>
      <c r="F121" s="3695"/>
      <c r="G121" s="3695"/>
      <c r="H121" s="3695"/>
      <c r="I121" s="3696"/>
      <c r="AA121" s="724"/>
    </row>
    <row r="122" spans="1:27" ht="18.75" customHeight="1">
      <c r="A122" s="3685" t="str">
        <f>IF(项目基本情况!B9="房地产市场价值","",MID(E107,3,LEN(E107)-2))</f>
        <v/>
      </c>
      <c r="B122" s="3685"/>
      <c r="C122" s="3685"/>
      <c r="D122" s="3718" t="e">
        <f ca="1">H107</f>
        <v>#REF!</v>
      </c>
      <c r="E122" s="3719"/>
      <c r="F122" s="3719"/>
      <c r="G122" s="3719"/>
      <c r="H122" s="3719"/>
      <c r="I122" s="3720"/>
      <c r="AA122" s="724"/>
    </row>
    <row r="123" spans="1:27" ht="18.75" customHeight="1">
      <c r="A123" s="3654" t="s">
        <v>1452</v>
      </c>
      <c r="B123" s="3654"/>
      <c r="C123" s="3654"/>
      <c r="D123" s="3694" t="e">
        <f ca="1">NUMBERSTRING(INT(D122*10000),2)&amp;"元整"</f>
        <v>#REF!</v>
      </c>
      <c r="E123" s="3695"/>
      <c r="F123" s="3695"/>
      <c r="G123" s="3695"/>
      <c r="H123" s="3695"/>
      <c r="I123" s="3696"/>
      <c r="AA123" s="724"/>
    </row>
    <row r="124" spans="1:27" ht="18.75" customHeight="1">
      <c r="A124" s="3685" t="str">
        <f>IF(项目基本情况!B9="房地产市场价值","",MID(E109,3,LEN(E109)-2))</f>
        <v/>
      </c>
      <c r="B124" s="3685"/>
      <c r="C124" s="3685"/>
      <c r="D124" s="3718" t="str">
        <f>H109</f>
        <v>——</v>
      </c>
      <c r="E124" s="3719"/>
      <c r="F124" s="3719"/>
      <c r="G124" s="3719"/>
      <c r="H124" s="3719"/>
      <c r="I124" s="3720"/>
      <c r="AA124" s="724"/>
    </row>
    <row r="125" spans="1:27" ht="18.75" customHeight="1">
      <c r="A125" s="3654" t="s">
        <v>1452</v>
      </c>
      <c r="B125" s="3654"/>
      <c r="C125" s="3654"/>
      <c r="D125" s="3694" t="e">
        <f>NUMBERSTRING(INT(D124*10000),2)&amp;"元整"</f>
        <v>#VALUE!</v>
      </c>
      <c r="E125" s="3695"/>
      <c r="F125" s="3695"/>
      <c r="G125" s="3695"/>
      <c r="H125" s="3695"/>
      <c r="I125" s="3696"/>
      <c r="AA125" s="724"/>
    </row>
    <row r="126" spans="1:27" ht="18.75" customHeight="1">
      <c r="A126" s="3685" t="str">
        <f>IF(项目基本情况!B9="房地产市场价值","",MID(E111,3,LEN(E111)-2))</f>
        <v/>
      </c>
      <c r="B126" s="3685"/>
      <c r="C126" s="3685"/>
      <c r="D126" s="3718" t="str">
        <f>H111</f>
        <v>——</v>
      </c>
      <c r="E126" s="3719"/>
      <c r="F126" s="3719"/>
      <c r="G126" s="3719"/>
      <c r="H126" s="3719"/>
      <c r="I126" s="3720"/>
      <c r="AA126" s="724"/>
    </row>
    <row r="127" spans="1:27" ht="18.75" customHeight="1">
      <c r="A127" s="3654" t="s">
        <v>1452</v>
      </c>
      <c r="B127" s="3654"/>
      <c r="C127" s="3654"/>
      <c r="D127" s="3694" t="e">
        <f>NUMBERSTRING(INT(D126*10000),2)&amp;"元整"</f>
        <v>#VALUE!</v>
      </c>
      <c r="E127" s="3695"/>
      <c r="F127" s="3695"/>
      <c r="G127" s="3695"/>
      <c r="H127" s="3695"/>
      <c r="I127" s="3696"/>
      <c r="AA127" s="724"/>
    </row>
    <row r="128" spans="1:27" ht="21.75" customHeight="1">
      <c r="A128" s="3701" t="s">
        <v>1453</v>
      </c>
      <c r="B128" s="3701"/>
      <c r="C128" s="3701"/>
      <c r="D128" s="3701"/>
      <c r="E128" s="3701"/>
      <c r="F128" s="3701"/>
      <c r="G128" s="3701"/>
      <c r="H128" s="3701"/>
      <c r="I128" s="370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4324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6858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126</v>
      </c>
      <c r="D10" s="844">
        <f ca="1">IF(B1="",'数据-汇总表'!E6,IF(INDIRECT("'数据-取费表'!c"&amp;$G$1)="住宅",INDIRECT("'数据-取费表'!s"&amp;$G$1),INDIRECT("'数据-取费表'!k"&amp;$G$1)+INDIRECT("'数据-取费表'!s"&amp;$G$1)))</f>
        <v>6305.16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126</v>
      </c>
      <c r="D19" s="848">
        <f ca="1">D9+D10</f>
        <v>6305.16</v>
      </c>
      <c r="E19" s="211">
        <f>'数据-取费表'!B31</f>
        <v>200</v>
      </c>
      <c r="F19" s="231"/>
      <c r="G19" s="1855"/>
    </row>
    <row r="20" spans="1:7" s="214" customFormat="1" ht="13.5" customHeight="1">
      <c r="A20" s="255" t="s">
        <v>1493</v>
      </c>
      <c r="B20" s="210" t="s">
        <v>1494</v>
      </c>
      <c r="C20" s="232">
        <f ca="1">ROUND((C5+C19)*F20,0)</f>
        <v>4</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8</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8</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20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3500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3153</v>
      </c>
      <c r="D34" s="217"/>
      <c r="E34" s="220"/>
      <c r="F34" s="257">
        <f ca="1">IF('数据-取费表'!B24=0,1,IF(B1="",'数据-取费表'!N16,INDIRECT("'数据-取费表'!n"&amp;$G$1)))</f>
        <v>1</v>
      </c>
      <c r="G34" s="219" t="s">
        <v>1526</v>
      </c>
    </row>
    <row r="35" spans="1:7" ht="13.5" customHeight="1">
      <c r="A35" s="779" t="s">
        <v>351</v>
      </c>
      <c r="B35" s="215" t="s">
        <v>1527</v>
      </c>
      <c r="C35" s="220">
        <f ca="1">ROUND(C34*F35,0)</f>
        <v>158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126</v>
      </c>
      <c r="D37" s="217">
        <f ca="1">D19</f>
        <v>6305.16</v>
      </c>
      <c r="E37" s="249">
        <f>'数据-取费表'!B35</f>
        <v>200</v>
      </c>
      <c r="F37" s="259"/>
      <c r="G37" s="261" t="s">
        <v>1532</v>
      </c>
    </row>
    <row r="38" spans="1:7" ht="13.5" customHeight="1">
      <c r="A38" s="779" t="s">
        <v>354</v>
      </c>
      <c r="B38" s="215" t="s">
        <v>1533</v>
      </c>
      <c r="C38" s="220">
        <f ca="1">ROUND(C34*F38,0)</f>
        <v>63</v>
      </c>
      <c r="D38" s="220"/>
      <c r="E38" s="220"/>
      <c r="F38" s="259">
        <f>'数据-取费表'!B36</f>
        <v>0.02</v>
      </c>
      <c r="G38" s="219" t="s">
        <v>1528</v>
      </c>
    </row>
    <row r="39" spans="1:7" s="214" customFormat="1" ht="13.5" customHeight="1">
      <c r="A39" s="255" t="s">
        <v>1534</v>
      </c>
      <c r="B39" s="210" t="s">
        <v>1535</v>
      </c>
      <c r="C39" s="232">
        <f ca="1">ROUND(C33*F20,0)</f>
        <v>105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113</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110</v>
      </c>
      <c r="D42" s="238"/>
      <c r="E42" s="238"/>
      <c r="F42" s="239"/>
      <c r="G42" s="3734" t="s">
        <v>1544</v>
      </c>
    </row>
    <row r="43" spans="1:7" ht="13.5" customHeight="1">
      <c r="A43" s="779" t="s">
        <v>347</v>
      </c>
      <c r="B43" s="215" t="s">
        <v>1545</v>
      </c>
      <c r="C43" s="238">
        <f ca="1">ROUND(IF('数据-取费表'!B22&lt;=1,C39*F22*'数据-取费表'!B21/2,C39*(POWER((1+F22),'数据-取费表'!B21/2)-1)),0)</f>
        <v>3</v>
      </c>
      <c r="D43" s="238"/>
      <c r="E43" s="238"/>
      <c r="F43" s="239"/>
      <c r="G43" s="3735"/>
    </row>
    <row r="44" spans="1:7" ht="13.5" customHeight="1">
      <c r="A44" s="779" t="s">
        <v>348</v>
      </c>
      <c r="B44" s="215" t="s">
        <v>1546</v>
      </c>
      <c r="C44" s="238">
        <f ca="1">ROUND(IF('数据-取费表'!B22&lt;=1,C40*F22*'数据-取费表'!B21/2,C40*(POWER((1+F22),'数据-取费表'!B21/2)-1)),4)</f>
        <v>5.9999999999999995E-4</v>
      </c>
      <c r="D44" s="238"/>
      <c r="E44" s="238"/>
      <c r="F44" s="239"/>
      <c r="G44" s="3736"/>
    </row>
    <row r="45" spans="1:7" s="214" customFormat="1" ht="13.5" customHeight="1">
      <c r="A45" s="255" t="s">
        <v>1547</v>
      </c>
      <c r="B45" s="244" t="s">
        <v>1513</v>
      </c>
      <c r="C45" s="245">
        <f ca="1">C46</f>
        <v>541</v>
      </c>
      <c r="D45" s="235">
        <f ca="1">C47</f>
        <v>3.0000000000000001E-3</v>
      </c>
      <c r="E45" s="236" t="s">
        <v>1539</v>
      </c>
      <c r="F45" s="246">
        <f ca="1">F27</f>
        <v>0.15</v>
      </c>
      <c r="G45" s="247" t="s">
        <v>1548</v>
      </c>
    </row>
    <row r="46" spans="1:7" s="214" customFormat="1" ht="13.5" customHeight="1">
      <c r="A46" s="779" t="s">
        <v>346</v>
      </c>
      <c r="B46" s="248" t="s">
        <v>1549</v>
      </c>
      <c r="C46" s="249">
        <f ca="1">ROUND((C33+C39)*F27,0)</f>
        <v>541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4614</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4153</v>
      </c>
      <c r="D51" s="232"/>
      <c r="E51" s="232"/>
      <c r="F51" s="264"/>
      <c r="G51" s="234" t="s">
        <v>1560</v>
      </c>
    </row>
    <row r="52" spans="1:7" s="208" customFormat="1" ht="16.5" thickBot="1">
      <c r="A52" s="265" t="s">
        <v>1561</v>
      </c>
      <c r="B52" s="266"/>
      <c r="C52" s="267">
        <f ca="1">C31+C51</f>
        <v>4324</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1" t="str">
        <f>项目基本情况!B1</f>
        <v>北京市西城区金融大街6号楼2层201、5层501、6层601共3套办公用房房地产市场价值预评估</v>
      </c>
      <c r="C37" s="3551"/>
      <c r="D37" s="3551"/>
      <c r="E37" s="3551"/>
      <c r="F37" s="3551"/>
      <c r="G37" s="3551"/>
      <c r="H37" s="3551"/>
      <c r="I37" s="355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4492.5160999999998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7125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1261032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1261032</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1261032</v>
      </c>
      <c r="D10" s="844">
        <f ca="1">IF(B1="",'数据-汇总表'!E6,IF(INDIRECT("'数据-取费表'!c"&amp;$G$1)="住宅",INDIRECT("'数据-取费表'!s"&amp;$G$1),INDIRECT("'数据-取费表'!k"&amp;$G$1)+INDIRECT("'数据-取费表'!s"&amp;$G$1)))</f>
        <v>6305.16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1261032</v>
      </c>
      <c r="D19" s="848">
        <f ca="1">D9+D10</f>
        <v>6305.16</v>
      </c>
      <c r="E19" s="211">
        <f>'数据-取费表'!B31</f>
        <v>200</v>
      </c>
      <c r="F19" s="231"/>
      <c r="G19" s="1855"/>
    </row>
    <row r="20" spans="1:7" s="214" customFormat="1" ht="13.5" customHeight="1">
      <c r="A20" s="255" t="s">
        <v>1574</v>
      </c>
      <c r="B20" s="210" t="s">
        <v>1575</v>
      </c>
      <c r="C20" s="232">
        <f ca="1">ROUND((C5+C19)*F20,0)</f>
        <v>75662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162720</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80176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80176</v>
      </c>
      <c r="D24" s="238"/>
      <c r="E24" s="238"/>
      <c r="F24" s="239"/>
      <c r="G24" s="240" t="s">
        <v>1586</v>
      </c>
    </row>
    <row r="25" spans="1:7" s="214" customFormat="1" ht="24">
      <c r="A25" s="779" t="s">
        <v>1476</v>
      </c>
      <c r="B25" s="215" t="s">
        <v>1587</v>
      </c>
      <c r="C25" s="1127">
        <f ca="1">ROUND(IF('数据-取费表'!B22&lt;=1,C20*F22*'数据-取费表'!B22/2,C20*(POWER((1+F22),'数据-取费表'!B22/2)-1)),0)</f>
        <v>2368</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389659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389659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3412528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34993638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31525800</v>
      </c>
      <c r="D34" s="217"/>
      <c r="E34" s="220"/>
      <c r="F34" s="257"/>
      <c r="G34" s="219"/>
    </row>
    <row r="35" spans="1:7" ht="13.5" customHeight="1">
      <c r="A35" s="779" t="s">
        <v>351</v>
      </c>
      <c r="B35" s="215" t="s">
        <v>1527</v>
      </c>
      <c r="C35" s="220">
        <f ca="1">ROUND(C34*F35,0)</f>
        <v>1576290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1261032</v>
      </c>
      <c r="D37" s="217">
        <f ca="1">D19</f>
        <v>6305.16</v>
      </c>
      <c r="E37" s="249">
        <f>'数据-取费表'!B35</f>
        <v>200</v>
      </c>
      <c r="F37" s="259"/>
      <c r="G37" s="261"/>
    </row>
    <row r="38" spans="1:7" ht="13.5" customHeight="1">
      <c r="A38" s="779" t="s">
        <v>354</v>
      </c>
      <c r="B38" s="215" t="s">
        <v>1533</v>
      </c>
      <c r="C38" s="220">
        <f ca="1">ROUND(C34*F38,0)</f>
        <v>630516</v>
      </c>
      <c r="D38" s="220"/>
      <c r="E38" s="220"/>
      <c r="F38" s="259">
        <f>'数据-取费表'!B36</f>
        <v>0.02</v>
      </c>
      <c r="G38" s="219" t="s">
        <v>1528</v>
      </c>
    </row>
    <row r="39" spans="1:7" s="214" customFormat="1" ht="13.5" customHeight="1">
      <c r="A39" s="255" t="s">
        <v>1534</v>
      </c>
      <c r="B39" s="210" t="s">
        <v>1535</v>
      </c>
      <c r="C39" s="232">
        <f ca="1">ROUND(C33*F20,0)</f>
        <v>1049809</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1128160</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1095301</v>
      </c>
      <c r="D42" s="238"/>
      <c r="E42" s="238"/>
      <c r="F42" s="239"/>
      <c r="G42" s="3734" t="s">
        <v>1591</v>
      </c>
    </row>
    <row r="43" spans="1:7" ht="13.5" customHeight="1">
      <c r="A43" s="779" t="s">
        <v>347</v>
      </c>
      <c r="B43" s="215" t="s">
        <v>1545</v>
      </c>
      <c r="C43" s="238">
        <f ca="1">ROUND(IF('数据-取费表'!B22&lt;=1,C39*F22*'数据-取费表'!B20/2,C39*(POWER((1+F22),'数据-取费表'!B20/2)-1)),0)</f>
        <v>32859</v>
      </c>
      <c r="D43" s="238"/>
      <c r="E43" s="238"/>
      <c r="F43" s="239"/>
      <c r="G43" s="3735"/>
    </row>
    <row r="44" spans="1:7" ht="13.5" customHeight="1">
      <c r="A44" s="779" t="s">
        <v>348</v>
      </c>
      <c r="B44" s="215" t="s">
        <v>1546</v>
      </c>
      <c r="C44" s="238">
        <f ca="1">ROUND(IF('数据-取费表'!B22&lt;=1,C40*F22*'数据-取费表'!B20/2,C40*(POWER((1+F22),'数据-取费表'!B20/2)-1)),4)</f>
        <v>5.9999999999999995E-4</v>
      </c>
      <c r="D44" s="238"/>
      <c r="E44" s="238"/>
      <c r="F44" s="239"/>
      <c r="G44" s="3736"/>
    </row>
    <row r="45" spans="1:7" s="214" customFormat="1" ht="13.5" customHeight="1">
      <c r="A45" s="255" t="s">
        <v>1547</v>
      </c>
      <c r="B45" s="244" t="s">
        <v>1513</v>
      </c>
      <c r="C45" s="245">
        <f ca="1">C46</f>
        <v>5406517</v>
      </c>
      <c r="D45" s="235">
        <f ca="1">C47</f>
        <v>3.0000000000000001E-3</v>
      </c>
      <c r="E45" s="236" t="s">
        <v>1539</v>
      </c>
      <c r="F45" s="246">
        <f ca="1">F27</f>
        <v>0.15</v>
      </c>
      <c r="G45" s="247" t="s">
        <v>1548</v>
      </c>
    </row>
    <row r="46" spans="1:7" s="214" customFormat="1" ht="13.5" customHeight="1">
      <c r="A46" s="779" t="s">
        <v>346</v>
      </c>
      <c r="B46" s="248" t="s">
        <v>1549</v>
      </c>
      <c r="C46" s="249">
        <f ca="1">ROUND((C33+C39)*F27,0)</f>
        <v>5406517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46125148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41512633</v>
      </c>
      <c r="D51" s="232"/>
      <c r="E51" s="232"/>
      <c r="F51" s="264"/>
      <c r="G51" s="234" t="s">
        <v>1560</v>
      </c>
    </row>
    <row r="52" spans="1:7" s="208" customFormat="1" ht="16.5" thickBot="1">
      <c r="A52" s="265" t="s">
        <v>1561</v>
      </c>
      <c r="B52" s="266"/>
      <c r="C52" s="267">
        <f ca="1">C31+C51</f>
        <v>44925161</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-146</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6305.16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6305.16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126</v>
      </c>
      <c r="D20" s="845">
        <f ca="1">IF(C1="",'数据-汇总表'!E6,IF(INDIRECT("'数据-取费表'!c"&amp;$K$1)="住宅",INDIRECT("'数据-取费表'!s"&amp;$K$1),INDIRECT("'数据-取费表'!k"&amp;$K$1)+INDIRECT("'数据-取费表'!s"&amp;$K$1)))</f>
        <v>6305.16</v>
      </c>
      <c r="E20" s="21">
        <f>'数据-取费表'!B28</f>
        <v>200</v>
      </c>
      <c r="F20" s="803"/>
      <c r="G20" s="12"/>
      <c r="H20" s="808"/>
      <c r="I20" s="808"/>
      <c r="J20" s="808"/>
      <c r="K20" s="809"/>
    </row>
    <row r="21" spans="1:33" s="802" customFormat="1" ht="13.5" customHeight="1">
      <c r="A21" s="789" t="s">
        <v>357</v>
      </c>
      <c r="B21" s="812" t="s">
        <v>1628</v>
      </c>
      <c r="C21" s="813">
        <f ca="1">C16+C17+C18</f>
        <v>126</v>
      </c>
      <c r="D21" s="814"/>
      <c r="E21" s="281"/>
      <c r="F21" s="281"/>
      <c r="G21" s="131" t="s">
        <v>1629</v>
      </c>
      <c r="H21" s="806"/>
      <c r="I21" s="806"/>
      <c r="J21" s="806"/>
      <c r="K21" s="807"/>
    </row>
    <row r="22" spans="1:33" s="802" customFormat="1" ht="13.5" customHeight="1">
      <c r="A22" s="789" t="s">
        <v>1601</v>
      </c>
      <c r="B22" s="812" t="s">
        <v>1630</v>
      </c>
      <c r="C22" s="813">
        <f ca="1">ROUND(C21*F22,0)</f>
        <v>4</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-146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9" t="s">
        <v>694</v>
      </c>
      <c r="C6" s="1073">
        <f ca="1">ROUND(F6*F8*F7*(1-F9)/10000,0)</f>
        <v>0</v>
      </c>
      <c r="D6" s="155" t="s">
        <v>2108</v>
      </c>
      <c r="E6" s="302" t="s">
        <v>696</v>
      </c>
      <c r="F6" s="303">
        <f ca="1">INDIRECT("'数据-取费表'!u"&amp;$G$1)</f>
        <v>0</v>
      </c>
      <c r="G6" s="1383"/>
      <c r="H6" s="1068" t="s">
        <v>398</v>
      </c>
      <c r="I6" s="3739" t="s">
        <v>694</v>
      </c>
      <c r="J6" s="301">
        <f ca="1">ROUND(M6*M8*M7*(1-M9)/10000,0)</f>
        <v>0</v>
      </c>
      <c r="K6" s="155" t="s">
        <v>2107</v>
      </c>
      <c r="L6" s="302" t="s">
        <v>696</v>
      </c>
      <c r="M6" s="303">
        <f ca="1">INDIRECT("'数据-取费表'!z"&amp;$G$1)</f>
        <v>0</v>
      </c>
    </row>
    <row r="7" spans="1:37" ht="18" customHeight="1">
      <c r="A7" s="1072"/>
      <c r="B7" s="3740"/>
      <c r="C7" s="1074"/>
      <c r="D7" s="307"/>
      <c r="E7" s="1075" t="s">
        <v>697</v>
      </c>
      <c r="F7" s="303">
        <f ca="1">IF(INDIRECT("'数据-取费表'!ah"&amp;$G$1)="",INDIRECT("'数据-取费表'!k"&amp;$G$1),INDIRECT("'数据-取费表'!ah"&amp;$G$1))</f>
        <v>0</v>
      </c>
      <c r="G7" s="1383"/>
      <c r="H7" s="304"/>
      <c r="I7" s="3740"/>
      <c r="J7" s="306"/>
      <c r="K7" s="307"/>
      <c r="L7" s="302" t="s">
        <v>697</v>
      </c>
      <c r="M7" s="303">
        <f ca="1">F7</f>
        <v>0</v>
      </c>
    </row>
    <row r="8" spans="1:37" ht="18" customHeight="1">
      <c r="A8" s="304"/>
      <c r="B8" s="3740"/>
      <c r="C8" s="306"/>
      <c r="D8" s="307"/>
      <c r="E8" s="302" t="s">
        <v>698</v>
      </c>
      <c r="F8" s="303">
        <f ca="1">INDIRECT("'数据-取费表'!ai"&amp;$G$1)</f>
        <v>0</v>
      </c>
      <c r="G8" s="1383"/>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3"/>
      <c r="H9" s="304"/>
      <c r="I9" s="374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37" t="s">
        <v>837</v>
      </c>
      <c r="L53" s="373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39" t="s">
        <v>694</v>
      </c>
      <c r="C6" s="1073">
        <f ca="1">ROUND(F6*F8*F7*(1-F9),0)</f>
        <v>0</v>
      </c>
      <c r="D6" s="155" t="s">
        <v>2105</v>
      </c>
      <c r="E6" s="302" t="s">
        <v>696</v>
      </c>
      <c r="F6" s="303">
        <f ca="1">INDIRECT("'数据-取费表'!u"&amp;$G$1)</f>
        <v>0</v>
      </c>
      <c r="G6" s="1383"/>
      <c r="H6" s="1068" t="s">
        <v>398</v>
      </c>
      <c r="I6" s="3739" t="s">
        <v>694</v>
      </c>
      <c r="J6" s="301">
        <f ca="1">ROUND(M6*M8*M7*(1-M9),0)</f>
        <v>0</v>
      </c>
      <c r="K6" s="1375" t="s">
        <v>2106</v>
      </c>
      <c r="L6" s="302" t="s">
        <v>696</v>
      </c>
      <c r="M6" s="303">
        <f ca="1">INDIRECT("'数据-取费表'!z"&amp;$G$1)</f>
        <v>0</v>
      </c>
    </row>
    <row r="7" spans="1:37" ht="18" customHeight="1">
      <c r="A7" s="1072"/>
      <c r="B7" s="3740"/>
      <c r="C7" s="1074"/>
      <c r="D7" s="307"/>
      <c r="E7" s="1075" t="s">
        <v>697</v>
      </c>
      <c r="F7" s="303">
        <f ca="1">IF(INDIRECT("'数据-取费表'!ah"&amp;$G$1)="",INDIRECT("'数据-取费表'!k"&amp;$G$1),INDIRECT("'数据-取费表'!ah"&amp;$G$1))</f>
        <v>0</v>
      </c>
      <c r="G7" s="1383"/>
      <c r="H7" s="304"/>
      <c r="I7" s="3740"/>
      <c r="J7" s="306"/>
      <c r="K7" s="307"/>
      <c r="L7" s="302" t="s">
        <v>697</v>
      </c>
      <c r="M7" s="303">
        <f ca="1">F7</f>
        <v>0</v>
      </c>
    </row>
    <row r="8" spans="1:37" ht="18" customHeight="1">
      <c r="A8" s="304"/>
      <c r="B8" s="3740"/>
      <c r="C8" s="306"/>
      <c r="D8" s="307"/>
      <c r="E8" s="302" t="s">
        <v>698</v>
      </c>
      <c r="F8" s="303">
        <f ca="1">INDIRECT("'数据-取费表'!ai"&amp;$G$1)</f>
        <v>0</v>
      </c>
      <c r="G8" s="1383"/>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3"/>
      <c r="H9" s="304"/>
      <c r="I9" s="374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t="e">
        <f ca="1">ROUND((C68-C40)/10000,4)</f>
        <v>#DIV/0!</v>
      </c>
      <c r="D45" s="3431"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0</v>
      </c>
      <c r="K53" s="3737" t="s">
        <v>837</v>
      </c>
      <c r="L53" s="373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748" t="s">
        <v>2316</v>
      </c>
      <c r="K2" s="3749"/>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750" t="s">
        <v>2326</v>
      </c>
      <c r="K3" s="3751"/>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750" t="s">
        <v>2328</v>
      </c>
      <c r="K4" s="3751"/>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756" t="s">
        <v>2332</v>
      </c>
      <c r="B6" s="3757"/>
      <c r="C6" s="3758"/>
      <c r="D6" s="2869"/>
      <c r="E6" s="2870"/>
      <c r="F6" s="2871"/>
      <c r="G6" s="2872"/>
      <c r="H6" s="2847"/>
      <c r="I6" s="2848"/>
      <c r="J6" s="3742">
        <v>1</v>
      </c>
      <c r="K6" s="3743"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742"/>
      <c r="K7" s="3744"/>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759" t="s">
        <v>2346</v>
      </c>
      <c r="C8" s="3760"/>
      <c r="D8" s="2888" t="s">
        <v>2347</v>
      </c>
      <c r="E8" s="2889" t="s">
        <v>2348</v>
      </c>
      <c r="F8" s="2890" t="s">
        <v>2349</v>
      </c>
      <c r="G8" s="2891"/>
      <c r="H8" s="2847"/>
      <c r="I8" s="2848"/>
      <c r="J8" s="3742"/>
      <c r="K8" s="3744"/>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759" t="s">
        <v>2352</v>
      </c>
      <c r="C9" s="3760"/>
      <c r="D9" s="2888">
        <f>ROUND(D6*E9,0)</f>
        <v>0</v>
      </c>
      <c r="E9" s="2892"/>
      <c r="F9" s="2893" t="s">
        <v>2353</v>
      </c>
      <c r="G9" s="2872"/>
      <c r="H9" s="2847"/>
      <c r="I9" s="2848"/>
      <c r="J9" s="3742"/>
      <c r="K9" s="3744"/>
      <c r="L9" s="2882" t="s">
        <v>2354</v>
      </c>
      <c r="M9" s="2883"/>
      <c r="N9" s="2859"/>
      <c r="O9" s="2884"/>
      <c r="P9" s="2884"/>
      <c r="Q9" s="2885">
        <v>365</v>
      </c>
      <c r="R9" s="2886">
        <f t="shared" si="0"/>
        <v>0</v>
      </c>
      <c r="S9" s="2840"/>
      <c r="T9" s="2840"/>
      <c r="U9" s="2840"/>
      <c r="V9" s="2848"/>
    </row>
    <row r="10" spans="1:22" s="2852" customFormat="1" ht="13.15" customHeight="1">
      <c r="A10" s="2887">
        <v>2</v>
      </c>
      <c r="B10" s="3759" t="s">
        <v>2355</v>
      </c>
      <c r="C10" s="3760"/>
      <c r="D10" s="2888">
        <f>ROUND(D6*E10,0)</f>
        <v>0</v>
      </c>
      <c r="E10" s="2892"/>
      <c r="F10" s="2893" t="s">
        <v>2356</v>
      </c>
      <c r="G10" s="2872"/>
      <c r="H10" s="2847"/>
      <c r="I10" s="2848"/>
      <c r="J10" s="3742"/>
      <c r="K10" s="3744"/>
      <c r="L10" s="2882" t="s">
        <v>2357</v>
      </c>
      <c r="M10" s="2883"/>
      <c r="N10" s="2859"/>
      <c r="O10" s="2884"/>
      <c r="P10" s="2884"/>
      <c r="Q10" s="2885">
        <v>365</v>
      </c>
      <c r="R10" s="2886">
        <f t="shared" si="0"/>
        <v>0</v>
      </c>
      <c r="S10" s="2840"/>
      <c r="T10" s="2840"/>
      <c r="U10" s="2840"/>
      <c r="V10" s="2848"/>
    </row>
    <row r="11" spans="1:22" s="2852" customFormat="1" ht="13.15" customHeight="1">
      <c r="A11" s="2887">
        <v>3</v>
      </c>
      <c r="B11" s="3759" t="s">
        <v>2358</v>
      </c>
      <c r="C11" s="3760"/>
      <c r="D11" s="2888">
        <f>D12+D14+D15+D16</f>
        <v>0</v>
      </c>
      <c r="E11" s="2894" t="e">
        <f>D11/D6</f>
        <v>#DIV/0!</v>
      </c>
      <c r="F11" s="2890"/>
      <c r="G11" s="2891"/>
      <c r="H11" s="2847"/>
      <c r="I11" s="2848"/>
      <c r="J11" s="3742"/>
      <c r="K11" s="3744"/>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752" t="s">
        <v>2361</v>
      </c>
      <c r="C12" s="3753"/>
      <c r="D12" s="2896">
        <f>ROUND(D13*1.2%*(1-30%),0)</f>
        <v>0</v>
      </c>
      <c r="E12" s="2897">
        <v>1.2E-2</v>
      </c>
      <c r="F12" s="2890" t="s">
        <v>2362</v>
      </c>
      <c r="G12" s="2891"/>
      <c r="H12" s="2847"/>
      <c r="I12" s="2848"/>
      <c r="J12" s="3742"/>
      <c r="K12" s="3744"/>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742"/>
      <c r="K13" s="3744"/>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752" t="s">
        <v>2367</v>
      </c>
      <c r="C14" s="3753"/>
      <c r="D14" s="2896">
        <f>ROUND(E14*B5/10000,0)</f>
        <v>0</v>
      </c>
      <c r="E14" s="2885"/>
      <c r="F14" s="2890" t="s">
        <v>2368</v>
      </c>
      <c r="G14" s="2891"/>
      <c r="H14" s="2847"/>
      <c r="I14" s="2848"/>
      <c r="J14" s="3742"/>
      <c r="K14" s="3745"/>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752" t="s">
        <v>2371</v>
      </c>
      <c r="C15" s="3753"/>
      <c r="D15" s="2896">
        <f>ROUND(D6*E15,0)</f>
        <v>0</v>
      </c>
      <c r="E15" s="2897">
        <v>5.5E-2</v>
      </c>
      <c r="F15" s="2890" t="s">
        <v>2372</v>
      </c>
      <c r="G15" s="2872"/>
      <c r="H15" s="2847"/>
      <c r="I15" s="2848"/>
      <c r="J15" s="3742">
        <v>2</v>
      </c>
      <c r="K15" s="3743"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752" t="s">
        <v>2380</v>
      </c>
      <c r="C16" s="3753"/>
      <c r="D16" s="2907">
        <f>D6*E16</f>
        <v>0</v>
      </c>
      <c r="E16" s="2908"/>
      <c r="F16" s="2893" t="s">
        <v>2381</v>
      </c>
      <c r="G16" s="2872"/>
      <c r="H16" s="2847"/>
      <c r="I16" s="2848"/>
      <c r="J16" s="3742"/>
      <c r="K16" s="3744"/>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754" t="s">
        <v>2383</v>
      </c>
      <c r="C17" s="3755"/>
      <c r="D17" s="2910">
        <f>ROUND(D6*E17,0)</f>
        <v>0</v>
      </c>
      <c r="E17" s="2911"/>
      <c r="F17" s="2912" t="s">
        <v>2384</v>
      </c>
      <c r="G17" s="2872"/>
      <c r="H17" s="2847"/>
      <c r="I17" s="2848"/>
      <c r="J17" s="3742"/>
      <c r="K17" s="3744"/>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742"/>
      <c r="K18" s="3744"/>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742"/>
      <c r="K19" s="3745"/>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2">
        <v>3</v>
      </c>
      <c r="K20" s="3743"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742"/>
      <c r="K21" s="3744"/>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742"/>
      <c r="K22" s="3744"/>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742"/>
      <c r="K23" s="3744"/>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742"/>
      <c r="K24" s="3745"/>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746">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7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748" t="s">
        <v>2316</v>
      </c>
      <c r="K32" s="3749"/>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750" t="s">
        <v>2326</v>
      </c>
      <c r="K33" s="3751"/>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750" t="s">
        <v>2328</v>
      </c>
      <c r="K34" s="37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742">
        <v>1</v>
      </c>
      <c r="K36" s="3743"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742"/>
      <c r="K37" s="3744"/>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2"/>
      <c r="K38" s="3744"/>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742"/>
      <c r="K39" s="3744"/>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742"/>
      <c r="K40" s="3745"/>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6">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7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61" t="s">
        <v>1654</v>
      </c>
      <c r="C5" s="3762"/>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6305.16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81" t="s">
        <v>1667</v>
      </c>
      <c r="D4" s="3782"/>
      <c r="E4" s="3783" t="s">
        <v>1668</v>
      </c>
      <c r="F4" s="3784"/>
      <c r="G4" s="3781" t="s">
        <v>1669</v>
      </c>
      <c r="H4" s="3782"/>
      <c r="I4" s="3781" t="s">
        <v>1670</v>
      </c>
      <c r="J4" s="3782"/>
      <c r="K4" s="1888" t="s">
        <v>1671</v>
      </c>
      <c r="L4" s="2714"/>
      <c r="M4" s="2715"/>
      <c r="N4" s="2715"/>
      <c r="O4" s="2715"/>
      <c r="P4" s="3785" t="s">
        <v>1672</v>
      </c>
      <c r="Q4" s="3786"/>
      <c r="R4" s="3791" t="s">
        <v>1668</v>
      </c>
      <c r="S4" s="3792"/>
      <c r="T4" s="3791" t="s">
        <v>1669</v>
      </c>
      <c r="U4" s="3792"/>
      <c r="V4" s="3797" t="s">
        <v>1670</v>
      </c>
      <c r="W4" s="3797"/>
      <c r="X4" s="1354"/>
      <c r="Y4" s="3791" t="s">
        <v>1672</v>
      </c>
      <c r="Z4" s="3792"/>
      <c r="AA4" s="3778" t="s">
        <v>1668</v>
      </c>
      <c r="AB4" s="3778" t="s">
        <v>1669</v>
      </c>
      <c r="AC4" s="3778" t="s">
        <v>1670</v>
      </c>
    </row>
    <row r="5" spans="1:29" ht="15">
      <c r="A5" s="358"/>
      <c r="B5" s="359"/>
      <c r="C5" s="3800" t="s">
        <v>1673</v>
      </c>
      <c r="D5" s="3801"/>
      <c r="E5" s="3807" t="s">
        <v>1674</v>
      </c>
      <c r="F5" s="3808"/>
      <c r="G5" s="3800" t="s">
        <v>1675</v>
      </c>
      <c r="H5" s="3801"/>
      <c r="I5" s="3800" t="s">
        <v>1676</v>
      </c>
      <c r="J5" s="3801"/>
      <c r="K5" s="1889"/>
      <c r="L5" s="2714"/>
      <c r="M5" s="2715"/>
      <c r="N5" s="2715"/>
      <c r="O5" s="2715"/>
      <c r="P5" s="3787"/>
      <c r="Q5" s="3788"/>
      <c r="R5" s="3793"/>
      <c r="S5" s="3794"/>
      <c r="T5" s="3793"/>
      <c r="U5" s="3794"/>
      <c r="V5" s="3797"/>
      <c r="W5" s="3797"/>
      <c r="X5" s="1354"/>
      <c r="Y5" s="3793"/>
      <c r="Z5" s="3794"/>
      <c r="AA5" s="3779"/>
      <c r="AB5" s="3779"/>
      <c r="AC5" s="3779"/>
    </row>
    <row r="6" spans="1:29" ht="15.75" thickBot="1">
      <c r="A6" s="360"/>
      <c r="B6" s="361"/>
      <c r="C6" s="3798" t="s">
        <v>1677</v>
      </c>
      <c r="D6" s="3799"/>
      <c r="E6" s="3805" t="s">
        <v>1677</v>
      </c>
      <c r="F6" s="3806"/>
      <c r="G6" s="3798" t="s">
        <v>1677</v>
      </c>
      <c r="H6" s="3799"/>
      <c r="I6" s="3798" t="s">
        <v>1677</v>
      </c>
      <c r="J6" s="3799"/>
      <c r="K6" s="1889" t="s">
        <v>1678</v>
      </c>
      <c r="L6" s="2714"/>
      <c r="M6" s="2715"/>
      <c r="N6" s="2715"/>
      <c r="O6" s="2715"/>
      <c r="P6" s="3789"/>
      <c r="Q6" s="3790"/>
      <c r="R6" s="3793"/>
      <c r="S6" s="3794"/>
      <c r="T6" s="3795"/>
      <c r="U6" s="3796"/>
      <c r="V6" s="3797"/>
      <c r="W6" s="3797"/>
      <c r="X6" s="1354"/>
      <c r="Y6" s="3795"/>
      <c r="Z6" s="3796"/>
      <c r="AA6" s="3780"/>
      <c r="AB6" s="3780"/>
      <c r="AC6" s="3780"/>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802" t="s">
        <v>1680</v>
      </c>
      <c r="Q7" s="3804"/>
      <c r="R7" s="700" t="s">
        <v>20</v>
      </c>
      <c r="S7" s="701">
        <f t="shared" ref="S7:S15" si="0">F7</f>
        <v>0</v>
      </c>
      <c r="T7" s="700" t="s">
        <v>20</v>
      </c>
      <c r="U7" s="701">
        <f t="shared" ref="U7:U15" si="1">H7</f>
        <v>0</v>
      </c>
      <c r="V7" s="700" t="s">
        <v>20</v>
      </c>
      <c r="W7" s="701">
        <f t="shared" ref="W7:W15" si="2">J7</f>
        <v>0</v>
      </c>
      <c r="X7" s="702"/>
      <c r="Y7" s="3802" t="s">
        <v>1680</v>
      </c>
      <c r="Z7" s="38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802" t="s">
        <v>1683</v>
      </c>
      <c r="Q8" s="3803"/>
      <c r="R8" s="700" t="s">
        <v>20</v>
      </c>
      <c r="S8" s="701">
        <f t="shared" si="0"/>
        <v>100</v>
      </c>
      <c r="T8" s="700" t="s">
        <v>20</v>
      </c>
      <c r="U8" s="701">
        <f t="shared" si="1"/>
        <v>100</v>
      </c>
      <c r="V8" s="700" t="s">
        <v>20</v>
      </c>
      <c r="W8" s="701">
        <f t="shared" si="2"/>
        <v>100</v>
      </c>
      <c r="X8" s="702"/>
      <c r="Y8" s="3802" t="s">
        <v>1683</v>
      </c>
      <c r="Z8" s="38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7"/>
      <c r="Q11" s="1342" t="str">
        <f t="shared" si="6"/>
        <v>容积率</v>
      </c>
      <c r="R11" s="700" t="s">
        <v>18</v>
      </c>
      <c r="S11" s="701" t="e">
        <f t="shared" si="0"/>
        <v>#N/A</v>
      </c>
      <c r="T11" s="700" t="s">
        <v>18</v>
      </c>
      <c r="U11" s="701" t="e">
        <f t="shared" si="1"/>
        <v>#N/A</v>
      </c>
      <c r="V11" s="700" t="s">
        <v>18</v>
      </c>
      <c r="W11" s="701" t="e">
        <f t="shared" si="2"/>
        <v>#N/A</v>
      </c>
      <c r="X11" s="702"/>
      <c r="Y11" s="364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77"/>
      <c r="Q12" s="1342">
        <f t="shared" si="6"/>
        <v>111</v>
      </c>
      <c r="R12" s="700" t="s">
        <v>18</v>
      </c>
      <c r="S12" s="701">
        <f t="shared" si="0"/>
        <v>100</v>
      </c>
      <c r="T12" s="700" t="s">
        <v>18</v>
      </c>
      <c r="U12" s="701">
        <f t="shared" si="1"/>
        <v>100</v>
      </c>
      <c r="V12" s="700" t="s">
        <v>18</v>
      </c>
      <c r="W12" s="701">
        <f t="shared" si="2"/>
        <v>100</v>
      </c>
      <c r="X12" s="702"/>
      <c r="Y12" s="364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77"/>
      <c r="Q13" s="1342">
        <f t="shared" si="6"/>
        <v>111</v>
      </c>
      <c r="R13" s="700" t="s">
        <v>18</v>
      </c>
      <c r="S13" s="701">
        <f t="shared" si="0"/>
        <v>100</v>
      </c>
      <c r="T13" s="700" t="s">
        <v>18</v>
      </c>
      <c r="U13" s="701">
        <f t="shared" si="1"/>
        <v>100</v>
      </c>
      <c r="V13" s="700" t="s">
        <v>18</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77"/>
      <c r="Q14" s="1342">
        <f t="shared" si="6"/>
        <v>111</v>
      </c>
      <c r="R14" s="700" t="s">
        <v>18</v>
      </c>
      <c r="S14" s="701">
        <f t="shared" si="0"/>
        <v>100</v>
      </c>
      <c r="T14" s="700" t="s">
        <v>18</v>
      </c>
      <c r="U14" s="701">
        <f t="shared" si="1"/>
        <v>100</v>
      </c>
      <c r="V14" s="700" t="s">
        <v>18</v>
      </c>
      <c r="W14" s="701">
        <f t="shared" si="2"/>
        <v>100</v>
      </c>
      <c r="X14" s="702"/>
      <c r="Y14" s="364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5" t="s">
        <v>1691</v>
      </c>
      <c r="Q15" s="1351" t="str">
        <f t="shared" si="6"/>
        <v>居住社区成熟度</v>
      </c>
      <c r="R15" s="704" t="s">
        <v>18</v>
      </c>
      <c r="S15" s="705">
        <f t="shared" si="0"/>
        <v>100</v>
      </c>
      <c r="T15" s="704" t="s">
        <v>18</v>
      </c>
      <c r="U15" s="705">
        <f t="shared" si="1"/>
        <v>100</v>
      </c>
      <c r="V15" s="704" t="s">
        <v>18</v>
      </c>
      <c r="W15" s="705">
        <f t="shared" si="2"/>
        <v>100</v>
      </c>
      <c r="X15" s="1354"/>
      <c r="Y15" s="376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6"/>
      <c r="Q16" s="1351"/>
      <c r="R16" s="704"/>
      <c r="S16" s="705"/>
      <c r="T16" s="704"/>
      <c r="U16" s="705"/>
      <c r="V16" s="704"/>
      <c r="W16" s="705"/>
      <c r="X16" s="1354"/>
      <c r="Y16" s="376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6"/>
      <c r="Q17" s="1351" t="str">
        <f>B17</f>
        <v>交通便捷度</v>
      </c>
      <c r="R17" s="704" t="s">
        <v>18</v>
      </c>
      <c r="S17" s="705">
        <f>F17</f>
        <v>100</v>
      </c>
      <c r="T17" s="704" t="s">
        <v>18</v>
      </c>
      <c r="U17" s="705">
        <f>H17</f>
        <v>100</v>
      </c>
      <c r="V17" s="704" t="s">
        <v>18</v>
      </c>
      <c r="W17" s="705">
        <f>J17</f>
        <v>100</v>
      </c>
      <c r="X17" s="1354"/>
      <c r="Y17" s="376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6"/>
      <c r="Q18" s="1351"/>
      <c r="R18" s="704"/>
      <c r="S18" s="705"/>
      <c r="T18" s="704"/>
      <c r="U18" s="705"/>
      <c r="V18" s="704"/>
      <c r="W18" s="705"/>
      <c r="X18" s="1354"/>
      <c r="Y18" s="376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6"/>
      <c r="Q19" s="1351" t="str">
        <f>B19</f>
        <v>公共配套设施</v>
      </c>
      <c r="R19" s="704" t="s">
        <v>18</v>
      </c>
      <c r="S19" s="705">
        <f>F19</f>
        <v>100</v>
      </c>
      <c r="T19" s="704" t="s">
        <v>18</v>
      </c>
      <c r="U19" s="705">
        <f>H19</f>
        <v>100</v>
      </c>
      <c r="V19" s="704" t="s">
        <v>18</v>
      </c>
      <c r="W19" s="705">
        <f>J19</f>
        <v>100</v>
      </c>
      <c r="X19" s="1354"/>
      <c r="Y19" s="376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6"/>
      <c r="Q20" s="1351"/>
      <c r="R20" s="704"/>
      <c r="S20" s="705"/>
      <c r="T20" s="704"/>
      <c r="U20" s="705"/>
      <c r="V20" s="704"/>
      <c r="W20" s="705"/>
      <c r="X20" s="1354"/>
      <c r="Y20" s="376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6"/>
      <c r="Q21" s="1351" t="str">
        <f>B21</f>
        <v>基础设施水平</v>
      </c>
      <c r="R21" s="704" t="s">
        <v>14</v>
      </c>
      <c r="S21" s="705">
        <f>F21</f>
        <v>100</v>
      </c>
      <c r="T21" s="704" t="s">
        <v>14</v>
      </c>
      <c r="U21" s="705">
        <f>H21</f>
        <v>100</v>
      </c>
      <c r="V21" s="704" t="s">
        <v>14</v>
      </c>
      <c r="W21" s="705">
        <f>J21</f>
        <v>100</v>
      </c>
      <c r="X21" s="1354"/>
      <c r="Y21" s="37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76"/>
      <c r="Q22" s="1351"/>
      <c r="R22" s="704"/>
      <c r="S22" s="705"/>
      <c r="T22" s="704"/>
      <c r="U22" s="705"/>
      <c r="V22" s="704"/>
      <c r="W22" s="705"/>
      <c r="X22" s="1354"/>
      <c r="Y22" s="376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6"/>
      <c r="Q23" s="1351" t="str">
        <f>B23</f>
        <v>自然及人文环境</v>
      </c>
      <c r="R23" s="704" t="s">
        <v>18</v>
      </c>
      <c r="S23" s="705">
        <f>F23</f>
        <v>100</v>
      </c>
      <c r="T23" s="704" t="s">
        <v>18</v>
      </c>
      <c r="U23" s="705">
        <f>H23</f>
        <v>100</v>
      </c>
      <c r="V23" s="704" t="s">
        <v>18</v>
      </c>
      <c r="W23" s="705">
        <f>J23</f>
        <v>100</v>
      </c>
      <c r="X23" s="1354"/>
      <c r="Y23" s="376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6"/>
      <c r="Q24" s="1351"/>
      <c r="R24" s="704"/>
      <c r="S24" s="705"/>
      <c r="T24" s="704"/>
      <c r="U24" s="705"/>
      <c r="V24" s="704"/>
      <c r="W24" s="705"/>
      <c r="X24" s="1354"/>
      <c r="Y24" s="376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6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6"/>
      <c r="Q26" s="1351" t="str">
        <f t="shared" si="11"/>
        <v>朝向</v>
      </c>
      <c r="R26" s="704" t="s">
        <v>18</v>
      </c>
      <c r="S26" s="705">
        <f t="shared" si="12"/>
        <v>100</v>
      </c>
      <c r="T26" s="704" t="s">
        <v>18</v>
      </c>
      <c r="U26" s="705">
        <f t="shared" si="13"/>
        <v>100</v>
      </c>
      <c r="V26" s="704" t="s">
        <v>18</v>
      </c>
      <c r="W26" s="705">
        <f t="shared" si="14"/>
        <v>100</v>
      </c>
      <c r="X26" s="1354"/>
      <c r="Y26" s="376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6"/>
      <c r="Q27" s="1342">
        <f t="shared" si="11"/>
        <v>111</v>
      </c>
      <c r="R27" s="700" t="s">
        <v>18</v>
      </c>
      <c r="S27" s="701">
        <f t="shared" si="12"/>
        <v>100</v>
      </c>
      <c r="T27" s="700" t="s">
        <v>18</v>
      </c>
      <c r="U27" s="701">
        <f t="shared" si="13"/>
        <v>100</v>
      </c>
      <c r="V27" s="700" t="s">
        <v>18</v>
      </c>
      <c r="W27" s="701">
        <f t="shared" si="14"/>
        <v>100</v>
      </c>
      <c r="X27" s="702"/>
      <c r="Y27" s="376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6"/>
      <c r="Q28" s="1351">
        <f t="shared" si="11"/>
        <v>111</v>
      </c>
      <c r="R28" s="704" t="s">
        <v>18</v>
      </c>
      <c r="S28" s="705">
        <f t="shared" si="12"/>
        <v>100</v>
      </c>
      <c r="T28" s="704" t="s">
        <v>18</v>
      </c>
      <c r="U28" s="705">
        <f t="shared" si="13"/>
        <v>100</v>
      </c>
      <c r="V28" s="704" t="s">
        <v>18</v>
      </c>
      <c r="W28" s="705">
        <f t="shared" si="14"/>
        <v>100</v>
      </c>
      <c r="X28" s="1354"/>
      <c r="Y28" s="376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6"/>
      <c r="Q29" s="1351">
        <f t="shared" si="11"/>
        <v>111</v>
      </c>
      <c r="R29" s="704" t="s">
        <v>18</v>
      </c>
      <c r="S29" s="705">
        <f t="shared" si="12"/>
        <v>100</v>
      </c>
      <c r="T29" s="704" t="s">
        <v>18</v>
      </c>
      <c r="U29" s="705">
        <f t="shared" si="13"/>
        <v>100</v>
      </c>
      <c r="V29" s="704" t="s">
        <v>18</v>
      </c>
      <c r="W29" s="705">
        <f t="shared" si="14"/>
        <v>100</v>
      </c>
      <c r="X29" s="1354"/>
      <c r="Y29" s="376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6"/>
      <c r="Q30" s="1351">
        <f t="shared" si="11"/>
        <v>111</v>
      </c>
      <c r="R30" s="704" t="s">
        <v>18</v>
      </c>
      <c r="S30" s="705">
        <f t="shared" si="12"/>
        <v>100</v>
      </c>
      <c r="T30" s="704" t="s">
        <v>18</v>
      </c>
      <c r="U30" s="705">
        <f t="shared" si="13"/>
        <v>100</v>
      </c>
      <c r="V30" s="704" t="s">
        <v>18</v>
      </c>
      <c r="W30" s="705">
        <f t="shared" si="14"/>
        <v>100</v>
      </c>
      <c r="X30" s="1354"/>
      <c r="Y30" s="376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6"/>
      <c r="Q31" s="1351">
        <f t="shared" si="11"/>
        <v>111</v>
      </c>
      <c r="R31" s="704" t="s">
        <v>18</v>
      </c>
      <c r="S31" s="705">
        <f t="shared" si="12"/>
        <v>100</v>
      </c>
      <c r="T31" s="704" t="s">
        <v>18</v>
      </c>
      <c r="U31" s="705">
        <f t="shared" si="13"/>
        <v>100</v>
      </c>
      <c r="V31" s="704" t="s">
        <v>18</v>
      </c>
      <c r="W31" s="705">
        <f t="shared" si="14"/>
        <v>100</v>
      </c>
      <c r="X31" s="1354"/>
      <c r="Y31" s="376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70" t="s">
        <v>1696</v>
      </c>
      <c r="Q32" s="1351" t="str">
        <f t="shared" si="11"/>
        <v>建筑类型</v>
      </c>
      <c r="R32" s="704" t="s">
        <v>18</v>
      </c>
      <c r="S32" s="705">
        <f t="shared" si="12"/>
        <v>100</v>
      </c>
      <c r="T32" s="704" t="s">
        <v>18</v>
      </c>
      <c r="U32" s="705">
        <f t="shared" si="13"/>
        <v>100</v>
      </c>
      <c r="V32" s="704" t="s">
        <v>18</v>
      </c>
      <c r="W32" s="705">
        <f t="shared" si="14"/>
        <v>100</v>
      </c>
      <c r="X32" s="1354"/>
      <c r="Y32" s="377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71"/>
      <c r="Q33" s="706" t="str">
        <f t="shared" si="11"/>
        <v>项目建筑规模</v>
      </c>
      <c r="R33" s="707" t="s">
        <v>18</v>
      </c>
      <c r="S33" s="708" t="e">
        <f t="shared" si="12"/>
        <v>#N/A</v>
      </c>
      <c r="T33" s="707" t="s">
        <v>18</v>
      </c>
      <c r="U33" s="708" t="e">
        <f t="shared" si="13"/>
        <v>#N/A</v>
      </c>
      <c r="V33" s="707" t="s">
        <v>18</v>
      </c>
      <c r="W33" s="708" t="e">
        <f t="shared" si="14"/>
        <v>#N/A</v>
      </c>
      <c r="X33" s="709"/>
      <c r="Y33" s="377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71"/>
      <c r="Q34" s="1351" t="str">
        <f t="shared" si="11"/>
        <v>建筑结构</v>
      </c>
      <c r="R34" s="704" t="s">
        <v>18</v>
      </c>
      <c r="S34" s="705">
        <f t="shared" si="12"/>
        <v>100</v>
      </c>
      <c r="T34" s="704" t="s">
        <v>18</v>
      </c>
      <c r="U34" s="705">
        <f t="shared" si="13"/>
        <v>100</v>
      </c>
      <c r="V34" s="704" t="s">
        <v>18</v>
      </c>
      <c r="W34" s="705">
        <f t="shared" si="14"/>
        <v>100</v>
      </c>
      <c r="X34" s="1354"/>
      <c r="Y34" s="377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71"/>
      <c r="Q35" s="1351" t="str">
        <f t="shared" si="11"/>
        <v>建筑品质</v>
      </c>
      <c r="R35" s="704" t="s">
        <v>18</v>
      </c>
      <c r="S35" s="705">
        <f t="shared" si="12"/>
        <v>100</v>
      </c>
      <c r="T35" s="704" t="s">
        <v>18</v>
      </c>
      <c r="U35" s="705">
        <f t="shared" si="13"/>
        <v>100</v>
      </c>
      <c r="V35" s="704" t="s">
        <v>18</v>
      </c>
      <c r="W35" s="705">
        <f t="shared" si="14"/>
        <v>100</v>
      </c>
      <c r="X35" s="1354"/>
      <c r="Y35" s="377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71"/>
      <c r="Q36" s="1351" t="str">
        <f t="shared" si="11"/>
        <v>公共部分装修</v>
      </c>
      <c r="R36" s="704" t="s">
        <v>18</v>
      </c>
      <c r="S36" s="705">
        <f t="shared" si="12"/>
        <v>100</v>
      </c>
      <c r="T36" s="704" t="s">
        <v>18</v>
      </c>
      <c r="U36" s="705">
        <f t="shared" si="13"/>
        <v>100</v>
      </c>
      <c r="V36" s="704" t="s">
        <v>18</v>
      </c>
      <c r="W36" s="705">
        <f t="shared" si="14"/>
        <v>100</v>
      </c>
      <c r="X36" s="1354"/>
      <c r="Y36" s="377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71"/>
      <c r="Q37" s="1342" t="str">
        <f t="shared" si="11"/>
        <v>成新度</v>
      </c>
      <c r="R37" s="700" t="s">
        <v>18</v>
      </c>
      <c r="S37" s="701" t="e">
        <f t="shared" si="12"/>
        <v>#N/A</v>
      </c>
      <c r="T37" s="700" t="s">
        <v>18</v>
      </c>
      <c r="U37" s="701" t="e">
        <f t="shared" si="13"/>
        <v>#N/A</v>
      </c>
      <c r="V37" s="700" t="s">
        <v>18</v>
      </c>
      <c r="W37" s="701" t="e">
        <f t="shared" si="14"/>
        <v>#N/A</v>
      </c>
      <c r="X37" s="702"/>
      <c r="Y37" s="377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71" t="s">
        <v>1696</v>
      </c>
      <c r="Q38" s="1351" t="str">
        <f t="shared" si="11"/>
        <v>物业管理</v>
      </c>
      <c r="R38" s="704" t="s">
        <v>18</v>
      </c>
      <c r="S38" s="705">
        <f t="shared" si="12"/>
        <v>100</v>
      </c>
      <c r="T38" s="704" t="s">
        <v>18</v>
      </c>
      <c r="U38" s="705">
        <f t="shared" si="13"/>
        <v>100</v>
      </c>
      <c r="V38" s="704" t="s">
        <v>18</v>
      </c>
      <c r="W38" s="705">
        <f t="shared" si="14"/>
        <v>100</v>
      </c>
      <c r="X38" s="1354"/>
      <c r="Y38" s="377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71"/>
      <c r="Q39" s="1351" t="str">
        <f t="shared" si="11"/>
        <v>市政基础设施</v>
      </c>
      <c r="R39" s="704" t="s">
        <v>18</v>
      </c>
      <c r="S39" s="705">
        <f t="shared" si="12"/>
        <v>100</v>
      </c>
      <c r="T39" s="704" t="s">
        <v>18</v>
      </c>
      <c r="U39" s="705">
        <f t="shared" si="13"/>
        <v>100</v>
      </c>
      <c r="V39" s="704" t="s">
        <v>18</v>
      </c>
      <c r="W39" s="705">
        <f t="shared" si="14"/>
        <v>100</v>
      </c>
      <c r="X39" s="1354"/>
      <c r="Y39" s="377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71"/>
      <c r="Q40" s="1351" t="str">
        <f t="shared" si="11"/>
        <v>房型</v>
      </c>
      <c r="R40" s="704" t="s">
        <v>18</v>
      </c>
      <c r="S40" s="705">
        <f t="shared" si="12"/>
        <v>100</v>
      </c>
      <c r="T40" s="704" t="s">
        <v>18</v>
      </c>
      <c r="U40" s="705">
        <f t="shared" si="13"/>
        <v>100</v>
      </c>
      <c r="V40" s="704" t="s">
        <v>18</v>
      </c>
      <c r="W40" s="705">
        <f t="shared" si="14"/>
        <v>100</v>
      </c>
      <c r="X40" s="1354"/>
      <c r="Y40" s="377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71"/>
      <c r="Q41" s="706" t="str">
        <f t="shared" si="11"/>
        <v>单套/主力户型建筑面积</v>
      </c>
      <c r="R41" s="707" t="s">
        <v>18</v>
      </c>
      <c r="S41" s="708">
        <f t="shared" si="12"/>
        <v>100</v>
      </c>
      <c r="T41" s="707" t="s">
        <v>18</v>
      </c>
      <c r="U41" s="708">
        <f t="shared" si="13"/>
        <v>100</v>
      </c>
      <c r="V41" s="707" t="s">
        <v>18</v>
      </c>
      <c r="W41" s="708">
        <f t="shared" si="14"/>
        <v>100</v>
      </c>
      <c r="X41" s="709"/>
      <c r="Y41" s="377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71"/>
      <c r="Q42" s="1351" t="str">
        <f t="shared" si="11"/>
        <v>内部装修</v>
      </c>
      <c r="R42" s="704" t="s">
        <v>18</v>
      </c>
      <c r="S42" s="705">
        <f t="shared" si="12"/>
        <v>100</v>
      </c>
      <c r="T42" s="704" t="s">
        <v>18</v>
      </c>
      <c r="U42" s="705">
        <f t="shared" si="13"/>
        <v>100</v>
      </c>
      <c r="V42" s="704" t="s">
        <v>18</v>
      </c>
      <c r="W42" s="705">
        <f t="shared" si="14"/>
        <v>100</v>
      </c>
      <c r="X42" s="1354"/>
      <c r="Y42" s="377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71"/>
      <c r="Q43" s="1351" t="str">
        <f t="shared" si="11"/>
        <v>内部装修维护情况</v>
      </c>
      <c r="R43" s="704" t="s">
        <v>18</v>
      </c>
      <c r="S43" s="705">
        <f t="shared" si="12"/>
        <v>100</v>
      </c>
      <c r="T43" s="704" t="s">
        <v>18</v>
      </c>
      <c r="U43" s="705">
        <f t="shared" si="13"/>
        <v>100</v>
      </c>
      <c r="V43" s="704" t="s">
        <v>18</v>
      </c>
      <c r="W43" s="705">
        <f t="shared" si="14"/>
        <v>100</v>
      </c>
      <c r="X43" s="1354"/>
      <c r="Y43" s="377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71"/>
      <c r="Q44" s="1342">
        <f t="shared" si="11"/>
        <v>111</v>
      </c>
      <c r="R44" s="700" t="s">
        <v>18</v>
      </c>
      <c r="S44" s="701">
        <f t="shared" si="12"/>
        <v>100</v>
      </c>
      <c r="T44" s="700" t="s">
        <v>18</v>
      </c>
      <c r="U44" s="701">
        <f t="shared" si="13"/>
        <v>100</v>
      </c>
      <c r="V44" s="700" t="s">
        <v>18</v>
      </c>
      <c r="W44" s="701">
        <f t="shared" si="14"/>
        <v>100</v>
      </c>
      <c r="X44" s="702"/>
      <c r="Y44" s="377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71"/>
      <c r="Q45" s="1351">
        <f t="shared" si="11"/>
        <v>111</v>
      </c>
      <c r="R45" s="704" t="s">
        <v>18</v>
      </c>
      <c r="S45" s="705">
        <f t="shared" si="12"/>
        <v>100</v>
      </c>
      <c r="T45" s="704" t="s">
        <v>18</v>
      </c>
      <c r="U45" s="705">
        <f t="shared" si="13"/>
        <v>100</v>
      </c>
      <c r="V45" s="704" t="s">
        <v>18</v>
      </c>
      <c r="W45" s="705">
        <f t="shared" si="14"/>
        <v>100</v>
      </c>
      <c r="X45" s="1354"/>
      <c r="Y45" s="377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72"/>
      <c r="Q46" s="1351">
        <f t="shared" si="11"/>
        <v>111</v>
      </c>
      <c r="R46" s="704" t="s">
        <v>17</v>
      </c>
      <c r="S46" s="705">
        <f t="shared" si="12"/>
        <v>100</v>
      </c>
      <c r="T46" s="704" t="s">
        <v>17</v>
      </c>
      <c r="U46" s="705">
        <f t="shared" si="13"/>
        <v>100</v>
      </c>
      <c r="V46" s="704" t="s">
        <v>17</v>
      </c>
      <c r="W46" s="705">
        <f t="shared" si="14"/>
        <v>100</v>
      </c>
      <c r="X46" s="1354"/>
      <c r="Y46" s="377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66" t="str">
        <f>A47</f>
        <v>成交单价（元/平方米）</v>
      </c>
      <c r="Q47" s="3766"/>
      <c r="R47" s="3767">
        <f>E47</f>
        <v>0</v>
      </c>
      <c r="S47" s="3767"/>
      <c r="T47" s="3767">
        <f>G47</f>
        <v>0</v>
      </c>
      <c r="U47" s="3767"/>
      <c r="V47" s="3767">
        <f>I47</f>
        <v>0</v>
      </c>
      <c r="W47" s="376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6305.16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785" t="s">
        <v>1775</v>
      </c>
      <c r="Q4" s="3786"/>
      <c r="R4" s="3791" t="s">
        <v>1771</v>
      </c>
      <c r="S4" s="3792"/>
      <c r="T4" s="3791" t="s">
        <v>1772</v>
      </c>
      <c r="U4" s="3792"/>
      <c r="V4" s="3797" t="s">
        <v>1773</v>
      </c>
      <c r="W4" s="3797"/>
      <c r="X4" s="1354"/>
      <c r="Y4" s="3791" t="s">
        <v>1775</v>
      </c>
      <c r="Z4" s="3792"/>
      <c r="AA4" s="3778" t="s">
        <v>1771</v>
      </c>
      <c r="AB4" s="3797" t="s">
        <v>1772</v>
      </c>
      <c r="AC4" s="3778" t="s">
        <v>1773</v>
      </c>
    </row>
    <row r="5" spans="1:29" ht="15">
      <c r="A5" s="358"/>
      <c r="B5" s="359"/>
      <c r="C5" s="3800" t="s">
        <v>1673</v>
      </c>
      <c r="D5" s="3801"/>
      <c r="E5" s="3807" t="s">
        <v>1674</v>
      </c>
      <c r="F5" s="3808"/>
      <c r="G5" s="3800" t="s">
        <v>1675</v>
      </c>
      <c r="H5" s="3801"/>
      <c r="I5" s="3800" t="s">
        <v>1676</v>
      </c>
      <c r="J5" s="3801"/>
      <c r="K5" s="559"/>
      <c r="L5" s="2714"/>
      <c r="M5" s="2715"/>
      <c r="N5" s="2715"/>
      <c r="O5" s="2715"/>
      <c r="P5" s="3787"/>
      <c r="Q5" s="3788"/>
      <c r="R5" s="3793"/>
      <c r="S5" s="3794"/>
      <c r="T5" s="3793"/>
      <c r="U5" s="3794"/>
      <c r="V5" s="3797"/>
      <c r="W5" s="3797"/>
      <c r="X5" s="1354"/>
      <c r="Y5" s="3793"/>
      <c r="Z5" s="3794"/>
      <c r="AA5" s="3779"/>
      <c r="AB5" s="3797"/>
      <c r="AC5" s="3779"/>
    </row>
    <row r="6" spans="1:29" ht="15.75" thickBot="1">
      <c r="A6" s="360"/>
      <c r="B6" s="361"/>
      <c r="C6" s="3798" t="s">
        <v>1677</v>
      </c>
      <c r="D6" s="3799"/>
      <c r="E6" s="3805" t="s">
        <v>1677</v>
      </c>
      <c r="F6" s="3806"/>
      <c r="G6" s="3798" t="s">
        <v>1677</v>
      </c>
      <c r="H6" s="3799"/>
      <c r="I6" s="3798" t="s">
        <v>1677</v>
      </c>
      <c r="J6" s="3799"/>
      <c r="K6" s="559" t="s">
        <v>1678</v>
      </c>
      <c r="L6" s="2714"/>
      <c r="M6" s="2715"/>
      <c r="N6" s="2715"/>
      <c r="O6" s="2715"/>
      <c r="P6" s="3789"/>
      <c r="Q6" s="3790"/>
      <c r="R6" s="3793"/>
      <c r="S6" s="3794"/>
      <c r="T6" s="3795"/>
      <c r="U6" s="3796"/>
      <c r="V6" s="3797"/>
      <c r="W6" s="3797"/>
      <c r="X6" s="1354"/>
      <c r="Y6" s="3795"/>
      <c r="Z6" s="3796"/>
      <c r="AA6" s="3780"/>
      <c r="AB6" s="3797"/>
      <c r="AC6" s="3780"/>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02" t="s">
        <v>1680</v>
      </c>
      <c r="Q7" s="3804"/>
      <c r="R7" s="700" t="s">
        <v>14</v>
      </c>
      <c r="S7" s="701">
        <f t="shared" ref="S7:S15" si="0">F7</f>
        <v>0</v>
      </c>
      <c r="T7" s="700" t="s">
        <v>14</v>
      </c>
      <c r="U7" s="701">
        <f t="shared" ref="U7:U15" si="1">H7</f>
        <v>0</v>
      </c>
      <c r="V7" s="700" t="s">
        <v>14</v>
      </c>
      <c r="W7" s="701">
        <f t="shared" ref="W7:W15" si="2">J7</f>
        <v>0</v>
      </c>
      <c r="X7" s="702"/>
      <c r="Y7" s="3802" t="s">
        <v>1680</v>
      </c>
      <c r="Z7" s="380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02" t="s">
        <v>1683</v>
      </c>
      <c r="Q8" s="3803"/>
      <c r="R8" s="700" t="s">
        <v>14</v>
      </c>
      <c r="S8" s="701">
        <f t="shared" si="0"/>
        <v>100</v>
      </c>
      <c r="T8" s="700" t="s">
        <v>14</v>
      </c>
      <c r="U8" s="701">
        <f t="shared" si="1"/>
        <v>100</v>
      </c>
      <c r="V8" s="700" t="s">
        <v>14</v>
      </c>
      <c r="W8" s="701">
        <f t="shared" si="2"/>
        <v>100</v>
      </c>
      <c r="X8" s="702"/>
      <c r="Y8" s="3802" t="s">
        <v>1683</v>
      </c>
      <c r="Z8" s="380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77"/>
      <c r="Q11" s="1342" t="str">
        <f t="shared" si="6"/>
        <v>容积率</v>
      </c>
      <c r="R11" s="700" t="s">
        <v>14</v>
      </c>
      <c r="S11" s="701" t="e">
        <f t="shared" si="0"/>
        <v>#N/A</v>
      </c>
      <c r="T11" s="700" t="s">
        <v>14</v>
      </c>
      <c r="U11" s="701" t="e">
        <f t="shared" si="1"/>
        <v>#N/A</v>
      </c>
      <c r="V11" s="700" t="s">
        <v>14</v>
      </c>
      <c r="W11" s="701" t="e">
        <f t="shared" si="2"/>
        <v>#N/A</v>
      </c>
      <c r="X11" s="702"/>
      <c r="Y11" s="364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7"/>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7"/>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7"/>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5" t="s">
        <v>1691</v>
      </c>
      <c r="Q15" s="1351" t="str">
        <f t="shared" si="6"/>
        <v>商业繁华度</v>
      </c>
      <c r="R15" s="704" t="s">
        <v>14</v>
      </c>
      <c r="S15" s="705">
        <f t="shared" si="0"/>
        <v>100</v>
      </c>
      <c r="T15" s="704" t="s">
        <v>14</v>
      </c>
      <c r="U15" s="705">
        <f t="shared" si="1"/>
        <v>100</v>
      </c>
      <c r="V15" s="704" t="s">
        <v>14</v>
      </c>
      <c r="W15" s="705">
        <f t="shared" si="2"/>
        <v>100</v>
      </c>
      <c r="X15" s="1354"/>
      <c r="Y15" s="376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76"/>
      <c r="Q16" s="1351"/>
      <c r="R16" s="704"/>
      <c r="S16" s="705"/>
      <c r="T16" s="704"/>
      <c r="U16" s="705"/>
      <c r="V16" s="704"/>
      <c r="W16" s="705"/>
      <c r="X16" s="1354"/>
      <c r="Y16" s="376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76"/>
      <c r="Q17" s="1351" t="str">
        <f>B17</f>
        <v>交通便捷度</v>
      </c>
      <c r="R17" s="704" t="s">
        <v>14</v>
      </c>
      <c r="S17" s="705">
        <f>F17</f>
        <v>100</v>
      </c>
      <c r="T17" s="704" t="s">
        <v>14</v>
      </c>
      <c r="U17" s="705">
        <f>H17</f>
        <v>100</v>
      </c>
      <c r="V17" s="704" t="s">
        <v>14</v>
      </c>
      <c r="W17" s="705">
        <f>J17</f>
        <v>100</v>
      </c>
      <c r="X17" s="1354"/>
      <c r="Y17" s="37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76"/>
      <c r="Q18" s="1351"/>
      <c r="R18" s="704"/>
      <c r="S18" s="705"/>
      <c r="T18" s="704"/>
      <c r="U18" s="705"/>
      <c r="V18" s="704"/>
      <c r="W18" s="705"/>
      <c r="X18" s="1354"/>
      <c r="Y18" s="376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76"/>
      <c r="Q19" s="1351" t="str">
        <f>B19</f>
        <v>公共配套设施</v>
      </c>
      <c r="R19" s="704" t="s">
        <v>14</v>
      </c>
      <c r="S19" s="705">
        <f>F19</f>
        <v>100</v>
      </c>
      <c r="T19" s="704" t="s">
        <v>14</v>
      </c>
      <c r="U19" s="705">
        <f>H19</f>
        <v>100</v>
      </c>
      <c r="V19" s="704" t="s">
        <v>14</v>
      </c>
      <c r="W19" s="705">
        <f>J19</f>
        <v>100</v>
      </c>
      <c r="X19" s="1354"/>
      <c r="Y19" s="37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76"/>
      <c r="Q20" s="1351"/>
      <c r="R20" s="704"/>
      <c r="S20" s="705"/>
      <c r="T20" s="704"/>
      <c r="U20" s="705"/>
      <c r="V20" s="704"/>
      <c r="W20" s="705"/>
      <c r="X20" s="1354"/>
      <c r="Y20" s="376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76"/>
      <c r="Q21" s="1351" t="str">
        <f>B21</f>
        <v>基础设施水平</v>
      </c>
      <c r="R21" s="704" t="s">
        <v>14</v>
      </c>
      <c r="S21" s="705">
        <f>F21</f>
        <v>100</v>
      </c>
      <c r="T21" s="704" t="s">
        <v>14</v>
      </c>
      <c r="U21" s="705">
        <f>H21</f>
        <v>100</v>
      </c>
      <c r="V21" s="704" t="s">
        <v>14</v>
      </c>
      <c r="W21" s="705">
        <f>J21</f>
        <v>100</v>
      </c>
      <c r="X21" s="1354"/>
      <c r="Y21" s="37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76"/>
      <c r="Q22" s="1351"/>
      <c r="R22" s="704"/>
      <c r="S22" s="705"/>
      <c r="T22" s="704"/>
      <c r="U22" s="705"/>
      <c r="V22" s="704"/>
      <c r="W22" s="705"/>
      <c r="X22" s="1354"/>
      <c r="Y22" s="376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76"/>
      <c r="Q23" s="1351" t="str">
        <f>B23</f>
        <v>自然及人文环境</v>
      </c>
      <c r="R23" s="704" t="s">
        <v>14</v>
      </c>
      <c r="S23" s="705">
        <f>F23</f>
        <v>100</v>
      </c>
      <c r="T23" s="704" t="s">
        <v>14</v>
      </c>
      <c r="U23" s="705">
        <f>H23</f>
        <v>100</v>
      </c>
      <c r="V23" s="704" t="s">
        <v>14</v>
      </c>
      <c r="W23" s="705">
        <f>J23</f>
        <v>100</v>
      </c>
      <c r="X23" s="1354"/>
      <c r="Y23" s="376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76"/>
      <c r="Q24" s="1351"/>
      <c r="R24" s="704"/>
      <c r="S24" s="705"/>
      <c r="T24" s="704"/>
      <c r="U24" s="705"/>
      <c r="V24" s="704"/>
      <c r="W24" s="705"/>
      <c r="X24" s="1354"/>
      <c r="Y24" s="376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76"/>
      <c r="Q25" s="1351" t="str">
        <f t="shared" ref="Q25:Q46" si="11">B25</f>
        <v>临街状况</v>
      </c>
      <c r="R25" s="704" t="s">
        <v>14</v>
      </c>
      <c r="S25" s="705">
        <f>F25</f>
        <v>100</v>
      </c>
      <c r="T25" s="704" t="s">
        <v>14</v>
      </c>
      <c r="U25" s="705">
        <f>H25</f>
        <v>100</v>
      </c>
      <c r="V25" s="704" t="s">
        <v>14</v>
      </c>
      <c r="W25" s="705">
        <f>J25</f>
        <v>100</v>
      </c>
      <c r="X25" s="1354"/>
      <c r="Y25" s="376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76"/>
      <c r="Q26" s="1351" t="str">
        <f t="shared" si="11"/>
        <v>平面位置/可视性</v>
      </c>
      <c r="R26" s="704" t="s">
        <v>14</v>
      </c>
      <c r="S26" s="705">
        <f>F26</f>
        <v>100</v>
      </c>
      <c r="T26" s="704" t="s">
        <v>14</v>
      </c>
      <c r="U26" s="705">
        <f>H26</f>
        <v>100</v>
      </c>
      <c r="V26" s="704" t="s">
        <v>14</v>
      </c>
      <c r="W26" s="705">
        <f>J26</f>
        <v>100</v>
      </c>
      <c r="X26" s="1354"/>
      <c r="Y26" s="376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76"/>
      <c r="Q27" s="1342" t="str">
        <f t="shared" si="11"/>
        <v>人流量</v>
      </c>
      <c r="R27" s="700" t="s">
        <v>14</v>
      </c>
      <c r="S27" s="701">
        <f>F27</f>
        <v>100</v>
      </c>
      <c r="T27" s="700" t="s">
        <v>14</v>
      </c>
      <c r="U27" s="701">
        <f>H27</f>
        <v>100</v>
      </c>
      <c r="V27" s="700" t="s">
        <v>14</v>
      </c>
      <c r="W27" s="701">
        <f>J27</f>
        <v>100</v>
      </c>
      <c r="X27" s="702"/>
      <c r="Y27" s="376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7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6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6"/>
      <c r="Q29" s="1351">
        <f t="shared" si="11"/>
        <v>111</v>
      </c>
      <c r="R29" s="704" t="s">
        <v>14</v>
      </c>
      <c r="S29" s="705">
        <f t="shared" si="12"/>
        <v>100</v>
      </c>
      <c r="T29" s="704" t="s">
        <v>14</v>
      </c>
      <c r="U29" s="705">
        <f t="shared" si="13"/>
        <v>100</v>
      </c>
      <c r="V29" s="704" t="s">
        <v>14</v>
      </c>
      <c r="W29" s="705">
        <f t="shared" si="14"/>
        <v>100</v>
      </c>
      <c r="X29" s="1354"/>
      <c r="Y29" s="376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6"/>
      <c r="Q30" s="1351">
        <f t="shared" si="11"/>
        <v>111</v>
      </c>
      <c r="R30" s="704" t="s">
        <v>14</v>
      </c>
      <c r="S30" s="705">
        <f t="shared" si="12"/>
        <v>100</v>
      </c>
      <c r="T30" s="704" t="s">
        <v>14</v>
      </c>
      <c r="U30" s="705">
        <f t="shared" si="13"/>
        <v>100</v>
      </c>
      <c r="V30" s="704" t="s">
        <v>14</v>
      </c>
      <c r="W30" s="705">
        <f t="shared" si="14"/>
        <v>100</v>
      </c>
      <c r="X30" s="1354"/>
      <c r="Y30" s="376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6"/>
      <c r="Q31" s="1351">
        <f t="shared" si="11"/>
        <v>111</v>
      </c>
      <c r="R31" s="704" t="s">
        <v>14</v>
      </c>
      <c r="S31" s="705">
        <f t="shared" si="12"/>
        <v>100</v>
      </c>
      <c r="T31" s="704" t="s">
        <v>14</v>
      </c>
      <c r="U31" s="705">
        <f t="shared" si="13"/>
        <v>100</v>
      </c>
      <c r="V31" s="704" t="s">
        <v>14</v>
      </c>
      <c r="W31" s="705">
        <f t="shared" si="14"/>
        <v>100</v>
      </c>
      <c r="X31" s="1354"/>
      <c r="Y31" s="376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70" t="s">
        <v>1696</v>
      </c>
      <c r="Q32" s="1351" t="str">
        <f t="shared" si="11"/>
        <v>商业类型</v>
      </c>
      <c r="R32" s="704" t="s">
        <v>14</v>
      </c>
      <c r="S32" s="705">
        <f t="shared" si="12"/>
        <v>100</v>
      </c>
      <c r="T32" s="704" t="s">
        <v>14</v>
      </c>
      <c r="U32" s="705">
        <f t="shared" si="13"/>
        <v>100</v>
      </c>
      <c r="V32" s="704" t="s">
        <v>14</v>
      </c>
      <c r="W32" s="705">
        <f t="shared" si="14"/>
        <v>100</v>
      </c>
      <c r="X32" s="1354"/>
      <c r="Y32" s="377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71"/>
      <c r="Q33" s="706" t="str">
        <f t="shared" si="11"/>
        <v>项目建筑规模</v>
      </c>
      <c r="R33" s="707" t="s">
        <v>14</v>
      </c>
      <c r="S33" s="708" t="e">
        <f t="shared" si="12"/>
        <v>#N/A</v>
      </c>
      <c r="T33" s="707" t="s">
        <v>14</v>
      </c>
      <c r="U33" s="708" t="e">
        <f t="shared" si="13"/>
        <v>#N/A</v>
      </c>
      <c r="V33" s="707" t="s">
        <v>14</v>
      </c>
      <c r="W33" s="708" t="e">
        <f t="shared" si="14"/>
        <v>#N/A</v>
      </c>
      <c r="X33" s="709"/>
      <c r="Y33" s="3773"/>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71"/>
      <c r="Q34" s="1351" t="str">
        <f t="shared" si="11"/>
        <v>建筑结构</v>
      </c>
      <c r="R34" s="704" t="s">
        <v>14</v>
      </c>
      <c r="S34" s="705">
        <f t="shared" si="12"/>
        <v>100</v>
      </c>
      <c r="T34" s="704" t="s">
        <v>14</v>
      </c>
      <c r="U34" s="705">
        <f t="shared" si="13"/>
        <v>100</v>
      </c>
      <c r="V34" s="704" t="s">
        <v>14</v>
      </c>
      <c r="W34" s="705">
        <f t="shared" si="14"/>
        <v>100</v>
      </c>
      <c r="X34" s="1354"/>
      <c r="Y34" s="377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71"/>
      <c r="Q35" s="1351" t="str">
        <f t="shared" si="11"/>
        <v>公共部分装修</v>
      </c>
      <c r="R35" s="704" t="s">
        <v>14</v>
      </c>
      <c r="S35" s="705">
        <f t="shared" si="12"/>
        <v>100</v>
      </c>
      <c r="T35" s="704" t="s">
        <v>14</v>
      </c>
      <c r="U35" s="705">
        <f t="shared" si="13"/>
        <v>100</v>
      </c>
      <c r="V35" s="704" t="s">
        <v>14</v>
      </c>
      <c r="W35" s="705">
        <f t="shared" si="14"/>
        <v>100</v>
      </c>
      <c r="X35" s="1354"/>
      <c r="Y35" s="377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71"/>
      <c r="Q36" s="1351" t="str">
        <f t="shared" si="11"/>
        <v>成新度</v>
      </c>
      <c r="R36" s="704" t="s">
        <v>14</v>
      </c>
      <c r="S36" s="705" t="e">
        <f t="shared" si="12"/>
        <v>#N/A</v>
      </c>
      <c r="T36" s="704" t="s">
        <v>14</v>
      </c>
      <c r="U36" s="705" t="e">
        <f t="shared" si="13"/>
        <v>#N/A</v>
      </c>
      <c r="V36" s="704" t="s">
        <v>14</v>
      </c>
      <c r="W36" s="705" t="e">
        <f t="shared" si="14"/>
        <v>#N/A</v>
      </c>
      <c r="X36" s="1354"/>
      <c r="Y36" s="377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71"/>
      <c r="Q37" s="1342" t="str">
        <f t="shared" si="11"/>
        <v>市政基础设施</v>
      </c>
      <c r="R37" s="700" t="s">
        <v>14</v>
      </c>
      <c r="S37" s="701">
        <f t="shared" si="12"/>
        <v>100</v>
      </c>
      <c r="T37" s="700" t="s">
        <v>14</v>
      </c>
      <c r="U37" s="701">
        <f t="shared" si="13"/>
        <v>100</v>
      </c>
      <c r="V37" s="700" t="s">
        <v>14</v>
      </c>
      <c r="W37" s="701">
        <f t="shared" si="14"/>
        <v>100</v>
      </c>
      <c r="X37" s="702"/>
      <c r="Y37" s="3773"/>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71" t="s">
        <v>1696</v>
      </c>
      <c r="Q38" s="1351" t="str">
        <f t="shared" si="11"/>
        <v>业态</v>
      </c>
      <c r="R38" s="704" t="s">
        <v>14</v>
      </c>
      <c r="S38" s="705">
        <f t="shared" si="12"/>
        <v>100</v>
      </c>
      <c r="T38" s="704" t="s">
        <v>14</v>
      </c>
      <c r="U38" s="705">
        <f t="shared" si="13"/>
        <v>100</v>
      </c>
      <c r="V38" s="704" t="s">
        <v>14</v>
      </c>
      <c r="W38" s="705">
        <f t="shared" si="14"/>
        <v>100</v>
      </c>
      <c r="X38" s="1354"/>
      <c r="Y38" s="377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71"/>
      <c r="Q39" s="1351" t="str">
        <f t="shared" si="11"/>
        <v>层高</v>
      </c>
      <c r="R39" s="704" t="s">
        <v>14</v>
      </c>
      <c r="S39" s="705">
        <f t="shared" si="12"/>
        <v>100</v>
      </c>
      <c r="T39" s="704" t="s">
        <v>14</v>
      </c>
      <c r="U39" s="705">
        <f t="shared" si="13"/>
        <v>100</v>
      </c>
      <c r="V39" s="704" t="s">
        <v>14</v>
      </c>
      <c r="W39" s="705">
        <f t="shared" si="14"/>
        <v>100</v>
      </c>
      <c r="X39" s="1354"/>
      <c r="Y39" s="377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71"/>
      <c r="Q40" s="1351" t="str">
        <f t="shared" si="11"/>
        <v>单套建筑面积</v>
      </c>
      <c r="R40" s="704" t="s">
        <v>14</v>
      </c>
      <c r="S40" s="705">
        <f t="shared" si="12"/>
        <v>100</v>
      </c>
      <c r="T40" s="704" t="s">
        <v>14</v>
      </c>
      <c r="U40" s="705">
        <f t="shared" si="13"/>
        <v>100</v>
      </c>
      <c r="V40" s="704" t="s">
        <v>14</v>
      </c>
      <c r="W40" s="705">
        <f t="shared" si="14"/>
        <v>100</v>
      </c>
      <c r="X40" s="1354"/>
      <c r="Y40" s="377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71"/>
      <c r="Q41" s="706" t="str">
        <f t="shared" si="11"/>
        <v>进深比</v>
      </c>
      <c r="R41" s="707" t="s">
        <v>14</v>
      </c>
      <c r="S41" s="708">
        <f t="shared" si="12"/>
        <v>100</v>
      </c>
      <c r="T41" s="707" t="s">
        <v>14</v>
      </c>
      <c r="U41" s="708">
        <f t="shared" si="13"/>
        <v>100</v>
      </c>
      <c r="V41" s="707" t="s">
        <v>14</v>
      </c>
      <c r="W41" s="708">
        <f t="shared" si="14"/>
        <v>100</v>
      </c>
      <c r="X41" s="709"/>
      <c r="Y41" s="3773"/>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71"/>
      <c r="Q42" s="1351" t="str">
        <f t="shared" si="11"/>
        <v>内部装修</v>
      </c>
      <c r="R42" s="704" t="s">
        <v>14</v>
      </c>
      <c r="S42" s="705">
        <f t="shared" si="12"/>
        <v>100</v>
      </c>
      <c r="T42" s="704" t="s">
        <v>14</v>
      </c>
      <c r="U42" s="705">
        <f t="shared" si="13"/>
        <v>100</v>
      </c>
      <c r="V42" s="704" t="s">
        <v>14</v>
      </c>
      <c r="W42" s="705">
        <f t="shared" si="14"/>
        <v>100</v>
      </c>
      <c r="X42" s="1354"/>
      <c r="Y42" s="377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71"/>
      <c r="Q43" s="1351" t="str">
        <f t="shared" si="11"/>
        <v>内部装修维护情况</v>
      </c>
      <c r="R43" s="704" t="s">
        <v>14</v>
      </c>
      <c r="S43" s="705">
        <f t="shared" si="12"/>
        <v>100</v>
      </c>
      <c r="T43" s="704" t="s">
        <v>14</v>
      </c>
      <c r="U43" s="705">
        <f t="shared" si="13"/>
        <v>100</v>
      </c>
      <c r="V43" s="704" t="s">
        <v>14</v>
      </c>
      <c r="W43" s="705">
        <f t="shared" si="14"/>
        <v>100</v>
      </c>
      <c r="X43" s="1354"/>
      <c r="Y43" s="377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71"/>
      <c r="Q44" s="1342">
        <f t="shared" si="11"/>
        <v>111</v>
      </c>
      <c r="R44" s="700" t="s">
        <v>14</v>
      </c>
      <c r="S44" s="701">
        <f t="shared" si="12"/>
        <v>100</v>
      </c>
      <c r="T44" s="700" t="s">
        <v>14</v>
      </c>
      <c r="U44" s="701">
        <f t="shared" si="13"/>
        <v>100</v>
      </c>
      <c r="V44" s="700" t="s">
        <v>14</v>
      </c>
      <c r="W44" s="701">
        <f t="shared" si="14"/>
        <v>100</v>
      </c>
      <c r="X44" s="702"/>
      <c r="Y44" s="377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71"/>
      <c r="Q45" s="1351">
        <f t="shared" si="11"/>
        <v>111</v>
      </c>
      <c r="R45" s="704" t="s">
        <v>14</v>
      </c>
      <c r="S45" s="705">
        <f t="shared" si="12"/>
        <v>100</v>
      </c>
      <c r="T45" s="704" t="s">
        <v>14</v>
      </c>
      <c r="U45" s="705">
        <f t="shared" si="13"/>
        <v>100</v>
      </c>
      <c r="V45" s="704" t="s">
        <v>14</v>
      </c>
      <c r="W45" s="705">
        <f t="shared" si="14"/>
        <v>100</v>
      </c>
      <c r="X45" s="1354"/>
      <c r="Y45" s="377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72"/>
      <c r="Q46" s="1351">
        <f t="shared" si="11"/>
        <v>111</v>
      </c>
      <c r="R46" s="704" t="s">
        <v>14</v>
      </c>
      <c r="S46" s="705">
        <f t="shared" si="12"/>
        <v>100</v>
      </c>
      <c r="T46" s="704" t="s">
        <v>14</v>
      </c>
      <c r="U46" s="705">
        <f t="shared" si="13"/>
        <v>100</v>
      </c>
      <c r="V46" s="704" t="s">
        <v>14</v>
      </c>
      <c r="W46" s="705">
        <f t="shared" si="14"/>
        <v>100</v>
      </c>
      <c r="X46" s="1354"/>
      <c r="Y46" s="3774"/>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66" t="str">
        <f>A47</f>
        <v>成交单价（元/平方米）</v>
      </c>
      <c r="Q47" s="3766"/>
      <c r="R47" s="3797">
        <f>E47</f>
        <v>0</v>
      </c>
      <c r="S47" s="3797"/>
      <c r="T47" s="3797">
        <f>G47</f>
        <v>0</v>
      </c>
      <c r="U47" s="3797"/>
      <c r="V47" s="3797">
        <f>I47</f>
        <v>0</v>
      </c>
      <c r="W47" s="3797"/>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3574</v>
      </c>
      <c r="F1" s="1878" t="s">
        <v>3575</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54441.904000000002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86345</v>
      </c>
      <c r="C3" s="354" t="s">
        <v>1768</v>
      </c>
      <c r="D3" s="353">
        <f>IF(D1="",'数据-汇总表'!E3,SUMIF('数据-汇总表'!$C19:$C33,D1,'数据-汇总表'!$E19:$E33))</f>
        <v>6305.16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815" t="s">
        <v>1775</v>
      </c>
      <c r="Q4" s="3816"/>
      <c r="R4" s="3819" t="s">
        <v>1771</v>
      </c>
      <c r="S4" s="3820"/>
      <c r="T4" s="3819" t="s">
        <v>1772</v>
      </c>
      <c r="U4" s="3820"/>
      <c r="V4" s="3821" t="s">
        <v>1773</v>
      </c>
      <c r="W4" s="3821"/>
      <c r="X4" s="1957"/>
      <c r="Y4" s="3819" t="s">
        <v>1775</v>
      </c>
      <c r="Z4" s="3820"/>
      <c r="AA4" s="3824" t="s">
        <v>1771</v>
      </c>
      <c r="AB4" s="3824" t="s">
        <v>1772</v>
      </c>
      <c r="AC4" s="3812" t="s">
        <v>1773</v>
      </c>
    </row>
    <row r="5" spans="1:29" ht="15">
      <c r="A5" s="358"/>
      <c r="B5" s="359"/>
      <c r="C5" s="3822" t="s">
        <v>3576</v>
      </c>
      <c r="D5" s="3801"/>
      <c r="E5" s="3825" t="s">
        <v>3609</v>
      </c>
      <c r="F5" s="3808"/>
      <c r="G5" s="3822" t="s">
        <v>3605</v>
      </c>
      <c r="H5" s="3801"/>
      <c r="I5" s="3822" t="s">
        <v>3606</v>
      </c>
      <c r="J5" s="3801"/>
      <c r="K5" s="559"/>
      <c r="L5" s="2714"/>
      <c r="M5" s="2715"/>
      <c r="N5" s="2715"/>
      <c r="O5" s="2715"/>
      <c r="P5" s="3817"/>
      <c r="Q5" s="3788"/>
      <c r="R5" s="3793"/>
      <c r="S5" s="3794"/>
      <c r="T5" s="3793"/>
      <c r="U5" s="3794"/>
      <c r="V5" s="3797"/>
      <c r="W5" s="3797"/>
      <c r="X5" s="1354"/>
      <c r="Y5" s="3793"/>
      <c r="Z5" s="3794"/>
      <c r="AA5" s="3779"/>
      <c r="AB5" s="3779"/>
      <c r="AC5" s="3813"/>
    </row>
    <row r="6" spans="1:29" ht="15.75" thickBot="1">
      <c r="A6" s="360"/>
      <c r="B6" s="361"/>
      <c r="C6" s="3798" t="s">
        <v>1677</v>
      </c>
      <c r="D6" s="3799"/>
      <c r="E6" s="3805" t="s">
        <v>1677</v>
      </c>
      <c r="F6" s="3806"/>
      <c r="G6" s="3798" t="s">
        <v>1677</v>
      </c>
      <c r="H6" s="3799"/>
      <c r="I6" s="3798" t="s">
        <v>1677</v>
      </c>
      <c r="J6" s="3799"/>
      <c r="K6" s="559" t="s">
        <v>1678</v>
      </c>
      <c r="L6" s="2714"/>
      <c r="M6" s="2715"/>
      <c r="N6" s="2715"/>
      <c r="O6" s="2715"/>
      <c r="P6" s="3818"/>
      <c r="Q6" s="3790"/>
      <c r="R6" s="3793"/>
      <c r="S6" s="3794"/>
      <c r="T6" s="3795"/>
      <c r="U6" s="3796"/>
      <c r="V6" s="3797"/>
      <c r="W6" s="3797"/>
      <c r="X6" s="1354"/>
      <c r="Y6" s="3795"/>
      <c r="Z6" s="3796"/>
      <c r="AA6" s="3780"/>
      <c r="AB6" s="3780"/>
      <c r="AC6" s="3814"/>
    </row>
    <row r="7" spans="1:29" s="108" customFormat="1" ht="15.75" thickBot="1">
      <c r="A7" s="362" t="s">
        <v>1679</v>
      </c>
      <c r="B7" s="363"/>
      <c r="C7" s="364">
        <f>'数据-取费表'!B2</f>
        <v>45909</v>
      </c>
      <c r="D7" s="365">
        <v>100</v>
      </c>
      <c r="E7" s="366">
        <v>45562</v>
      </c>
      <c r="F7" s="367">
        <f>SUMIF(59:59,YEAR(E7)&amp;"-"&amp;MONTH(E7),60:60)</f>
        <v>100</v>
      </c>
      <c r="G7" s="366">
        <v>45657</v>
      </c>
      <c r="H7" s="365">
        <f>SUMIF(59:59,YEAR(G7)&amp;"-"&amp;MONTH(G7),60:60)</f>
        <v>100</v>
      </c>
      <c r="I7" s="366">
        <v>45627</v>
      </c>
      <c r="J7" s="365">
        <f>SUMIF(59:59,YEAR(I7)&amp;"-"&amp;MONTH(I7),60:60)</f>
        <v>100</v>
      </c>
      <c r="K7" s="560"/>
      <c r="L7" s="2716"/>
      <c r="M7" s="2717"/>
      <c r="N7" s="2717"/>
      <c r="O7" s="2717"/>
      <c r="P7" s="3823" t="s">
        <v>1680</v>
      </c>
      <c r="Q7" s="3804"/>
      <c r="R7" s="700" t="s">
        <v>14</v>
      </c>
      <c r="S7" s="701">
        <f t="shared" ref="S7:S15" si="0">F7</f>
        <v>100</v>
      </c>
      <c r="T7" s="700" t="s">
        <v>14</v>
      </c>
      <c r="U7" s="701">
        <f t="shared" ref="U7:U15" si="1">H7</f>
        <v>100</v>
      </c>
      <c r="V7" s="700" t="s">
        <v>14</v>
      </c>
      <c r="W7" s="701">
        <f t="shared" ref="W7:W15" si="2">J7</f>
        <v>100</v>
      </c>
      <c r="X7" s="702"/>
      <c r="Y7" s="3802" t="s">
        <v>1680</v>
      </c>
      <c r="Z7" s="3803"/>
      <c r="AA7" s="703">
        <f>D7/F7</f>
        <v>1</v>
      </c>
      <c r="AB7" s="703">
        <f>D7/H7</f>
        <v>1</v>
      </c>
      <c r="AC7" s="1958">
        <f>D7/J7</f>
        <v>1</v>
      </c>
    </row>
    <row r="8" spans="1:29" s="108" customFormat="1" ht="15.75" thickBot="1">
      <c r="A8" s="362" t="s">
        <v>1681</v>
      </c>
      <c r="B8" s="363"/>
      <c r="C8" s="368" t="s">
        <v>3577</v>
      </c>
      <c r="D8" s="365">
        <v>100</v>
      </c>
      <c r="E8" s="368" t="s">
        <v>3577</v>
      </c>
      <c r="F8" s="367">
        <f>SUMIF(62:62,E8,63:63)-SUMIF(62:62,C8,63:63)+100</f>
        <v>100</v>
      </c>
      <c r="G8" s="368" t="s">
        <v>3577</v>
      </c>
      <c r="H8" s="365">
        <f>SUMIF(62:62,G8,63:63)-SUMIF(62:62,C8,63:63)+100</f>
        <v>100</v>
      </c>
      <c r="I8" s="368" t="s">
        <v>3607</v>
      </c>
      <c r="J8" s="365">
        <f>SUMIF(62:62,I8,63:63)-SUMIF(62:62,C8,63:63)+100</f>
        <v>102</v>
      </c>
      <c r="K8" s="560"/>
      <c r="L8" s="2716"/>
      <c r="M8" s="2717"/>
      <c r="N8" s="2717"/>
      <c r="O8" s="2717"/>
      <c r="P8" s="3823" t="s">
        <v>1683</v>
      </c>
      <c r="Q8" s="3803"/>
      <c r="R8" s="700" t="s">
        <v>14</v>
      </c>
      <c r="S8" s="701">
        <f t="shared" si="0"/>
        <v>100</v>
      </c>
      <c r="T8" s="700" t="s">
        <v>14</v>
      </c>
      <c r="U8" s="701">
        <f t="shared" si="1"/>
        <v>100</v>
      </c>
      <c r="V8" s="700" t="s">
        <v>14</v>
      </c>
      <c r="W8" s="701">
        <f t="shared" si="2"/>
        <v>102</v>
      </c>
      <c r="X8" s="702"/>
      <c r="Y8" s="3802" t="s">
        <v>1683</v>
      </c>
      <c r="Z8" s="3803"/>
      <c r="AA8" s="703">
        <f t="shared" ref="AA8:AA47" si="3">D8/F8</f>
        <v>1</v>
      </c>
      <c r="AB8" s="703">
        <f t="shared" ref="AB8:AB47" si="4">D8/H8</f>
        <v>1</v>
      </c>
      <c r="AC8" s="1958">
        <f t="shared" ref="AC8:AC47" si="5">D8/J8</f>
        <v>0.98039215686274506</v>
      </c>
    </row>
    <row r="9" spans="1:29" s="108" customFormat="1">
      <c r="A9" s="369" t="s">
        <v>1684</v>
      </c>
      <c r="B9" s="63" t="s">
        <v>1685</v>
      </c>
      <c r="C9" s="3537"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77"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7"/>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7"/>
      <c r="Q11" s="1342" t="str">
        <f t="shared" si="6"/>
        <v>容积率</v>
      </c>
      <c r="R11" s="700" t="s">
        <v>14</v>
      </c>
      <c r="S11" s="701">
        <f t="shared" si="0"/>
        <v>100</v>
      </c>
      <c r="T11" s="700" t="s">
        <v>14</v>
      </c>
      <c r="U11" s="701">
        <f t="shared" si="1"/>
        <v>100</v>
      </c>
      <c r="V11" s="700" t="s">
        <v>14</v>
      </c>
      <c r="W11" s="701">
        <f t="shared" si="2"/>
        <v>100</v>
      </c>
      <c r="X11" s="702"/>
      <c r="Y11" s="364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7"/>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7"/>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77"/>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1"/>
      <c r="M15" s="2715"/>
      <c r="N15" s="2715"/>
      <c r="O15" s="2715"/>
      <c r="P15" s="3775" t="s">
        <v>1691</v>
      </c>
      <c r="Q15" s="1351" t="str">
        <f t="shared" si="6"/>
        <v>办公集聚程度</v>
      </c>
      <c r="R15" s="704" t="s">
        <v>14</v>
      </c>
      <c r="S15" s="705">
        <f t="shared" si="0"/>
        <v>100</v>
      </c>
      <c r="T15" s="704" t="s">
        <v>14</v>
      </c>
      <c r="U15" s="705">
        <f t="shared" si="1"/>
        <v>100</v>
      </c>
      <c r="V15" s="704" t="s">
        <v>14</v>
      </c>
      <c r="W15" s="705">
        <f t="shared" si="2"/>
        <v>100</v>
      </c>
      <c r="X15" s="1354"/>
      <c r="Y15" s="3768" t="s">
        <v>1691</v>
      </c>
      <c r="Z15" s="1355" t="str">
        <f t="shared" si="7"/>
        <v>办公集聚程度</v>
      </c>
      <c r="AA15" s="1352">
        <f t="shared" si="3"/>
        <v>1</v>
      </c>
      <c r="AB15" s="1352">
        <f t="shared" si="4"/>
        <v>1</v>
      </c>
      <c r="AC15" s="1961">
        <f t="shared" si="5"/>
        <v>1</v>
      </c>
    </row>
    <row r="16" spans="1:29" ht="15">
      <c r="A16" s="379"/>
      <c r="B16" s="578"/>
      <c r="C16" s="1903" t="s">
        <v>3579</v>
      </c>
      <c r="D16" s="399"/>
      <c r="E16" s="398" t="s">
        <v>3579</v>
      </c>
      <c r="F16" s="399"/>
      <c r="G16" s="398" t="s">
        <v>3579</v>
      </c>
      <c r="H16" s="401"/>
      <c r="I16" s="398" t="s">
        <v>3579</v>
      </c>
      <c r="J16" s="399"/>
      <c r="K16" s="564"/>
      <c r="L16" s="2721"/>
      <c r="M16" s="2715"/>
      <c r="N16" s="2715"/>
      <c r="O16" s="2715"/>
      <c r="P16" s="3776"/>
      <c r="Q16" s="1351"/>
      <c r="R16" s="704"/>
      <c r="S16" s="705"/>
      <c r="T16" s="704"/>
      <c r="U16" s="705"/>
      <c r="V16" s="704"/>
      <c r="W16" s="705"/>
      <c r="X16" s="1354"/>
      <c r="Y16" s="376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76"/>
      <c r="Q17" s="1351" t="str">
        <f>B17</f>
        <v>交通便捷度</v>
      </c>
      <c r="R17" s="704" t="s">
        <v>14</v>
      </c>
      <c r="S17" s="705">
        <f>F17</f>
        <v>100</v>
      </c>
      <c r="T17" s="704" t="s">
        <v>14</v>
      </c>
      <c r="U17" s="705">
        <f>H17</f>
        <v>100</v>
      </c>
      <c r="V17" s="704" t="s">
        <v>14</v>
      </c>
      <c r="W17" s="705">
        <f>J17</f>
        <v>100</v>
      </c>
      <c r="X17" s="1354"/>
      <c r="Y17" s="3769"/>
      <c r="Z17" s="1355" t="str">
        <f>Q17</f>
        <v>交通便捷度</v>
      </c>
      <c r="AA17" s="1352">
        <f t="shared" si="3"/>
        <v>1</v>
      </c>
      <c r="AB17" s="1352">
        <f t="shared" si="4"/>
        <v>1</v>
      </c>
      <c r="AC17" s="1961">
        <f t="shared" si="5"/>
        <v>1</v>
      </c>
    </row>
    <row r="18" spans="1:29" ht="15">
      <c r="A18" s="379"/>
      <c r="B18" s="580"/>
      <c r="C18" s="1963" t="s">
        <v>3579</v>
      </c>
      <c r="D18" s="401"/>
      <c r="E18" s="1963" t="s">
        <v>3579</v>
      </c>
      <c r="F18" s="401"/>
      <c r="G18" s="1963" t="s">
        <v>3579</v>
      </c>
      <c r="H18" s="399"/>
      <c r="I18" s="1963" t="s">
        <v>3579</v>
      </c>
      <c r="J18" s="399"/>
      <c r="K18" s="564"/>
      <c r="L18" s="2721"/>
      <c r="M18" s="2715"/>
      <c r="N18" s="2715"/>
      <c r="O18" s="2715"/>
      <c r="P18" s="3776"/>
      <c r="Q18" s="1351"/>
      <c r="R18" s="704"/>
      <c r="S18" s="705"/>
      <c r="T18" s="704"/>
      <c r="U18" s="705"/>
      <c r="V18" s="704"/>
      <c r="W18" s="705"/>
      <c r="X18" s="1354"/>
      <c r="Y18" s="376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76"/>
      <c r="Q19" s="1351" t="str">
        <f>B19</f>
        <v>公共配套设施</v>
      </c>
      <c r="R19" s="704" t="s">
        <v>14</v>
      </c>
      <c r="S19" s="705">
        <f>F19</f>
        <v>100</v>
      </c>
      <c r="T19" s="704" t="s">
        <v>14</v>
      </c>
      <c r="U19" s="705">
        <f>H19</f>
        <v>100</v>
      </c>
      <c r="V19" s="704" t="s">
        <v>14</v>
      </c>
      <c r="W19" s="705">
        <f>J19</f>
        <v>100</v>
      </c>
      <c r="X19" s="1354"/>
      <c r="Y19" s="3769"/>
      <c r="Z19" s="1355" t="str">
        <f>Q19</f>
        <v>公共配套设施</v>
      </c>
      <c r="AA19" s="1352">
        <f t="shared" si="3"/>
        <v>1</v>
      </c>
      <c r="AB19" s="1352">
        <f t="shared" si="4"/>
        <v>1</v>
      </c>
      <c r="AC19" s="1961">
        <f t="shared" si="5"/>
        <v>1</v>
      </c>
    </row>
    <row r="20" spans="1:29" ht="15">
      <c r="A20" s="379"/>
      <c r="B20" s="580"/>
      <c r="C20" s="1903" t="s">
        <v>3579</v>
      </c>
      <c r="D20" s="399"/>
      <c r="E20" s="1903" t="s">
        <v>3579</v>
      </c>
      <c r="F20" s="399"/>
      <c r="G20" s="1903" t="s">
        <v>3579</v>
      </c>
      <c r="H20" s="399"/>
      <c r="I20" s="1903" t="s">
        <v>3579</v>
      </c>
      <c r="J20" s="399"/>
      <c r="K20" s="564"/>
      <c r="L20" s="2721"/>
      <c r="M20" s="2715"/>
      <c r="N20" s="2715"/>
      <c r="O20" s="2715"/>
      <c r="P20" s="3776"/>
      <c r="Q20" s="1351"/>
      <c r="R20" s="704"/>
      <c r="S20" s="705"/>
      <c r="T20" s="704"/>
      <c r="U20" s="705"/>
      <c r="V20" s="704"/>
      <c r="W20" s="705"/>
      <c r="X20" s="1354"/>
      <c r="Y20" s="376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76"/>
      <c r="Q21" s="1351" t="str">
        <f>B21</f>
        <v>基础设施水平</v>
      </c>
      <c r="R21" s="704" t="s">
        <v>14</v>
      </c>
      <c r="S21" s="705">
        <f>F21</f>
        <v>100</v>
      </c>
      <c r="T21" s="704" t="s">
        <v>14</v>
      </c>
      <c r="U21" s="705">
        <f>H21</f>
        <v>100</v>
      </c>
      <c r="V21" s="704" t="s">
        <v>14</v>
      </c>
      <c r="W21" s="705">
        <f>J21</f>
        <v>100</v>
      </c>
      <c r="X21" s="1354"/>
      <c r="Y21" s="3769"/>
      <c r="Z21" s="1355" t="str">
        <f>Q21</f>
        <v>基础设施水平</v>
      </c>
      <c r="AA21" s="1352">
        <f t="shared" ref="AA21" si="8">D21/F21</f>
        <v>1</v>
      </c>
      <c r="AB21" s="1352">
        <f t="shared" ref="AB21" si="9">D21/H21</f>
        <v>1</v>
      </c>
      <c r="AC21" s="1961">
        <f t="shared" ref="AC21" si="10">D21/J21</f>
        <v>1</v>
      </c>
    </row>
    <row r="22" spans="1:29" ht="15">
      <c r="A22" s="379"/>
      <c r="B22" s="581"/>
      <c r="C22" s="1963" t="s">
        <v>3580</v>
      </c>
      <c r="D22" s="399"/>
      <c r="E22" s="1963" t="s">
        <v>3580</v>
      </c>
      <c r="F22" s="399"/>
      <c r="G22" s="1963" t="s">
        <v>3580</v>
      </c>
      <c r="H22" s="399"/>
      <c r="I22" s="1963" t="s">
        <v>3580</v>
      </c>
      <c r="J22" s="399"/>
      <c r="K22" s="1129"/>
      <c r="L22" s="2721"/>
      <c r="M22" s="2715"/>
      <c r="N22" s="2715"/>
      <c r="O22" s="2715"/>
      <c r="P22" s="3776"/>
      <c r="Q22" s="1351"/>
      <c r="R22" s="704"/>
      <c r="S22" s="705"/>
      <c r="T22" s="704"/>
      <c r="U22" s="705"/>
      <c r="V22" s="704"/>
      <c r="W22" s="705"/>
      <c r="X22" s="1354"/>
      <c r="Y22" s="376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76"/>
      <c r="Q23" s="1351" t="str">
        <f>B23</f>
        <v>环境质量</v>
      </c>
      <c r="R23" s="704" t="s">
        <v>14</v>
      </c>
      <c r="S23" s="705">
        <f>F23</f>
        <v>100</v>
      </c>
      <c r="T23" s="704" t="s">
        <v>14</v>
      </c>
      <c r="U23" s="705">
        <f>H23</f>
        <v>100</v>
      </c>
      <c r="V23" s="704" t="s">
        <v>14</v>
      </c>
      <c r="W23" s="705">
        <f>J23</f>
        <v>100</v>
      </c>
      <c r="X23" s="1354"/>
      <c r="Y23" s="3769"/>
      <c r="Z23" s="1355" t="str">
        <f>Q23</f>
        <v>环境质量</v>
      </c>
      <c r="AA23" s="1352">
        <f t="shared" si="3"/>
        <v>1</v>
      </c>
      <c r="AB23" s="1352">
        <f t="shared" si="4"/>
        <v>1</v>
      </c>
      <c r="AC23" s="1961">
        <f t="shared" si="5"/>
        <v>1</v>
      </c>
    </row>
    <row r="24" spans="1:29" ht="15">
      <c r="A24" s="379"/>
      <c r="B24" s="581"/>
      <c r="C24" s="1903" t="s">
        <v>3579</v>
      </c>
      <c r="D24" s="399"/>
      <c r="E24" s="1903" t="s">
        <v>3579</v>
      </c>
      <c r="F24" s="399"/>
      <c r="G24" s="1903" t="s">
        <v>3579</v>
      </c>
      <c r="H24" s="399"/>
      <c r="I24" s="1903" t="s">
        <v>3579</v>
      </c>
      <c r="J24" s="399"/>
      <c r="K24" s="564"/>
      <c r="L24" s="2721"/>
      <c r="M24" s="2715"/>
      <c r="N24" s="2715"/>
      <c r="O24" s="2715"/>
      <c r="P24" s="3776"/>
      <c r="Q24" s="1351"/>
      <c r="R24" s="704"/>
      <c r="S24" s="705"/>
      <c r="T24" s="704"/>
      <c r="U24" s="705"/>
      <c r="V24" s="704"/>
      <c r="W24" s="705"/>
      <c r="X24" s="1354"/>
      <c r="Y24" s="376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6"/>
      <c r="Q25" s="1351" t="str">
        <f>B25</f>
        <v>毗邻道路的类型与等级</v>
      </c>
      <c r="R25" s="704" t="s">
        <v>14</v>
      </c>
      <c r="S25" s="705">
        <f>F25</f>
        <v>100</v>
      </c>
      <c r="T25" s="704" t="s">
        <v>14</v>
      </c>
      <c r="U25" s="705">
        <f>H25</f>
        <v>100</v>
      </c>
      <c r="V25" s="704" t="s">
        <v>14</v>
      </c>
      <c r="W25" s="705">
        <f>J25</f>
        <v>100</v>
      </c>
      <c r="X25" s="1354"/>
      <c r="Y25" s="376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76"/>
      <c r="Q26" s="1351"/>
      <c r="R26" s="704"/>
      <c r="S26" s="705"/>
      <c r="T26" s="704"/>
      <c r="U26" s="705"/>
      <c r="V26" s="704"/>
      <c r="W26" s="705"/>
      <c r="X26" s="1354"/>
      <c r="Y26" s="3769"/>
      <c r="Z26" s="1355"/>
      <c r="AA26" s="1352">
        <v>1</v>
      </c>
      <c r="AB26" s="1352">
        <v>1</v>
      </c>
      <c r="AC26" s="1961">
        <v>1</v>
      </c>
    </row>
    <row r="27" spans="1:29" ht="15">
      <c r="A27" s="379"/>
      <c r="B27" s="580" t="s">
        <v>1783</v>
      </c>
      <c r="C27" s="582" t="s">
        <v>3583</v>
      </c>
      <c r="D27" s="386">
        <v>100</v>
      </c>
      <c r="E27" s="582" t="s">
        <v>3604</v>
      </c>
      <c r="F27" s="386">
        <f>SUMIF(89:89,E27,90:90)-SUMIF(89:89,C27,90:90)+100</f>
        <v>102</v>
      </c>
      <c r="G27" s="582" t="s">
        <v>3604</v>
      </c>
      <c r="H27" s="386">
        <f>SUMIF(89:89,G27,90:90)-SUMIF(89:89,C27,90:90)+100</f>
        <v>102</v>
      </c>
      <c r="I27" s="582" t="s">
        <v>3604</v>
      </c>
      <c r="J27" s="386">
        <f>SUMIF(89:89,I27,90:90)-SUMIF(89:89,C27,90:90)+100</f>
        <v>102</v>
      </c>
      <c r="K27" s="561">
        <v>2</v>
      </c>
      <c r="L27" s="2721"/>
      <c r="M27" s="2715"/>
      <c r="N27" s="2715"/>
      <c r="O27" s="2715"/>
      <c r="P27" s="3776"/>
      <c r="Q27" s="1351" t="str">
        <f t="shared" ref="Q27:Q47" si="11">B27</f>
        <v>楼层</v>
      </c>
      <c r="R27" s="704" t="s">
        <v>14</v>
      </c>
      <c r="S27" s="705">
        <f>F27</f>
        <v>102</v>
      </c>
      <c r="T27" s="704" t="s">
        <v>14</v>
      </c>
      <c r="U27" s="705">
        <f>H27</f>
        <v>102</v>
      </c>
      <c r="V27" s="704" t="s">
        <v>14</v>
      </c>
      <c r="W27" s="705">
        <f>J27</f>
        <v>102</v>
      </c>
      <c r="X27" s="1354"/>
      <c r="Y27" s="3769"/>
      <c r="Z27" s="1355" t="str">
        <f>Q27</f>
        <v>楼层</v>
      </c>
      <c r="AA27" s="1352">
        <f t="shared" si="3"/>
        <v>0.98039215686274506</v>
      </c>
      <c r="AB27" s="1352">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6"/>
      <c r="Q28" s="1342" t="str">
        <f t="shared" si="11"/>
        <v>朝向</v>
      </c>
      <c r="R28" s="700" t="s">
        <v>14</v>
      </c>
      <c r="S28" s="701">
        <f>F28</f>
        <v>100</v>
      </c>
      <c r="T28" s="700" t="s">
        <v>14</v>
      </c>
      <c r="U28" s="701">
        <f>H28</f>
        <v>100</v>
      </c>
      <c r="V28" s="700" t="s">
        <v>14</v>
      </c>
      <c r="W28" s="701">
        <f>J28</f>
        <v>100</v>
      </c>
      <c r="X28" s="702"/>
      <c r="Y28" s="376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6"/>
      <c r="Q29" s="1351">
        <f t="shared" si="11"/>
        <v>111</v>
      </c>
      <c r="R29" s="704" t="s">
        <v>14</v>
      </c>
      <c r="S29" s="705">
        <f t="shared" ref="S29:S47" si="12">F29</f>
        <v>100</v>
      </c>
      <c r="T29" s="704" t="s">
        <v>14</v>
      </c>
      <c r="U29" s="705">
        <f t="shared" ref="U29:U47" si="13">H29</f>
        <v>100</v>
      </c>
      <c r="V29" s="704" t="s">
        <v>14</v>
      </c>
      <c r="W29" s="705">
        <f t="shared" ref="W29:W47" si="14">J29</f>
        <v>100</v>
      </c>
      <c r="X29" s="1354"/>
      <c r="Y29" s="376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6"/>
      <c r="Q30" s="1351">
        <f t="shared" si="11"/>
        <v>111</v>
      </c>
      <c r="R30" s="704" t="s">
        <v>14</v>
      </c>
      <c r="S30" s="705">
        <f t="shared" si="12"/>
        <v>100</v>
      </c>
      <c r="T30" s="704" t="s">
        <v>14</v>
      </c>
      <c r="U30" s="705">
        <f t="shared" si="13"/>
        <v>100</v>
      </c>
      <c r="V30" s="704" t="s">
        <v>14</v>
      </c>
      <c r="W30" s="705">
        <f t="shared" si="14"/>
        <v>100</v>
      </c>
      <c r="X30" s="1354"/>
      <c r="Y30" s="376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6"/>
      <c r="Q31" s="1351">
        <f t="shared" si="11"/>
        <v>111</v>
      </c>
      <c r="R31" s="704" t="s">
        <v>14</v>
      </c>
      <c r="S31" s="705">
        <f t="shared" si="12"/>
        <v>100</v>
      </c>
      <c r="T31" s="704" t="s">
        <v>14</v>
      </c>
      <c r="U31" s="705">
        <f t="shared" si="13"/>
        <v>100</v>
      </c>
      <c r="V31" s="704" t="s">
        <v>14</v>
      </c>
      <c r="W31" s="705">
        <f t="shared" si="14"/>
        <v>100</v>
      </c>
      <c r="X31" s="1354"/>
      <c r="Y31" s="376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6"/>
      <c r="Q32" s="1351">
        <f t="shared" si="11"/>
        <v>111</v>
      </c>
      <c r="R32" s="704" t="s">
        <v>14</v>
      </c>
      <c r="S32" s="705">
        <f t="shared" si="12"/>
        <v>100</v>
      </c>
      <c r="T32" s="704" t="s">
        <v>14</v>
      </c>
      <c r="U32" s="705">
        <f t="shared" si="13"/>
        <v>100</v>
      </c>
      <c r="V32" s="704" t="s">
        <v>14</v>
      </c>
      <c r="W32" s="705">
        <f t="shared" si="14"/>
        <v>100</v>
      </c>
      <c r="X32" s="1354"/>
      <c r="Y32" s="3769"/>
      <c r="Z32" s="1355">
        <f t="shared" si="15"/>
        <v>111</v>
      </c>
      <c r="AA32" s="1352">
        <f t="shared" si="3"/>
        <v>1</v>
      </c>
      <c r="AB32" s="1352">
        <f t="shared" si="4"/>
        <v>1</v>
      </c>
      <c r="AC32" s="1961">
        <f t="shared" si="5"/>
        <v>1</v>
      </c>
    </row>
    <row r="33" spans="1:29" ht="15">
      <c r="A33" s="391" t="s">
        <v>1694</v>
      </c>
      <c r="B33" s="63" t="s">
        <v>1817</v>
      </c>
      <c r="C33" s="1966" t="s">
        <v>3585</v>
      </c>
      <c r="D33" s="418">
        <v>100</v>
      </c>
      <c r="E33" s="1966" t="s">
        <v>3585</v>
      </c>
      <c r="F33" s="412">
        <f>SUMIF(101:101,E33,102:102)-SUMIF(101:101,C33,102:102)+100</f>
        <v>100</v>
      </c>
      <c r="G33" s="1966" t="s">
        <v>3585</v>
      </c>
      <c r="H33" s="386">
        <f>SUMIF(101:101,G33,102:102)-SUMIF(101:101,C33,102:102)+100</f>
        <v>100</v>
      </c>
      <c r="I33" s="1966" t="s">
        <v>3585</v>
      </c>
      <c r="J33" s="418">
        <f>SUMIF(101:101,I33,102:102)-SUMIF(101:101,C33,102:102)+100</f>
        <v>100</v>
      </c>
      <c r="K33" s="561">
        <v>2</v>
      </c>
      <c r="L33" s="2721"/>
      <c r="M33" s="2715"/>
      <c r="N33" s="2715"/>
      <c r="O33" s="2715"/>
      <c r="P33" s="3770" t="s">
        <v>1696</v>
      </c>
      <c r="Q33" s="1351" t="str">
        <f t="shared" si="11"/>
        <v>建筑类型</v>
      </c>
      <c r="R33" s="704" t="s">
        <v>14</v>
      </c>
      <c r="S33" s="705">
        <f t="shared" si="12"/>
        <v>100</v>
      </c>
      <c r="T33" s="704" t="s">
        <v>14</v>
      </c>
      <c r="U33" s="705">
        <f t="shared" si="13"/>
        <v>100</v>
      </c>
      <c r="V33" s="704" t="s">
        <v>14</v>
      </c>
      <c r="W33" s="705">
        <f t="shared" si="14"/>
        <v>100</v>
      </c>
      <c r="X33" s="1354"/>
      <c r="Y33" s="3773" t="s">
        <v>1696</v>
      </c>
      <c r="Z33" s="1355" t="str">
        <f t="shared" si="15"/>
        <v>建筑类型</v>
      </c>
      <c r="AA33" s="1352">
        <f t="shared" si="3"/>
        <v>1</v>
      </c>
      <c r="AB33" s="1352">
        <f t="shared" si="4"/>
        <v>1</v>
      </c>
      <c r="AC33" s="1961">
        <f t="shared" si="5"/>
        <v>1</v>
      </c>
    </row>
    <row r="34" spans="1:29" s="422" customFormat="1" ht="15">
      <c r="A34" s="419"/>
      <c r="B34" s="375" t="s">
        <v>1697</v>
      </c>
      <c r="C34" s="420">
        <f>'数据-基础表'!I13</f>
        <v>1369.88</v>
      </c>
      <c r="D34" s="127">
        <v>100</v>
      </c>
      <c r="E34" s="420">
        <v>1051.0999999999999</v>
      </c>
      <c r="F34" s="376">
        <f>LOOKUP(E34,104:104,105:105)-LOOKUP(C34,104:104,105:105)+100</f>
        <v>100</v>
      </c>
      <c r="G34" s="420">
        <v>874.57</v>
      </c>
      <c r="H34" s="127">
        <f>LOOKUP(G34,104:104,105:105)-LOOKUP(C34,104:104,105:105)+100</f>
        <v>101</v>
      </c>
      <c r="I34" s="420">
        <v>3000</v>
      </c>
      <c r="J34" s="127">
        <f>LOOKUP(I34,104:104,105:105)-LOOKUP(C34,104:104,105:105)+100</f>
        <v>98</v>
      </c>
      <c r="K34" s="562"/>
      <c r="L34" s="2720"/>
      <c r="M34" s="2722"/>
      <c r="N34" s="2722"/>
      <c r="O34" s="2722"/>
      <c r="P34" s="3771"/>
      <c r="Q34" s="706" t="str">
        <f t="shared" si="11"/>
        <v>项目建筑规模</v>
      </c>
      <c r="R34" s="707" t="s">
        <v>14</v>
      </c>
      <c r="S34" s="708">
        <f t="shared" si="12"/>
        <v>100</v>
      </c>
      <c r="T34" s="707" t="s">
        <v>14</v>
      </c>
      <c r="U34" s="708">
        <f t="shared" si="13"/>
        <v>101</v>
      </c>
      <c r="V34" s="707" t="s">
        <v>14</v>
      </c>
      <c r="W34" s="708">
        <f t="shared" si="14"/>
        <v>98</v>
      </c>
      <c r="X34" s="709"/>
      <c r="Y34" s="3773"/>
      <c r="Z34" s="710" t="str">
        <f t="shared" si="15"/>
        <v>项目建筑规模</v>
      </c>
      <c r="AA34" s="1352">
        <f t="shared" si="3"/>
        <v>1</v>
      </c>
      <c r="AB34" s="1352">
        <f t="shared" si="4"/>
        <v>0.99009900990099009</v>
      </c>
      <c r="AC34" s="1961">
        <f t="shared" si="5"/>
        <v>1.0204081632653061</v>
      </c>
    </row>
    <row r="35" spans="1:29" ht="15">
      <c r="A35" s="423"/>
      <c r="B35" s="375" t="s">
        <v>1698</v>
      </c>
      <c r="C35" s="411" t="s">
        <v>3587</v>
      </c>
      <c r="D35" s="386">
        <v>100</v>
      </c>
      <c r="E35" s="411" t="s">
        <v>3587</v>
      </c>
      <c r="F35" s="412">
        <f>SUMIF(106:106,E35,107:107)-SUMIF(106:106,C35,107:107)+100</f>
        <v>100</v>
      </c>
      <c r="G35" s="411" t="s">
        <v>3587</v>
      </c>
      <c r="H35" s="386">
        <f>SUMIF(106:106,G35,107:107)-SUMIF(106:106,C35,107:107)+100</f>
        <v>100</v>
      </c>
      <c r="I35" s="411" t="s">
        <v>3587</v>
      </c>
      <c r="J35" s="386">
        <f>SUMIF(106:106,I35,107:107)-SUMIF(106:106,C35,107:107)+100</f>
        <v>100</v>
      </c>
      <c r="K35" s="561">
        <v>1</v>
      </c>
      <c r="L35" s="2721"/>
      <c r="M35" s="2715"/>
      <c r="N35" s="2715"/>
      <c r="O35" s="2715"/>
      <c r="P35" s="3771"/>
      <c r="Q35" s="1351" t="str">
        <f t="shared" si="11"/>
        <v>建筑结构</v>
      </c>
      <c r="R35" s="704" t="s">
        <v>14</v>
      </c>
      <c r="S35" s="705">
        <f t="shared" si="12"/>
        <v>100</v>
      </c>
      <c r="T35" s="704" t="s">
        <v>14</v>
      </c>
      <c r="U35" s="705">
        <f t="shared" si="13"/>
        <v>100</v>
      </c>
      <c r="V35" s="704" t="s">
        <v>14</v>
      </c>
      <c r="W35" s="705">
        <f t="shared" si="14"/>
        <v>100</v>
      </c>
      <c r="X35" s="1354"/>
      <c r="Y35" s="3773"/>
      <c r="Z35" s="1355" t="str">
        <f t="shared" si="15"/>
        <v>建筑结构</v>
      </c>
      <c r="AA35" s="1352">
        <f t="shared" si="3"/>
        <v>1</v>
      </c>
      <c r="AB35" s="1352">
        <f t="shared" si="4"/>
        <v>1</v>
      </c>
      <c r="AC35" s="1961">
        <f t="shared" si="5"/>
        <v>1</v>
      </c>
    </row>
    <row r="36" spans="1:29" ht="15">
      <c r="A36" s="423"/>
      <c r="B36" s="375" t="s">
        <v>1785</v>
      </c>
      <c r="C36" s="411" t="s">
        <v>3589</v>
      </c>
      <c r="D36" s="386">
        <v>100</v>
      </c>
      <c r="E36" s="411" t="s">
        <v>3589</v>
      </c>
      <c r="F36" s="412">
        <f>SUMIF(108:108,E36,109:109)-SUMIF(108:108,C36,109:109)+100</f>
        <v>100</v>
      </c>
      <c r="G36" s="411" t="s">
        <v>3589</v>
      </c>
      <c r="H36" s="386">
        <f>SUMIF(108:108,G36,109:109)-SUMIF(108:108,C36,109:109)+100</f>
        <v>100</v>
      </c>
      <c r="I36" s="411" t="s">
        <v>3589</v>
      </c>
      <c r="J36" s="386">
        <f>SUMIF(108:108,I36,109:109)-SUMIF(108:108,C36,109:109)+100</f>
        <v>100</v>
      </c>
      <c r="K36" s="561">
        <v>1</v>
      </c>
      <c r="L36" s="2721"/>
      <c r="M36" s="2715"/>
      <c r="N36" s="2715"/>
      <c r="O36" s="2715"/>
      <c r="P36" s="3771"/>
      <c r="Q36" s="1351" t="str">
        <f t="shared" si="11"/>
        <v>公共部分装修</v>
      </c>
      <c r="R36" s="704" t="s">
        <v>14</v>
      </c>
      <c r="S36" s="705">
        <f t="shared" si="12"/>
        <v>100</v>
      </c>
      <c r="T36" s="704" t="s">
        <v>14</v>
      </c>
      <c r="U36" s="705">
        <f t="shared" si="13"/>
        <v>100</v>
      </c>
      <c r="V36" s="704" t="s">
        <v>14</v>
      </c>
      <c r="W36" s="705">
        <f t="shared" si="14"/>
        <v>100</v>
      </c>
      <c r="X36" s="1354"/>
      <c r="Y36" s="3773"/>
      <c r="Z36" s="1355" t="str">
        <f t="shared" si="15"/>
        <v>公共部分装修</v>
      </c>
      <c r="AA36" s="1352">
        <f t="shared" si="3"/>
        <v>1</v>
      </c>
      <c r="AB36" s="1352">
        <f t="shared" si="4"/>
        <v>1</v>
      </c>
      <c r="AC36" s="1961">
        <f t="shared" si="5"/>
        <v>1</v>
      </c>
    </row>
    <row r="37" spans="1:29" ht="15">
      <c r="A37" s="423"/>
      <c r="B37" s="375" t="s">
        <v>1786</v>
      </c>
      <c r="C37" s="425">
        <f>'数据-取费表'!N6</f>
        <v>0.9</v>
      </c>
      <c r="D37" s="386">
        <v>100</v>
      </c>
      <c r="E37" s="425">
        <v>0.9</v>
      </c>
      <c r="F37" s="412">
        <f>LOOKUP(E37,111:111,112:112)-LOOKUP(C37,111:111,112:112)+100</f>
        <v>100</v>
      </c>
      <c r="G37" s="425">
        <v>0.9</v>
      </c>
      <c r="H37" s="412">
        <f>LOOKUP(G37,111:111,112:112)-LOOKUP(C37,111:111,112:112)+100</f>
        <v>100</v>
      </c>
      <c r="I37" s="425">
        <v>0.9</v>
      </c>
      <c r="J37" s="386">
        <f>LOOKUP(I37,111:111,112:112)-LOOKUP(C37,111:111,112:112)+100</f>
        <v>100</v>
      </c>
      <c r="K37" s="561">
        <v>1</v>
      </c>
      <c r="L37" s="2721"/>
      <c r="M37" s="2715"/>
      <c r="N37" s="2715"/>
      <c r="O37" s="2715"/>
      <c r="P37" s="3771"/>
      <c r="Q37" s="1351" t="str">
        <f t="shared" si="11"/>
        <v>成新度</v>
      </c>
      <c r="R37" s="704" t="s">
        <v>14</v>
      </c>
      <c r="S37" s="705">
        <f t="shared" si="12"/>
        <v>100</v>
      </c>
      <c r="T37" s="704" t="s">
        <v>14</v>
      </c>
      <c r="U37" s="705">
        <f t="shared" si="13"/>
        <v>100</v>
      </c>
      <c r="V37" s="704" t="s">
        <v>14</v>
      </c>
      <c r="W37" s="705">
        <f t="shared" si="14"/>
        <v>100</v>
      </c>
      <c r="X37" s="1354"/>
      <c r="Y37" s="3773"/>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1"/>
      <c r="Q38" s="1342" t="str">
        <f t="shared" si="11"/>
        <v>写字楼等级</v>
      </c>
      <c r="R38" s="700" t="s">
        <v>14</v>
      </c>
      <c r="S38" s="701">
        <f t="shared" si="12"/>
        <v>100</v>
      </c>
      <c r="T38" s="700" t="s">
        <v>14</v>
      </c>
      <c r="U38" s="701">
        <f t="shared" si="13"/>
        <v>100</v>
      </c>
      <c r="V38" s="700" t="s">
        <v>14</v>
      </c>
      <c r="W38" s="701">
        <f t="shared" si="14"/>
        <v>100</v>
      </c>
      <c r="X38" s="702"/>
      <c r="Y38" s="3773"/>
      <c r="Z38" s="52" t="str">
        <f t="shared" si="15"/>
        <v>写字楼等级</v>
      </c>
      <c r="AA38" s="703">
        <f t="shared" si="3"/>
        <v>1</v>
      </c>
      <c r="AB38" s="703">
        <f t="shared" si="4"/>
        <v>1</v>
      </c>
      <c r="AC38" s="1958">
        <f t="shared" si="5"/>
        <v>1</v>
      </c>
    </row>
    <row r="39" spans="1:29" ht="15">
      <c r="A39" s="423"/>
      <c r="B39" s="375" t="s">
        <v>1819</v>
      </c>
      <c r="C39" s="411" t="s">
        <v>3593</v>
      </c>
      <c r="D39" s="386">
        <v>100</v>
      </c>
      <c r="E39" s="411" t="s">
        <v>3593</v>
      </c>
      <c r="F39" s="412">
        <f>SUMIF(115:115,E39,116:116)-SUMIF(115:115,C39,116:116)+100</f>
        <v>100</v>
      </c>
      <c r="G39" s="411" t="s">
        <v>3593</v>
      </c>
      <c r="H39" s="386">
        <f>SUMIF(115:115,G39,116:116)-SUMIF(115:115,C39,116:116)+100</f>
        <v>100</v>
      </c>
      <c r="I39" s="411" t="s">
        <v>3593</v>
      </c>
      <c r="J39" s="386">
        <f>SUMIF(115:115,I39,116:116)-SUMIF(115:115,C39,116:116)+100</f>
        <v>100</v>
      </c>
      <c r="K39" s="561">
        <v>1</v>
      </c>
      <c r="L39" s="2721"/>
      <c r="M39" s="2715"/>
      <c r="N39" s="2715"/>
      <c r="O39" s="2715"/>
      <c r="P39" s="3771" t="s">
        <v>1696</v>
      </c>
      <c r="Q39" s="1351" t="str">
        <f t="shared" si="11"/>
        <v>物业管理</v>
      </c>
      <c r="R39" s="704" t="s">
        <v>14</v>
      </c>
      <c r="S39" s="705">
        <f t="shared" si="12"/>
        <v>100</v>
      </c>
      <c r="T39" s="704" t="s">
        <v>14</v>
      </c>
      <c r="U39" s="705">
        <f t="shared" si="13"/>
        <v>100</v>
      </c>
      <c r="V39" s="704" t="s">
        <v>14</v>
      </c>
      <c r="W39" s="705">
        <f t="shared" si="14"/>
        <v>100</v>
      </c>
      <c r="X39" s="1354"/>
      <c r="Y39" s="3773"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1"/>
      <c r="Q40" s="1351" t="str">
        <f t="shared" si="11"/>
        <v>市政基础设施</v>
      </c>
      <c r="R40" s="704" t="s">
        <v>14</v>
      </c>
      <c r="S40" s="705">
        <f t="shared" si="12"/>
        <v>100</v>
      </c>
      <c r="T40" s="704" t="s">
        <v>14</v>
      </c>
      <c r="U40" s="705">
        <f t="shared" si="13"/>
        <v>100</v>
      </c>
      <c r="V40" s="704" t="s">
        <v>14</v>
      </c>
      <c r="W40" s="705">
        <f t="shared" si="14"/>
        <v>100</v>
      </c>
      <c r="X40" s="1354"/>
      <c r="Y40" s="3773"/>
      <c r="Z40" s="1355" t="str">
        <f t="shared" si="15"/>
        <v>市政基础设施</v>
      </c>
      <c r="AA40" s="1352">
        <f t="shared" si="3"/>
        <v>1</v>
      </c>
      <c r="AB40" s="1352">
        <f t="shared" si="4"/>
        <v>1</v>
      </c>
      <c r="AC40" s="1961">
        <f t="shared" si="5"/>
        <v>1</v>
      </c>
    </row>
    <row r="41" spans="1:29" ht="15">
      <c r="A41" s="423"/>
      <c r="B41" s="375" t="s">
        <v>1789</v>
      </c>
      <c r="C41" s="565" t="s">
        <v>3599</v>
      </c>
      <c r="D41" s="386">
        <v>100</v>
      </c>
      <c r="E41" s="565" t="s">
        <v>3599</v>
      </c>
      <c r="F41" s="412">
        <f>SUMIF(119:119,E41,120:120)-SUMIF(119:119,C41,120:120)+100</f>
        <v>100</v>
      </c>
      <c r="G41" s="565" t="s">
        <v>3599</v>
      </c>
      <c r="H41" s="386">
        <f>SUMIF(119:119,G41,120:120)-SUMIF(119:119,C41,120:120)+100</f>
        <v>100</v>
      </c>
      <c r="I41" s="565" t="s">
        <v>3599</v>
      </c>
      <c r="J41" s="386">
        <f>SUMIF(119:119,I41,120:120)-SUMIF(119:119,C41,120:120)+100</f>
        <v>100</v>
      </c>
      <c r="K41" s="561">
        <v>2</v>
      </c>
      <c r="L41" s="2721"/>
      <c r="M41" s="2715"/>
      <c r="N41" s="2715"/>
      <c r="O41" s="2715"/>
      <c r="P41" s="3771"/>
      <c r="Q41" s="1351" t="str">
        <f t="shared" si="11"/>
        <v>层高</v>
      </c>
      <c r="R41" s="704" t="s">
        <v>14</v>
      </c>
      <c r="S41" s="705">
        <f t="shared" si="12"/>
        <v>100</v>
      </c>
      <c r="T41" s="704" t="s">
        <v>14</v>
      </c>
      <c r="U41" s="705">
        <f t="shared" si="13"/>
        <v>100</v>
      </c>
      <c r="V41" s="704" t="s">
        <v>14</v>
      </c>
      <c r="W41" s="705">
        <f t="shared" si="14"/>
        <v>100</v>
      </c>
      <c r="X41" s="1354"/>
      <c r="Y41" s="3773"/>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1"/>
      <c r="Q42" s="706" t="str">
        <f t="shared" si="11"/>
        <v>单套建筑面积</v>
      </c>
      <c r="R42" s="707" t="s">
        <v>14</v>
      </c>
      <c r="S42" s="708">
        <f t="shared" si="12"/>
        <v>100</v>
      </c>
      <c r="T42" s="707" t="s">
        <v>14</v>
      </c>
      <c r="U42" s="708">
        <f t="shared" si="13"/>
        <v>100</v>
      </c>
      <c r="V42" s="707" t="s">
        <v>14</v>
      </c>
      <c r="W42" s="708">
        <f t="shared" si="14"/>
        <v>100</v>
      </c>
      <c r="X42" s="709"/>
      <c r="Y42" s="3773"/>
      <c r="Z42" s="710" t="str">
        <f t="shared" si="15"/>
        <v>单套建筑面积</v>
      </c>
      <c r="AA42" s="1352">
        <f t="shared" si="3"/>
        <v>1</v>
      </c>
      <c r="AB42" s="1352">
        <f t="shared" si="4"/>
        <v>1</v>
      </c>
      <c r="AC42" s="1961">
        <f t="shared" si="5"/>
        <v>1</v>
      </c>
    </row>
    <row r="43" spans="1:29" ht="15">
      <c r="A43" s="423"/>
      <c r="B43" s="375" t="s">
        <v>1792</v>
      </c>
      <c r="C43" s="411" t="s">
        <v>3589</v>
      </c>
      <c r="D43" s="386">
        <v>100</v>
      </c>
      <c r="E43" s="411" t="s">
        <v>3589</v>
      </c>
      <c r="F43" s="412">
        <f>SUMIF(123:123,E43,124:124)-SUMIF(123:123,C43,124:124)+100</f>
        <v>100</v>
      </c>
      <c r="G43" s="411" t="s">
        <v>3589</v>
      </c>
      <c r="H43" s="386">
        <f>SUMIF(123:123,G43,124:124)-SUMIF(123:123,C43,124:124)+100</f>
        <v>100</v>
      </c>
      <c r="I43" s="411" t="s">
        <v>3589</v>
      </c>
      <c r="J43" s="386">
        <f>SUMIF(123:123,I43,124:124)-SUMIF(123:123,C43,124:124)+100</f>
        <v>100</v>
      </c>
      <c r="K43" s="561">
        <v>1</v>
      </c>
      <c r="L43" s="2721"/>
      <c r="M43" s="2715"/>
      <c r="N43" s="2715"/>
      <c r="O43" s="2715"/>
      <c r="P43" s="3771"/>
      <c r="Q43" s="1351" t="str">
        <f t="shared" si="11"/>
        <v>内部装修</v>
      </c>
      <c r="R43" s="704" t="s">
        <v>14</v>
      </c>
      <c r="S43" s="705">
        <f t="shared" si="12"/>
        <v>100</v>
      </c>
      <c r="T43" s="704" t="s">
        <v>14</v>
      </c>
      <c r="U43" s="705">
        <f t="shared" si="13"/>
        <v>100</v>
      </c>
      <c r="V43" s="704" t="s">
        <v>14</v>
      </c>
      <c r="W43" s="705">
        <f t="shared" si="14"/>
        <v>100</v>
      </c>
      <c r="X43" s="1354"/>
      <c r="Y43" s="3773"/>
      <c r="Z43" s="1355" t="str">
        <f t="shared" si="15"/>
        <v>内部装修</v>
      </c>
      <c r="AA43" s="1352">
        <f t="shared" si="3"/>
        <v>1</v>
      </c>
      <c r="AB43" s="1352">
        <f t="shared" si="4"/>
        <v>1</v>
      </c>
      <c r="AC43" s="1961">
        <f t="shared" si="5"/>
        <v>1</v>
      </c>
    </row>
    <row r="44" spans="1:29" ht="15">
      <c r="A44" s="423"/>
      <c r="B44" s="375" t="s">
        <v>1707</v>
      </c>
      <c r="C44" s="411" t="s">
        <v>3579</v>
      </c>
      <c r="D44" s="386">
        <v>100</v>
      </c>
      <c r="E44" s="411" t="s">
        <v>3579</v>
      </c>
      <c r="F44" s="412">
        <f>SUMIF(125:125,E44,126:126)-SUMIF(125:125,C44,126:126)+100</f>
        <v>100</v>
      </c>
      <c r="G44" s="411" t="s">
        <v>3579</v>
      </c>
      <c r="H44" s="386">
        <f>SUMIF(125:125,G44,126:126)-SUMIF(125:125,C44,126:126)+100</f>
        <v>100</v>
      </c>
      <c r="I44" s="411" t="s">
        <v>3579</v>
      </c>
      <c r="J44" s="386">
        <f>SUMIF(125:125,I44,126:126)-SUMIF(125:125,C44,126:126)+100</f>
        <v>100</v>
      </c>
      <c r="K44" s="561">
        <v>1</v>
      </c>
      <c r="L44" s="2721"/>
      <c r="M44" s="2715"/>
      <c r="N44" s="2715"/>
      <c r="O44" s="2715"/>
      <c r="P44" s="3771"/>
      <c r="Q44" s="1351" t="str">
        <f t="shared" si="11"/>
        <v>内部装修维护情况</v>
      </c>
      <c r="R44" s="704" t="s">
        <v>14</v>
      </c>
      <c r="S44" s="705">
        <f t="shared" si="12"/>
        <v>100</v>
      </c>
      <c r="T44" s="704" t="s">
        <v>14</v>
      </c>
      <c r="U44" s="705">
        <f t="shared" si="13"/>
        <v>100</v>
      </c>
      <c r="V44" s="704" t="s">
        <v>14</v>
      </c>
      <c r="W44" s="705">
        <f t="shared" si="14"/>
        <v>100</v>
      </c>
      <c r="X44" s="1354"/>
      <c r="Y44" s="377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71"/>
      <c r="Q45" s="1342">
        <f t="shared" si="11"/>
        <v>111</v>
      </c>
      <c r="R45" s="700" t="s">
        <v>14</v>
      </c>
      <c r="S45" s="701">
        <f t="shared" si="12"/>
        <v>100</v>
      </c>
      <c r="T45" s="700" t="s">
        <v>14</v>
      </c>
      <c r="U45" s="701">
        <f t="shared" si="13"/>
        <v>100</v>
      </c>
      <c r="V45" s="700" t="s">
        <v>14</v>
      </c>
      <c r="W45" s="701">
        <f t="shared" si="14"/>
        <v>100</v>
      </c>
      <c r="X45" s="702"/>
      <c r="Y45" s="377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1"/>
      <c r="Q46" s="1351">
        <f t="shared" si="11"/>
        <v>111</v>
      </c>
      <c r="R46" s="704" t="s">
        <v>14</v>
      </c>
      <c r="S46" s="705">
        <f t="shared" si="12"/>
        <v>100</v>
      </c>
      <c r="T46" s="704" t="s">
        <v>14</v>
      </c>
      <c r="U46" s="705">
        <f t="shared" si="13"/>
        <v>100</v>
      </c>
      <c r="V46" s="704" t="s">
        <v>14</v>
      </c>
      <c r="W46" s="705">
        <f t="shared" si="14"/>
        <v>100</v>
      </c>
      <c r="X46" s="1354"/>
      <c r="Y46" s="377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2"/>
      <c r="Q47" s="1351">
        <f t="shared" si="11"/>
        <v>111</v>
      </c>
      <c r="R47" s="704" t="s">
        <v>14</v>
      </c>
      <c r="S47" s="705">
        <f t="shared" si="12"/>
        <v>100</v>
      </c>
      <c r="T47" s="704" t="s">
        <v>14</v>
      </c>
      <c r="U47" s="705">
        <f t="shared" si="13"/>
        <v>100</v>
      </c>
      <c r="V47" s="704" t="s">
        <v>14</v>
      </c>
      <c r="W47" s="705">
        <f t="shared" si="14"/>
        <v>100</v>
      </c>
      <c r="X47" s="1354"/>
      <c r="Y47" s="3774"/>
      <c r="Z47" s="1355">
        <f t="shared" si="15"/>
        <v>111</v>
      </c>
      <c r="AA47" s="1352">
        <f t="shared" si="3"/>
        <v>1</v>
      </c>
      <c r="AB47" s="1352">
        <f t="shared" si="4"/>
        <v>1</v>
      </c>
      <c r="AC47" s="1961">
        <f t="shared" si="5"/>
        <v>1</v>
      </c>
    </row>
    <row r="48" spans="1:29" ht="15">
      <c r="A48" s="430" t="s">
        <v>1708</v>
      </c>
      <c r="B48" s="431"/>
      <c r="C48" s="1153" t="s">
        <v>0</v>
      </c>
      <c r="D48" s="1154"/>
      <c r="E48" s="1155">
        <v>92000</v>
      </c>
      <c r="F48" s="1156"/>
      <c r="G48" s="1157">
        <v>83000</v>
      </c>
      <c r="H48" s="1158"/>
      <c r="I48" s="1155">
        <v>90000</v>
      </c>
      <c r="J48" s="436"/>
      <c r="K48" s="713"/>
      <c r="L48" s="2723"/>
      <c r="M48" s="2715"/>
      <c r="N48" s="2715"/>
      <c r="O48" s="2715"/>
      <c r="P48" s="3777" t="str">
        <f>A48</f>
        <v>成交单价（元/平方米）</v>
      </c>
      <c r="Q48" s="3766"/>
      <c r="R48" s="3767">
        <f>E48</f>
        <v>92000</v>
      </c>
      <c r="S48" s="3767"/>
      <c r="T48" s="3767">
        <f>G48</f>
        <v>83000</v>
      </c>
      <c r="U48" s="3767"/>
      <c r="V48" s="3767">
        <f>I48</f>
        <v>90000</v>
      </c>
      <c r="W48" s="3767"/>
      <c r="X48" s="397"/>
      <c r="Y48" s="711"/>
      <c r="Z48" s="397"/>
      <c r="AA48" s="397"/>
      <c r="AB48" s="397"/>
      <c r="AC48" s="578"/>
    </row>
    <row r="49" spans="1:29" ht="15.75" thickBot="1">
      <c r="A49" s="437" t="s">
        <v>1793</v>
      </c>
      <c r="B49" s="438"/>
      <c r="C49" s="1159">
        <f>R50</f>
        <v>86345</v>
      </c>
      <c r="D49" s="2316" t="s">
        <v>2137</v>
      </c>
      <c r="E49" s="1160">
        <f>R49</f>
        <v>90196</v>
      </c>
      <c r="F49" s="2317"/>
      <c r="G49" s="1159">
        <f>T49</f>
        <v>80567</v>
      </c>
      <c r="H49" s="2317"/>
      <c r="I49" s="1160">
        <f>V49</f>
        <v>88271</v>
      </c>
      <c r="J49" s="2317"/>
      <c r="K49" s="2319">
        <f>F49+H49+J49</f>
        <v>0</v>
      </c>
      <c r="L49" s="2723"/>
      <c r="M49" s="2715"/>
      <c r="N49" s="2715"/>
      <c r="O49" s="2715"/>
      <c r="P49" s="3777" t="str">
        <f>A49</f>
        <v>比较价值（元/平方米）</v>
      </c>
      <c r="Q49" s="3766"/>
      <c r="R49" s="3767">
        <f>IF(F1="售价",ROUND(PRODUCT(R48,AA7:AA47),0),ROUND(PRODUCT(R48,AA7:AA47),1))</f>
        <v>90196</v>
      </c>
      <c r="S49" s="3767"/>
      <c r="T49" s="3767">
        <f>IF(F1="售价",ROUND(PRODUCT(T48,AB7:AB47),0),ROUND(PRODUCT(T48,AB7:AB47),1))</f>
        <v>80567</v>
      </c>
      <c r="U49" s="3767"/>
      <c r="V49" s="3767">
        <f>IF(F1="售价",ROUND(PRODUCT(V48,AC7:AC47),0),ROUND(PRODUCT(V48,AC7:AC47),1))</f>
        <v>88271</v>
      </c>
      <c r="W49" s="3767"/>
      <c r="X49" s="397"/>
      <c r="Y49" s="397"/>
      <c r="Z49" s="397"/>
      <c r="AA49" s="397"/>
      <c r="AB49" s="397"/>
      <c r="AC49" s="578"/>
    </row>
    <row r="50" spans="1:29" ht="15.75" thickBot="1">
      <c r="A50" s="441" t="s">
        <v>1794</v>
      </c>
      <c r="B50" s="442"/>
      <c r="C50" s="1162">
        <f>R50</f>
        <v>86345</v>
      </c>
      <c r="D50" s="1162"/>
      <c r="E50" s="1162"/>
      <c r="F50" s="1162"/>
      <c r="G50" s="1162"/>
      <c r="H50" s="1162"/>
      <c r="I50" s="1162"/>
      <c r="J50" s="443"/>
      <c r="K50" s="714"/>
      <c r="L50" s="2723"/>
      <c r="M50" s="2715"/>
      <c r="N50" s="2715"/>
      <c r="O50" s="2715"/>
      <c r="P50" s="3809" t="str">
        <f>A50</f>
        <v>估价对象XX用房的比较价值（楼面单价，元/平方米）</v>
      </c>
      <c r="Q50" s="3810"/>
      <c r="R50" s="3811">
        <f>IF(F1="售价",ROUND(IF(D49="简单平均",AVERAGE(R49:V49),R49*F49+T49*H49+V49*J49),0),ROUND(IF(D49="简单平均",AVERAGE(R49:V49),R49*F49+T49*H49+V49*J49),1))</f>
        <v>86345</v>
      </c>
      <c r="S50" s="3811"/>
      <c r="T50" s="3811"/>
      <c r="U50" s="3811"/>
      <c r="V50" s="3811"/>
      <c r="W50" s="3811"/>
      <c r="X50" s="1945"/>
      <c r="Y50" s="1945"/>
      <c r="Z50" s="1945"/>
      <c r="AA50" s="1945"/>
      <c r="AB50" s="1945"/>
      <c r="AC50" s="1946"/>
    </row>
    <row r="51" spans="1:29">
      <c r="A51" s="2724"/>
      <c r="B51" s="2724"/>
      <c r="C51" s="2724">
        <v>97597</v>
      </c>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2.0000886957292963E-2</v>
      </c>
      <c r="F53" s="449" t="str">
        <f>IF(OR(E53&gt;=0.3,E53&lt;=-0.3),"超过30%","")</f>
        <v/>
      </c>
      <c r="G53" s="448">
        <f>IF(G48&lt;G49,G49/G48-1,G48/G49-1)</f>
        <v>3.0198468355530084E-2</v>
      </c>
      <c r="H53" s="449" t="str">
        <f>IF(OR(G53&gt;=0.3,G53&lt;=-0.3),"超过30%","")</f>
        <v/>
      </c>
      <c r="I53" s="448">
        <f>IF(I48&lt;I49,I49/I48-1,I48/I49-1)</f>
        <v>1.9587406962649156E-2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0.11951543435898082</v>
      </c>
      <c r="F54" s="449" t="str">
        <f>IF(OR(E54&gt;=0.2,E54&lt;=-0.2),"超过20%","")</f>
        <v/>
      </c>
      <c r="G54" s="448">
        <f>IF(G49&lt;I49,I49/G49-1,G49/I49-1)</f>
        <v>9.5622277110976039E-2</v>
      </c>
      <c r="H54" s="449" t="str">
        <f>IF(OR(G54&gt;=0.2,G54&lt;=-0.2),"超过20%","")</f>
        <v/>
      </c>
      <c r="I54" s="448">
        <f>IF(I49&lt;E49,E49/I49-1,I49/E49-1)</f>
        <v>2.1807841760034474E-2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0.10843373493975905</v>
      </c>
      <c r="F55" s="449" t="str">
        <f>IF(OR(E55&gt;=0.3,E55&lt;=-0.3),"超过30%","")</f>
        <v/>
      </c>
      <c r="G55" s="448">
        <f>IF(G48&lt;I48,I48/G48-1,G48/I48-1)</f>
        <v>8.43373493975903E-2</v>
      </c>
      <c r="H55" s="449" t="str">
        <f>IF(OR(G55&gt;=0.3,G55&lt;=-0.3),"超过30%","")</f>
        <v/>
      </c>
      <c r="I55" s="448">
        <f>IF(I48&lt;E48,E48/I48-1,I48/E48-1)</f>
        <v>2.2222222222222143E-2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2">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549" t="s">
        <v>3608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38" t="s">
        <v>3581</v>
      </c>
      <c r="D89" s="3538" t="s">
        <v>3582</v>
      </c>
      <c r="E89" s="3538" t="s">
        <v>3584</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39" t="s">
        <v>3586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1000</v>
      </c>
      <c r="G104" s="544">
        <v>2000</v>
      </c>
      <c r="H104" s="544">
        <v>3000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v>97</v>
      </c>
      <c r="H105" s="485">
        <v>96</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538" t="s">
        <v>3588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538" t="s">
        <v>3590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538" t="s">
        <v>3591</v>
      </c>
      <c r="D113" s="3538" t="s">
        <v>3592</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538" t="s">
        <v>3594</v>
      </c>
      <c r="D115" s="3538" t="s">
        <v>3595</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38" t="s">
        <v>3596</v>
      </c>
      <c r="D117" s="3538" t="s">
        <v>3597</v>
      </c>
      <c r="E117" s="3538" t="s">
        <v>3598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540" t="s">
        <v>3600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38" t="s">
        <v>3590</v>
      </c>
      <c r="D123" s="3538" t="s">
        <v>3601</v>
      </c>
      <c r="E123" s="3538" t="s">
        <v>3602</v>
      </c>
      <c r="F123" s="3540" t="s">
        <v>3603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6305.16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81" t="s">
        <v>1770</v>
      </c>
      <c r="D4" s="3782"/>
      <c r="E4" s="3783" t="s">
        <v>1771</v>
      </c>
      <c r="F4" s="3784"/>
      <c r="G4" s="3781" t="s">
        <v>1772</v>
      </c>
      <c r="H4" s="3782"/>
      <c r="I4" s="3781" t="s">
        <v>1773</v>
      </c>
      <c r="J4" s="3782"/>
      <c r="K4" s="559" t="s">
        <v>1774</v>
      </c>
      <c r="L4" s="912"/>
      <c r="M4" s="913"/>
      <c r="N4" s="913"/>
      <c r="O4" s="913"/>
      <c r="P4" s="3785" t="s">
        <v>1775</v>
      </c>
      <c r="Q4" s="3786"/>
      <c r="R4" s="3791" t="s">
        <v>1771</v>
      </c>
      <c r="S4" s="3792"/>
      <c r="T4" s="3791" t="s">
        <v>1772</v>
      </c>
      <c r="U4" s="3792"/>
      <c r="V4" s="3797" t="s">
        <v>1773</v>
      </c>
      <c r="W4" s="3797"/>
      <c r="X4" s="1354"/>
      <c r="Y4" s="3791" t="s">
        <v>1775</v>
      </c>
      <c r="Z4" s="3792"/>
      <c r="AA4" s="3778" t="s">
        <v>1771</v>
      </c>
      <c r="AB4" s="3779" t="s">
        <v>1772</v>
      </c>
      <c r="AC4" s="3778" t="s">
        <v>1773</v>
      </c>
    </row>
    <row r="5" spans="1:29" ht="15">
      <c r="A5" s="358"/>
      <c r="B5" s="359"/>
      <c r="C5" s="3800" t="s">
        <v>1673</v>
      </c>
      <c r="D5" s="3801"/>
      <c r="E5" s="3807" t="s">
        <v>1674</v>
      </c>
      <c r="F5" s="3808"/>
      <c r="G5" s="3800" t="s">
        <v>1675</v>
      </c>
      <c r="H5" s="3801"/>
      <c r="I5" s="3800" t="s">
        <v>1676</v>
      </c>
      <c r="J5" s="3801"/>
      <c r="K5" s="559"/>
      <c r="L5" s="912"/>
      <c r="M5" s="913"/>
      <c r="N5" s="913"/>
      <c r="O5" s="913"/>
      <c r="P5" s="3787"/>
      <c r="Q5" s="3788"/>
      <c r="R5" s="3793"/>
      <c r="S5" s="3794"/>
      <c r="T5" s="3793"/>
      <c r="U5" s="3794"/>
      <c r="V5" s="3797"/>
      <c r="W5" s="3797"/>
      <c r="X5" s="1354"/>
      <c r="Y5" s="3793"/>
      <c r="Z5" s="3794"/>
      <c r="AA5" s="3779"/>
      <c r="AB5" s="3779"/>
      <c r="AC5" s="3779"/>
    </row>
    <row r="6" spans="1:29" ht="15.75" thickBot="1">
      <c r="A6" s="360"/>
      <c r="B6" s="361"/>
      <c r="C6" s="3798" t="s">
        <v>1677</v>
      </c>
      <c r="D6" s="3799"/>
      <c r="E6" s="3805" t="s">
        <v>1677</v>
      </c>
      <c r="F6" s="3806"/>
      <c r="G6" s="3798" t="s">
        <v>1677</v>
      </c>
      <c r="H6" s="3799"/>
      <c r="I6" s="3798" t="s">
        <v>1677</v>
      </c>
      <c r="J6" s="3799"/>
      <c r="K6" s="559" t="s">
        <v>1678</v>
      </c>
      <c r="L6" s="912"/>
      <c r="M6" s="913"/>
      <c r="N6" s="913"/>
      <c r="O6" s="913"/>
      <c r="P6" s="3789"/>
      <c r="Q6" s="3790"/>
      <c r="R6" s="3793"/>
      <c r="S6" s="3794"/>
      <c r="T6" s="3795"/>
      <c r="U6" s="3796"/>
      <c r="V6" s="3797"/>
      <c r="W6" s="3797"/>
      <c r="X6" s="1354"/>
      <c r="Y6" s="3795"/>
      <c r="Z6" s="3796"/>
      <c r="AA6" s="3780"/>
      <c r="AB6" s="3780"/>
      <c r="AC6" s="3780"/>
    </row>
    <row r="7" spans="1:29" s="108" customFormat="1" ht="15.75" thickBot="1">
      <c r="A7" s="362" t="s">
        <v>1679</v>
      </c>
      <c r="B7" s="363"/>
      <c r="C7" s="364">
        <f>'数据-取费表'!B2</f>
        <v>45909</v>
      </c>
      <c r="D7" s="365">
        <v>100</v>
      </c>
      <c r="E7" s="366"/>
      <c r="F7" s="367">
        <f>SUMIF(52:52,YEAR(E7)&amp;"-"&amp;MONTH(E7),53:53)</f>
        <v>0</v>
      </c>
      <c r="G7" s="366"/>
      <c r="H7" s="365">
        <f>SUMIF(52:52,YEAR(G7)&amp;"-"&amp;MONTH(G7),53:53)</f>
        <v>0</v>
      </c>
      <c r="I7" s="366"/>
      <c r="J7" s="365">
        <f>SUMIF(52:52,YEAR(I7)&amp;"-"&amp;MONTH(I7),53:53)</f>
        <v>0</v>
      </c>
      <c r="K7" s="560"/>
      <c r="L7" s="914"/>
      <c r="M7" s="915"/>
      <c r="N7" s="915"/>
      <c r="O7" s="915"/>
      <c r="P7" s="3802" t="s">
        <v>1680</v>
      </c>
      <c r="Q7" s="3804"/>
      <c r="R7" s="700" t="s">
        <v>14</v>
      </c>
      <c r="S7" s="701">
        <f t="shared" ref="S7:S15" si="0">F7</f>
        <v>0</v>
      </c>
      <c r="T7" s="700" t="s">
        <v>14</v>
      </c>
      <c r="U7" s="701">
        <f t="shared" ref="U7:U15" si="1">H7</f>
        <v>0</v>
      </c>
      <c r="V7" s="700" t="s">
        <v>14</v>
      </c>
      <c r="W7" s="701">
        <f t="shared" ref="W7:W15" si="2">J7</f>
        <v>0</v>
      </c>
      <c r="X7" s="702"/>
      <c r="Y7" s="3802" t="s">
        <v>1680</v>
      </c>
      <c r="Z7" s="38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02" t="s">
        <v>1683</v>
      </c>
      <c r="Q8" s="3803"/>
      <c r="R8" s="700" t="s">
        <v>14</v>
      </c>
      <c r="S8" s="701">
        <f t="shared" si="0"/>
        <v>100</v>
      </c>
      <c r="T8" s="700" t="s">
        <v>14</v>
      </c>
      <c r="U8" s="701">
        <f t="shared" si="1"/>
        <v>100</v>
      </c>
      <c r="V8" s="700" t="s">
        <v>14</v>
      </c>
      <c r="W8" s="701">
        <f t="shared" si="2"/>
        <v>100</v>
      </c>
      <c r="X8" s="702"/>
      <c r="Y8" s="3802" t="s">
        <v>1683</v>
      </c>
      <c r="Z8" s="38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6"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66"/>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6"/>
      <c r="Q11" s="1342" t="str">
        <f t="shared" si="6"/>
        <v>容积率</v>
      </c>
      <c r="R11" s="700" t="s">
        <v>14</v>
      </c>
      <c r="S11" s="701">
        <f t="shared" si="0"/>
        <v>100</v>
      </c>
      <c r="T11" s="700" t="s">
        <v>14</v>
      </c>
      <c r="U11" s="701">
        <f t="shared" si="1"/>
        <v>100</v>
      </c>
      <c r="V11" s="700" t="s">
        <v>14</v>
      </c>
      <c r="W11" s="701">
        <f t="shared" si="2"/>
        <v>100</v>
      </c>
      <c r="X11" s="702"/>
      <c r="Y11" s="364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66"/>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66"/>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66"/>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68" t="s">
        <v>1691</v>
      </c>
      <c r="Q15" s="1351" t="str">
        <f t="shared" si="6"/>
        <v>产业集聚程度</v>
      </c>
      <c r="R15" s="704" t="s">
        <v>14</v>
      </c>
      <c r="S15" s="705">
        <f t="shared" si="0"/>
        <v>100</v>
      </c>
      <c r="T15" s="704" t="s">
        <v>14</v>
      </c>
      <c r="U15" s="705">
        <f t="shared" si="1"/>
        <v>100</v>
      </c>
      <c r="V15" s="704" t="s">
        <v>14</v>
      </c>
      <c r="W15" s="705">
        <f t="shared" si="2"/>
        <v>100</v>
      </c>
      <c r="X15" s="1354"/>
      <c r="Y15" s="376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69"/>
      <c r="Q16" s="1351"/>
      <c r="R16" s="704"/>
      <c r="S16" s="705"/>
      <c r="T16" s="704"/>
      <c r="U16" s="705"/>
      <c r="V16" s="704"/>
      <c r="W16" s="705"/>
      <c r="X16" s="1354"/>
      <c r="Y16" s="376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69"/>
      <c r="Q17" s="1351" t="str">
        <f>B17</f>
        <v>交通便捷度</v>
      </c>
      <c r="R17" s="704" t="s">
        <v>14</v>
      </c>
      <c r="S17" s="705">
        <f>F17</f>
        <v>100</v>
      </c>
      <c r="T17" s="704" t="s">
        <v>14</v>
      </c>
      <c r="U17" s="705">
        <f>H17</f>
        <v>100</v>
      </c>
      <c r="V17" s="704" t="s">
        <v>14</v>
      </c>
      <c r="W17" s="705">
        <f>J17</f>
        <v>100</v>
      </c>
      <c r="X17" s="1354"/>
      <c r="Y17" s="37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69"/>
      <c r="Q18" s="1351"/>
      <c r="R18" s="704"/>
      <c r="S18" s="705"/>
      <c r="T18" s="704"/>
      <c r="U18" s="705"/>
      <c r="V18" s="704"/>
      <c r="W18" s="705"/>
      <c r="X18" s="1354"/>
      <c r="Y18" s="376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69"/>
      <c r="Q19" s="1351" t="str">
        <f>B19</f>
        <v>公共配套设施</v>
      </c>
      <c r="R19" s="704" t="s">
        <v>14</v>
      </c>
      <c r="S19" s="705">
        <f>F19</f>
        <v>100</v>
      </c>
      <c r="T19" s="704" t="s">
        <v>14</v>
      </c>
      <c r="U19" s="705">
        <f>H19</f>
        <v>100</v>
      </c>
      <c r="V19" s="704" t="s">
        <v>14</v>
      </c>
      <c r="W19" s="705">
        <f>J19</f>
        <v>100</v>
      </c>
      <c r="X19" s="1354"/>
      <c r="Y19" s="37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69"/>
      <c r="Q20" s="1351"/>
      <c r="R20" s="704"/>
      <c r="S20" s="705"/>
      <c r="T20" s="704"/>
      <c r="U20" s="705"/>
      <c r="V20" s="704"/>
      <c r="W20" s="705"/>
      <c r="X20" s="1354"/>
      <c r="Y20" s="376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69"/>
      <c r="Q21" s="1351" t="str">
        <f>B21</f>
        <v>基础设施水平</v>
      </c>
      <c r="R21" s="704" t="s">
        <v>14</v>
      </c>
      <c r="S21" s="705">
        <f>F21</f>
        <v>100</v>
      </c>
      <c r="T21" s="704" t="s">
        <v>14</v>
      </c>
      <c r="U21" s="705">
        <f>H21</f>
        <v>100</v>
      </c>
      <c r="V21" s="704" t="s">
        <v>14</v>
      </c>
      <c r="W21" s="705">
        <f>J21</f>
        <v>100</v>
      </c>
      <c r="X21" s="1354"/>
      <c r="Y21" s="37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69"/>
      <c r="Q22" s="1351"/>
      <c r="R22" s="704"/>
      <c r="S22" s="705"/>
      <c r="T22" s="704"/>
      <c r="U22" s="705"/>
      <c r="V22" s="704"/>
      <c r="W22" s="705"/>
      <c r="X22" s="1354"/>
      <c r="Y22" s="376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69"/>
      <c r="Q23" s="1351" t="str">
        <f>B23</f>
        <v>环境质量</v>
      </c>
      <c r="R23" s="704" t="s">
        <v>14</v>
      </c>
      <c r="S23" s="705">
        <f>F23</f>
        <v>100</v>
      </c>
      <c r="T23" s="704" t="s">
        <v>14</v>
      </c>
      <c r="U23" s="705">
        <f>H23</f>
        <v>100</v>
      </c>
      <c r="V23" s="704" t="s">
        <v>14</v>
      </c>
      <c r="W23" s="705">
        <f>J23</f>
        <v>100</v>
      </c>
      <c r="X23" s="1354"/>
      <c r="Y23" s="376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69"/>
      <c r="Q24" s="1351"/>
      <c r="R24" s="704"/>
      <c r="S24" s="705"/>
      <c r="T24" s="704"/>
      <c r="U24" s="705"/>
      <c r="V24" s="704"/>
      <c r="W24" s="705"/>
      <c r="X24" s="1354"/>
      <c r="Y24" s="376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69"/>
      <c r="Q25" s="1351">
        <f>B25</f>
        <v>111</v>
      </c>
      <c r="R25" s="704" t="s">
        <v>14</v>
      </c>
      <c r="S25" s="705">
        <f>F25</f>
        <v>100</v>
      </c>
      <c r="T25" s="704" t="s">
        <v>14</v>
      </c>
      <c r="U25" s="705">
        <f>H25</f>
        <v>100</v>
      </c>
      <c r="V25" s="704" t="s">
        <v>14</v>
      </c>
      <c r="W25" s="705">
        <f>J25</f>
        <v>100</v>
      </c>
      <c r="X25" s="1354"/>
      <c r="Y25" s="376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69"/>
      <c r="Q26" s="1351">
        <f t="shared" ref="Q26:Q40" si="11">B26</f>
        <v>111</v>
      </c>
      <c r="R26" s="704" t="s">
        <v>14</v>
      </c>
      <c r="S26" s="705">
        <f>F26</f>
        <v>100</v>
      </c>
      <c r="T26" s="704" t="s">
        <v>14</v>
      </c>
      <c r="U26" s="705">
        <f>H26</f>
        <v>100</v>
      </c>
      <c r="V26" s="704" t="s">
        <v>14</v>
      </c>
      <c r="W26" s="705">
        <f>J26</f>
        <v>100</v>
      </c>
      <c r="X26" s="1354"/>
      <c r="Y26" s="376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69"/>
      <c r="Q27" s="1342">
        <f t="shared" si="11"/>
        <v>111</v>
      </c>
      <c r="R27" s="700" t="s">
        <v>14</v>
      </c>
      <c r="S27" s="701">
        <f>F27</f>
        <v>100</v>
      </c>
      <c r="T27" s="700" t="s">
        <v>14</v>
      </c>
      <c r="U27" s="701">
        <f>H27</f>
        <v>100</v>
      </c>
      <c r="V27" s="700" t="s">
        <v>14</v>
      </c>
      <c r="W27" s="701">
        <f>J27</f>
        <v>100</v>
      </c>
      <c r="X27" s="702"/>
      <c r="Y27" s="376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69"/>
      <c r="Q28" s="1351">
        <f t="shared" si="11"/>
        <v>111</v>
      </c>
      <c r="R28" s="704" t="s">
        <v>14</v>
      </c>
      <c r="S28" s="705">
        <f t="shared" ref="S28:S40" si="12">F28</f>
        <v>100</v>
      </c>
      <c r="T28" s="704" t="s">
        <v>14</v>
      </c>
      <c r="U28" s="705">
        <f t="shared" ref="U28:U40" si="13">H28</f>
        <v>100</v>
      </c>
      <c r="V28" s="704" t="s">
        <v>14</v>
      </c>
      <c r="W28" s="705">
        <f t="shared" ref="W28:W40" si="14">J28</f>
        <v>100</v>
      </c>
      <c r="X28" s="1354"/>
      <c r="Y28" s="376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6" t="s">
        <v>1696</v>
      </c>
      <c r="Q29" s="1351" t="str">
        <f t="shared" si="11"/>
        <v>建筑类型</v>
      </c>
      <c r="R29" s="704" t="s">
        <v>14</v>
      </c>
      <c r="S29" s="705">
        <f t="shared" si="12"/>
        <v>100</v>
      </c>
      <c r="T29" s="704" t="s">
        <v>14</v>
      </c>
      <c r="U29" s="705">
        <f t="shared" si="13"/>
        <v>100</v>
      </c>
      <c r="V29" s="704" t="s">
        <v>14</v>
      </c>
      <c r="W29" s="705">
        <f t="shared" si="14"/>
        <v>100</v>
      </c>
      <c r="X29" s="1354"/>
      <c r="Y29" s="377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3"/>
      <c r="Q30" s="706" t="str">
        <f t="shared" si="11"/>
        <v>项目建筑规模</v>
      </c>
      <c r="R30" s="707" t="s">
        <v>14</v>
      </c>
      <c r="S30" s="708" t="e">
        <f t="shared" si="12"/>
        <v>#N/A</v>
      </c>
      <c r="T30" s="707" t="s">
        <v>14</v>
      </c>
      <c r="U30" s="708" t="e">
        <f t="shared" si="13"/>
        <v>#N/A</v>
      </c>
      <c r="V30" s="707" t="s">
        <v>14</v>
      </c>
      <c r="W30" s="708" t="e">
        <f t="shared" si="14"/>
        <v>#N/A</v>
      </c>
      <c r="X30" s="709"/>
      <c r="Y30" s="377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3"/>
      <c r="Q31" s="1351" t="str">
        <f t="shared" si="11"/>
        <v>建筑结构</v>
      </c>
      <c r="R31" s="704" t="s">
        <v>14</v>
      </c>
      <c r="S31" s="705">
        <f t="shared" si="12"/>
        <v>100</v>
      </c>
      <c r="T31" s="704" t="s">
        <v>14</v>
      </c>
      <c r="U31" s="705">
        <f t="shared" si="13"/>
        <v>100</v>
      </c>
      <c r="V31" s="704" t="s">
        <v>14</v>
      </c>
      <c r="W31" s="705">
        <f t="shared" si="14"/>
        <v>100</v>
      </c>
      <c r="X31" s="1354"/>
      <c r="Y31" s="377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3"/>
      <c r="Q32" s="1351" t="str">
        <f t="shared" si="11"/>
        <v>公共部分装修</v>
      </c>
      <c r="R32" s="704" t="s">
        <v>14</v>
      </c>
      <c r="S32" s="705">
        <f t="shared" si="12"/>
        <v>100</v>
      </c>
      <c r="T32" s="704" t="s">
        <v>14</v>
      </c>
      <c r="U32" s="705">
        <f t="shared" si="13"/>
        <v>100</v>
      </c>
      <c r="V32" s="704" t="s">
        <v>14</v>
      </c>
      <c r="W32" s="705">
        <f t="shared" si="14"/>
        <v>100</v>
      </c>
      <c r="X32" s="1354"/>
      <c r="Y32" s="377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3"/>
      <c r="Q33" s="1351" t="str">
        <f t="shared" si="11"/>
        <v>成新度</v>
      </c>
      <c r="R33" s="704" t="s">
        <v>14</v>
      </c>
      <c r="S33" s="705" t="e">
        <f t="shared" si="12"/>
        <v>#N/A</v>
      </c>
      <c r="T33" s="704" t="s">
        <v>14</v>
      </c>
      <c r="U33" s="705" t="e">
        <f t="shared" si="13"/>
        <v>#N/A</v>
      </c>
      <c r="V33" s="704" t="s">
        <v>14</v>
      </c>
      <c r="W33" s="705" t="e">
        <f t="shared" si="14"/>
        <v>#N/A</v>
      </c>
      <c r="X33" s="1354"/>
      <c r="Y33" s="377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3"/>
      <c r="Q34" s="1342" t="str">
        <f t="shared" si="11"/>
        <v>物业管理</v>
      </c>
      <c r="R34" s="700" t="s">
        <v>14</v>
      </c>
      <c r="S34" s="701">
        <f t="shared" si="12"/>
        <v>100</v>
      </c>
      <c r="T34" s="700" t="s">
        <v>14</v>
      </c>
      <c r="U34" s="701">
        <f t="shared" si="13"/>
        <v>100</v>
      </c>
      <c r="V34" s="700" t="s">
        <v>14</v>
      </c>
      <c r="W34" s="701">
        <f t="shared" si="14"/>
        <v>100</v>
      </c>
      <c r="X34" s="702"/>
      <c r="Y34" s="377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3" t="s">
        <v>1696</v>
      </c>
      <c r="Q35" s="1351" t="str">
        <f t="shared" si="11"/>
        <v>市政基础设施</v>
      </c>
      <c r="R35" s="704" t="s">
        <v>14</v>
      </c>
      <c r="S35" s="705">
        <f t="shared" si="12"/>
        <v>100</v>
      </c>
      <c r="T35" s="704" t="s">
        <v>14</v>
      </c>
      <c r="U35" s="705">
        <f t="shared" si="13"/>
        <v>100</v>
      </c>
      <c r="V35" s="704" t="s">
        <v>14</v>
      </c>
      <c r="W35" s="705">
        <f t="shared" si="14"/>
        <v>100</v>
      </c>
      <c r="X35" s="1354"/>
      <c r="Y35" s="377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3"/>
      <c r="Q36" s="1351" t="str">
        <f t="shared" si="11"/>
        <v>内部装修</v>
      </c>
      <c r="R36" s="704" t="s">
        <v>14</v>
      </c>
      <c r="S36" s="705">
        <f t="shared" si="12"/>
        <v>100</v>
      </c>
      <c r="T36" s="704" t="s">
        <v>14</v>
      </c>
      <c r="U36" s="705">
        <f t="shared" si="13"/>
        <v>100</v>
      </c>
      <c r="V36" s="704" t="s">
        <v>14</v>
      </c>
      <c r="W36" s="705">
        <f t="shared" si="14"/>
        <v>100</v>
      </c>
      <c r="X36" s="1354"/>
      <c r="Y36" s="377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3"/>
      <c r="Q37" s="1351" t="str">
        <f t="shared" si="11"/>
        <v>内部装修状况</v>
      </c>
      <c r="R37" s="704" t="s">
        <v>14</v>
      </c>
      <c r="S37" s="705">
        <f t="shared" si="12"/>
        <v>100</v>
      </c>
      <c r="T37" s="704" t="s">
        <v>14</v>
      </c>
      <c r="U37" s="705">
        <f t="shared" si="13"/>
        <v>100</v>
      </c>
      <c r="V37" s="704" t="s">
        <v>14</v>
      </c>
      <c r="W37" s="705">
        <f t="shared" si="14"/>
        <v>100</v>
      </c>
      <c r="X37" s="1354"/>
      <c r="Y37" s="377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3"/>
      <c r="Q38" s="706">
        <f t="shared" si="11"/>
        <v>111</v>
      </c>
      <c r="R38" s="707" t="s">
        <v>14</v>
      </c>
      <c r="S38" s="708">
        <f t="shared" si="12"/>
        <v>100</v>
      </c>
      <c r="T38" s="707" t="s">
        <v>14</v>
      </c>
      <c r="U38" s="708">
        <f t="shared" si="13"/>
        <v>100</v>
      </c>
      <c r="V38" s="707" t="s">
        <v>14</v>
      </c>
      <c r="W38" s="708">
        <f t="shared" si="14"/>
        <v>100</v>
      </c>
      <c r="X38" s="709"/>
      <c r="Y38" s="377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3"/>
      <c r="Q39" s="1351">
        <f t="shared" si="11"/>
        <v>111</v>
      </c>
      <c r="R39" s="704" t="s">
        <v>14</v>
      </c>
      <c r="S39" s="705">
        <f t="shared" si="12"/>
        <v>100</v>
      </c>
      <c r="T39" s="704" t="s">
        <v>14</v>
      </c>
      <c r="U39" s="705">
        <f t="shared" si="13"/>
        <v>100</v>
      </c>
      <c r="V39" s="704" t="s">
        <v>14</v>
      </c>
      <c r="W39" s="705">
        <f t="shared" si="14"/>
        <v>100</v>
      </c>
      <c r="X39" s="1354"/>
      <c r="Y39" s="377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4"/>
      <c r="Q40" s="1351">
        <f t="shared" si="11"/>
        <v>111</v>
      </c>
      <c r="R40" s="704" t="s">
        <v>14</v>
      </c>
      <c r="S40" s="705">
        <f t="shared" si="12"/>
        <v>100</v>
      </c>
      <c r="T40" s="704" t="s">
        <v>14</v>
      </c>
      <c r="U40" s="705">
        <f t="shared" si="13"/>
        <v>100</v>
      </c>
      <c r="V40" s="704" t="s">
        <v>14</v>
      </c>
      <c r="W40" s="705">
        <f t="shared" si="14"/>
        <v>100</v>
      </c>
      <c r="X40" s="1354"/>
      <c r="Y40" s="377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66" t="str">
        <f>A41</f>
        <v>成交单价（元/平方米）</v>
      </c>
      <c r="Q41" s="3766"/>
      <c r="R41" s="3767">
        <f>E41</f>
        <v>0</v>
      </c>
      <c r="S41" s="3767"/>
      <c r="T41" s="3767">
        <f>G41</f>
        <v>0</v>
      </c>
      <c r="U41" s="3767"/>
      <c r="V41" s="3767">
        <f>I41</f>
        <v>0</v>
      </c>
      <c r="W41" s="376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受贵公司委托，我公司对北京市西城区金融大街6号楼2层201、5层501、6层601共3套办公用房房地产市场价值进行了预评估。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估价对象为北京市西城区金融大街6号楼2层201、5层501、6层601共3套办公用房房地产，为所有。根据《国有土地使用证》[]，估价对象（分摊）出让国有建设用地使用权面积为0平方米，建筑面积为6305.16平方米。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785" t="s">
        <v>1775</v>
      </c>
      <c r="Q4" s="3786"/>
      <c r="R4" s="3791" t="s">
        <v>1771</v>
      </c>
      <c r="S4" s="3792"/>
      <c r="T4" s="3791" t="s">
        <v>1772</v>
      </c>
      <c r="U4" s="3792"/>
      <c r="V4" s="3797" t="s">
        <v>1773</v>
      </c>
      <c r="W4" s="3797"/>
      <c r="X4" s="1354"/>
      <c r="Y4" s="3791" t="s">
        <v>1775</v>
      </c>
      <c r="Z4" s="3792"/>
      <c r="AA4" s="3778" t="s">
        <v>1771</v>
      </c>
      <c r="AB4" s="3779" t="s">
        <v>1772</v>
      </c>
      <c r="AC4" s="3778" t="s">
        <v>1773</v>
      </c>
    </row>
    <row r="5" spans="1:29" ht="15">
      <c r="A5" s="358"/>
      <c r="B5" s="359"/>
      <c r="C5" s="3800" t="s">
        <v>1673</v>
      </c>
      <c r="D5" s="3801"/>
      <c r="E5" s="3807" t="s">
        <v>1674</v>
      </c>
      <c r="F5" s="3808"/>
      <c r="G5" s="3800" t="s">
        <v>1675</v>
      </c>
      <c r="H5" s="3801"/>
      <c r="I5" s="3800" t="s">
        <v>1676</v>
      </c>
      <c r="J5" s="3801"/>
      <c r="K5" s="559"/>
      <c r="L5" s="2714"/>
      <c r="M5" s="2715"/>
      <c r="N5" s="2715"/>
      <c r="O5" s="2715"/>
      <c r="P5" s="3787"/>
      <c r="Q5" s="3788"/>
      <c r="R5" s="3793"/>
      <c r="S5" s="3794"/>
      <c r="T5" s="3793"/>
      <c r="U5" s="3794"/>
      <c r="V5" s="3797"/>
      <c r="W5" s="3797"/>
      <c r="X5" s="1354"/>
      <c r="Y5" s="3793"/>
      <c r="Z5" s="3794"/>
      <c r="AA5" s="3779"/>
      <c r="AB5" s="3779"/>
      <c r="AC5" s="3779"/>
    </row>
    <row r="6" spans="1:29" ht="15.75" thickBot="1">
      <c r="A6" s="360"/>
      <c r="B6" s="361"/>
      <c r="C6" s="3798" t="s">
        <v>1677</v>
      </c>
      <c r="D6" s="3799"/>
      <c r="E6" s="3805" t="s">
        <v>1677</v>
      </c>
      <c r="F6" s="3806"/>
      <c r="G6" s="3798" t="s">
        <v>1677</v>
      </c>
      <c r="H6" s="3799"/>
      <c r="I6" s="3798" t="s">
        <v>1677</v>
      </c>
      <c r="J6" s="3799"/>
      <c r="K6" s="559" t="s">
        <v>1678</v>
      </c>
      <c r="L6" s="2714"/>
      <c r="M6" s="2715"/>
      <c r="N6" s="2715"/>
      <c r="O6" s="2715"/>
      <c r="P6" s="3789"/>
      <c r="Q6" s="3790"/>
      <c r="R6" s="3793"/>
      <c r="S6" s="3794"/>
      <c r="T6" s="3795"/>
      <c r="U6" s="3796"/>
      <c r="V6" s="3797"/>
      <c r="W6" s="3797"/>
      <c r="X6" s="1354"/>
      <c r="Y6" s="3795"/>
      <c r="Z6" s="3796"/>
      <c r="AA6" s="3780"/>
      <c r="AB6" s="3780"/>
      <c r="AC6" s="3780"/>
    </row>
    <row r="7" spans="1:29" s="108" customFormat="1" ht="15.75" thickBot="1">
      <c r="A7" s="362" t="s">
        <v>1679</v>
      </c>
      <c r="B7" s="363"/>
      <c r="C7" s="364">
        <f>'数据-取费表'!B2</f>
        <v>45909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02" t="s">
        <v>1680</v>
      </c>
      <c r="Q7" s="3804"/>
      <c r="R7" s="700" t="s">
        <v>14</v>
      </c>
      <c r="S7" s="701">
        <f t="shared" ref="S7:S14" si="0">F7</f>
        <v>0</v>
      </c>
      <c r="T7" s="700" t="s">
        <v>14</v>
      </c>
      <c r="U7" s="701">
        <f t="shared" ref="U7:U14" si="1">H7</f>
        <v>0</v>
      </c>
      <c r="V7" s="700" t="s">
        <v>14</v>
      </c>
      <c r="W7" s="701">
        <f t="shared" ref="W7:W14" si="2">J7</f>
        <v>0</v>
      </c>
      <c r="X7" s="702"/>
      <c r="Y7" s="3802" t="s">
        <v>1680</v>
      </c>
      <c r="Z7" s="38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02" t="s">
        <v>1683</v>
      </c>
      <c r="Q8" s="3803"/>
      <c r="R8" s="700" t="s">
        <v>14</v>
      </c>
      <c r="S8" s="701">
        <f t="shared" si="0"/>
        <v>100</v>
      </c>
      <c r="T8" s="700" t="s">
        <v>14</v>
      </c>
      <c r="U8" s="701">
        <f t="shared" si="1"/>
        <v>100</v>
      </c>
      <c r="V8" s="700" t="s">
        <v>14</v>
      </c>
      <c r="W8" s="701">
        <f t="shared" si="2"/>
        <v>100</v>
      </c>
      <c r="X8" s="702"/>
      <c r="Y8" s="3802" t="s">
        <v>1683</v>
      </c>
      <c r="Z8" s="380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6" t="s">
        <v>1686</v>
      </c>
      <c r="Q9" s="1342" t="str">
        <f t="shared" ref="Q9:Q14" si="6">B9</f>
        <v>用途</v>
      </c>
      <c r="R9" s="700" t="s">
        <v>14</v>
      </c>
      <c r="S9" s="701">
        <f t="shared" si="0"/>
        <v>100</v>
      </c>
      <c r="T9" s="700" t="s">
        <v>14</v>
      </c>
      <c r="U9" s="701">
        <f t="shared" si="1"/>
        <v>100</v>
      </c>
      <c r="V9" s="700" t="s">
        <v>14</v>
      </c>
      <c r="W9" s="701">
        <f t="shared" si="2"/>
        <v>100</v>
      </c>
      <c r="X9" s="702"/>
      <c r="Y9" s="3641"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6"/>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6"/>
      <c r="Q11" s="1342">
        <f t="shared" si="6"/>
        <v>111</v>
      </c>
      <c r="R11" s="700" t="s">
        <v>14</v>
      </c>
      <c r="S11" s="701">
        <f t="shared" si="0"/>
        <v>100</v>
      </c>
      <c r="T11" s="700" t="s">
        <v>14</v>
      </c>
      <c r="U11" s="701">
        <f t="shared" si="1"/>
        <v>100</v>
      </c>
      <c r="V11" s="700" t="s">
        <v>14</v>
      </c>
      <c r="W11" s="701">
        <f t="shared" si="2"/>
        <v>100</v>
      </c>
      <c r="X11" s="702"/>
      <c r="Y11" s="364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6"/>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6"/>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8" t="s">
        <v>1691</v>
      </c>
      <c r="Q14" s="1351" t="str">
        <f t="shared" si="6"/>
        <v>交通便捷度</v>
      </c>
      <c r="R14" s="704" t="s">
        <v>14</v>
      </c>
      <c r="S14" s="705">
        <f t="shared" si="0"/>
        <v>100</v>
      </c>
      <c r="T14" s="704" t="s">
        <v>14</v>
      </c>
      <c r="U14" s="705">
        <f t="shared" si="1"/>
        <v>100</v>
      </c>
      <c r="V14" s="704" t="s">
        <v>14</v>
      </c>
      <c r="W14" s="705">
        <f t="shared" si="2"/>
        <v>100</v>
      </c>
      <c r="X14" s="1354"/>
      <c r="Y14" s="376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69"/>
      <c r="Q15" s="1351"/>
      <c r="R15" s="704"/>
      <c r="S15" s="705"/>
      <c r="T15" s="704"/>
      <c r="U15" s="705"/>
      <c r="V15" s="704"/>
      <c r="W15" s="705"/>
      <c r="X15" s="1354"/>
      <c r="Y15" s="376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69"/>
      <c r="Q16" s="1351" t="str">
        <f>B16</f>
        <v>公共配套设施</v>
      </c>
      <c r="R16" s="704" t="s">
        <v>14</v>
      </c>
      <c r="S16" s="705">
        <f>F16</f>
        <v>100</v>
      </c>
      <c r="T16" s="704" t="s">
        <v>14</v>
      </c>
      <c r="U16" s="705">
        <f>H16</f>
        <v>100</v>
      </c>
      <c r="V16" s="704" t="s">
        <v>14</v>
      </c>
      <c r="W16" s="705">
        <f>J16</f>
        <v>100</v>
      </c>
      <c r="X16" s="1354"/>
      <c r="Y16" s="376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69"/>
      <c r="Q17" s="1351"/>
      <c r="R17" s="704"/>
      <c r="S17" s="705"/>
      <c r="T17" s="704"/>
      <c r="U17" s="705"/>
      <c r="V17" s="704"/>
      <c r="W17" s="705"/>
      <c r="X17" s="1354"/>
      <c r="Y17" s="376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69"/>
      <c r="Q18" s="1351" t="str">
        <f>B18</f>
        <v>基础设施水平</v>
      </c>
      <c r="R18" s="704" t="s">
        <v>14</v>
      </c>
      <c r="S18" s="705">
        <f>F18</f>
        <v>100</v>
      </c>
      <c r="T18" s="704" t="s">
        <v>14</v>
      </c>
      <c r="U18" s="705">
        <f>H18</f>
        <v>100</v>
      </c>
      <c r="V18" s="704" t="s">
        <v>14</v>
      </c>
      <c r="W18" s="705">
        <f>J18</f>
        <v>100</v>
      </c>
      <c r="X18" s="1354"/>
      <c r="Y18" s="376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69"/>
      <c r="Q19" s="1351"/>
      <c r="R19" s="704"/>
      <c r="S19" s="705"/>
      <c r="T19" s="704"/>
      <c r="U19" s="705"/>
      <c r="V19" s="704"/>
      <c r="W19" s="705"/>
      <c r="X19" s="1354"/>
      <c r="Y19" s="376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69"/>
      <c r="Q20" s="1351" t="str">
        <f>B20</f>
        <v>自然及人文环境</v>
      </c>
      <c r="R20" s="704" t="s">
        <v>14</v>
      </c>
      <c r="S20" s="705">
        <f>F20</f>
        <v>100</v>
      </c>
      <c r="T20" s="704" t="s">
        <v>14</v>
      </c>
      <c r="U20" s="705">
        <f>H20</f>
        <v>100</v>
      </c>
      <c r="V20" s="704" t="s">
        <v>14</v>
      </c>
      <c r="W20" s="705">
        <f>J20</f>
        <v>100</v>
      </c>
      <c r="X20" s="1354"/>
      <c r="Y20" s="376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69"/>
      <c r="Q21" s="1351"/>
      <c r="R21" s="704"/>
      <c r="S21" s="705"/>
      <c r="T21" s="704"/>
      <c r="U21" s="705"/>
      <c r="V21" s="704"/>
      <c r="W21" s="705"/>
      <c r="X21" s="1354"/>
      <c r="Y21" s="376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69"/>
      <c r="Q22" s="1351" t="str">
        <f>B22</f>
        <v>楼层</v>
      </c>
      <c r="R22" s="704" t="s">
        <v>14</v>
      </c>
      <c r="S22" s="705">
        <f>F22</f>
        <v>100</v>
      </c>
      <c r="T22" s="704" t="s">
        <v>14</v>
      </c>
      <c r="U22" s="705">
        <f>H22</f>
        <v>100</v>
      </c>
      <c r="V22" s="704" t="s">
        <v>14</v>
      </c>
      <c r="W22" s="705">
        <f>J22</f>
        <v>100</v>
      </c>
      <c r="X22" s="1354"/>
      <c r="Y22" s="376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69"/>
      <c r="Q23" s="1351">
        <f>B23</f>
        <v>111</v>
      </c>
      <c r="R23" s="704" t="s">
        <v>14</v>
      </c>
      <c r="S23" s="705">
        <f>F23</f>
        <v>100</v>
      </c>
      <c r="T23" s="704" t="s">
        <v>14</v>
      </c>
      <c r="U23" s="705">
        <f>H23</f>
        <v>100</v>
      </c>
      <c r="V23" s="704" t="s">
        <v>14</v>
      </c>
      <c r="W23" s="705">
        <f>J23</f>
        <v>100</v>
      </c>
      <c r="X23" s="1354"/>
      <c r="Y23" s="376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69"/>
      <c r="Q24" s="1351">
        <f t="shared" ref="Q24:Q36" si="11">B24</f>
        <v>111</v>
      </c>
      <c r="R24" s="704" t="s">
        <v>14</v>
      </c>
      <c r="S24" s="705">
        <f>F24</f>
        <v>100</v>
      </c>
      <c r="T24" s="704" t="s">
        <v>14</v>
      </c>
      <c r="U24" s="705">
        <f>H24</f>
        <v>100</v>
      </c>
      <c r="V24" s="704" t="s">
        <v>14</v>
      </c>
      <c r="W24" s="705">
        <f>J24</f>
        <v>100</v>
      </c>
      <c r="X24" s="1354"/>
      <c r="Y24" s="376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69"/>
      <c r="Q25" s="1342">
        <f t="shared" si="11"/>
        <v>111</v>
      </c>
      <c r="R25" s="700" t="s">
        <v>14</v>
      </c>
      <c r="S25" s="701">
        <f>F25</f>
        <v>100</v>
      </c>
      <c r="T25" s="700" t="s">
        <v>14</v>
      </c>
      <c r="U25" s="701">
        <f>H25</f>
        <v>100</v>
      </c>
      <c r="V25" s="700" t="s">
        <v>14</v>
      </c>
      <c r="W25" s="701">
        <f>J25</f>
        <v>100</v>
      </c>
      <c r="X25" s="702"/>
      <c r="Y25" s="376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2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7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73"/>
      <c r="Q27" s="706" t="str">
        <f t="shared" si="11"/>
        <v>项目停车位配比</v>
      </c>
      <c r="R27" s="707" t="s">
        <v>14</v>
      </c>
      <c r="S27" s="708">
        <f t="shared" si="12"/>
        <v>100</v>
      </c>
      <c r="T27" s="707" t="s">
        <v>14</v>
      </c>
      <c r="U27" s="708">
        <f t="shared" si="13"/>
        <v>100</v>
      </c>
      <c r="V27" s="707" t="s">
        <v>14</v>
      </c>
      <c r="W27" s="708">
        <f t="shared" si="14"/>
        <v>100</v>
      </c>
      <c r="X27" s="709"/>
      <c r="Y27" s="3773"/>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73"/>
      <c r="Q28" s="1351" t="str">
        <f t="shared" si="11"/>
        <v>公共部分装修</v>
      </c>
      <c r="R28" s="704" t="s">
        <v>14</v>
      </c>
      <c r="S28" s="705">
        <f t="shared" si="12"/>
        <v>100</v>
      </c>
      <c r="T28" s="704" t="s">
        <v>14</v>
      </c>
      <c r="U28" s="705">
        <f t="shared" si="13"/>
        <v>100</v>
      </c>
      <c r="V28" s="704" t="s">
        <v>14</v>
      </c>
      <c r="W28" s="705">
        <f t="shared" si="14"/>
        <v>100</v>
      </c>
      <c r="X28" s="1354"/>
      <c r="Y28" s="377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73"/>
      <c r="Q29" s="1351" t="str">
        <f t="shared" si="11"/>
        <v>成新率</v>
      </c>
      <c r="R29" s="704" t="s">
        <v>14</v>
      </c>
      <c r="S29" s="705" t="e">
        <f t="shared" si="12"/>
        <v>#N/A</v>
      </c>
      <c r="T29" s="704" t="s">
        <v>14</v>
      </c>
      <c r="U29" s="705" t="e">
        <f t="shared" si="13"/>
        <v>#N/A</v>
      </c>
      <c r="V29" s="704" t="s">
        <v>14</v>
      </c>
      <c r="W29" s="705" t="e">
        <f t="shared" si="14"/>
        <v>#N/A</v>
      </c>
      <c r="X29" s="1354"/>
      <c r="Y29" s="377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73"/>
      <c r="Q30" s="1351" t="str">
        <f t="shared" si="11"/>
        <v>物业等级</v>
      </c>
      <c r="R30" s="704" t="s">
        <v>14</v>
      </c>
      <c r="S30" s="705">
        <f t="shared" si="12"/>
        <v>100</v>
      </c>
      <c r="T30" s="704" t="s">
        <v>14</v>
      </c>
      <c r="U30" s="705">
        <f t="shared" si="13"/>
        <v>100</v>
      </c>
      <c r="V30" s="704" t="s">
        <v>14</v>
      </c>
      <c r="W30" s="705">
        <f t="shared" si="14"/>
        <v>100</v>
      </c>
      <c r="X30" s="1354"/>
      <c r="Y30" s="377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73"/>
      <c r="Q31" s="1342" t="str">
        <f t="shared" si="11"/>
        <v>停车位面积</v>
      </c>
      <c r="R31" s="700" t="s">
        <v>14</v>
      </c>
      <c r="S31" s="701" t="e">
        <f t="shared" si="12"/>
        <v>#N/A</v>
      </c>
      <c r="T31" s="700" t="s">
        <v>14</v>
      </c>
      <c r="U31" s="701" t="e">
        <f t="shared" si="13"/>
        <v>#N/A</v>
      </c>
      <c r="V31" s="700" t="s">
        <v>14</v>
      </c>
      <c r="W31" s="701" t="e">
        <f t="shared" si="14"/>
        <v>#N/A</v>
      </c>
      <c r="X31" s="702"/>
      <c r="Y31" s="377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73" t="s">
        <v>1696</v>
      </c>
      <c r="Q32" s="1351" t="str">
        <f t="shared" si="11"/>
        <v>车位类型</v>
      </c>
      <c r="R32" s="704" t="s">
        <v>14</v>
      </c>
      <c r="S32" s="705">
        <f t="shared" si="12"/>
        <v>100</v>
      </c>
      <c r="T32" s="704" t="s">
        <v>14</v>
      </c>
      <c r="U32" s="705">
        <f t="shared" si="13"/>
        <v>100</v>
      </c>
      <c r="V32" s="704" t="s">
        <v>14</v>
      </c>
      <c r="W32" s="705">
        <f t="shared" si="14"/>
        <v>100</v>
      </c>
      <c r="X32" s="1354"/>
      <c r="Y32" s="377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73"/>
      <c r="Q33" s="1351" t="str">
        <f t="shared" si="11"/>
        <v>是否直接入户</v>
      </c>
      <c r="R33" s="704" t="s">
        <v>14</v>
      </c>
      <c r="S33" s="705">
        <f t="shared" si="12"/>
        <v>100</v>
      </c>
      <c r="T33" s="704" t="s">
        <v>14</v>
      </c>
      <c r="U33" s="705">
        <f t="shared" si="13"/>
        <v>100</v>
      </c>
      <c r="V33" s="704" t="s">
        <v>14</v>
      </c>
      <c r="W33" s="705">
        <f t="shared" si="14"/>
        <v>100</v>
      </c>
      <c r="X33" s="1354"/>
      <c r="Y33" s="377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73"/>
      <c r="Q34" s="1351">
        <f t="shared" si="11"/>
        <v>111</v>
      </c>
      <c r="R34" s="704" t="s">
        <v>14</v>
      </c>
      <c r="S34" s="705">
        <f t="shared" si="12"/>
        <v>100</v>
      </c>
      <c r="T34" s="704" t="s">
        <v>14</v>
      </c>
      <c r="U34" s="705">
        <f t="shared" si="13"/>
        <v>100</v>
      </c>
      <c r="V34" s="704" t="s">
        <v>14</v>
      </c>
      <c r="W34" s="705">
        <f t="shared" si="14"/>
        <v>100</v>
      </c>
      <c r="X34" s="1354"/>
      <c r="Y34" s="377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73"/>
      <c r="Q35" s="706">
        <f t="shared" si="11"/>
        <v>111</v>
      </c>
      <c r="R35" s="707" t="s">
        <v>14</v>
      </c>
      <c r="S35" s="708">
        <f t="shared" si="12"/>
        <v>100</v>
      </c>
      <c r="T35" s="707" t="s">
        <v>14</v>
      </c>
      <c r="U35" s="708">
        <f t="shared" si="13"/>
        <v>100</v>
      </c>
      <c r="V35" s="707" t="s">
        <v>14</v>
      </c>
      <c r="W35" s="708">
        <f t="shared" si="14"/>
        <v>100</v>
      </c>
      <c r="X35" s="709"/>
      <c r="Y35" s="3773"/>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73"/>
      <c r="Q36" s="1351">
        <f t="shared" si="11"/>
        <v>111</v>
      </c>
      <c r="R36" s="704" t="s">
        <v>14</v>
      </c>
      <c r="S36" s="705">
        <f t="shared" si="12"/>
        <v>100</v>
      </c>
      <c r="T36" s="704" t="s">
        <v>14</v>
      </c>
      <c r="U36" s="705">
        <f t="shared" si="13"/>
        <v>100</v>
      </c>
      <c r="V36" s="704" t="s">
        <v>14</v>
      </c>
      <c r="W36" s="705">
        <f t="shared" si="14"/>
        <v>100</v>
      </c>
      <c r="X36" s="1354"/>
      <c r="Y36" s="3773"/>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3"/>
      <c r="M37" s="2724"/>
      <c r="N37" s="2715"/>
      <c r="O37" s="2724"/>
      <c r="P37" s="3766" t="str">
        <f>A37</f>
        <v>成交单价</v>
      </c>
      <c r="Q37" s="3766"/>
      <c r="R37" s="3767">
        <f>E37</f>
        <v>0</v>
      </c>
      <c r="S37" s="3767"/>
      <c r="T37" s="3767">
        <f>G37</f>
        <v>0</v>
      </c>
      <c r="U37" s="3767"/>
      <c r="V37" s="3767">
        <f>I37</f>
        <v>0</v>
      </c>
      <c r="W37" s="376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66" t="str">
        <f>A38</f>
        <v>比较价值（元/平方米）</v>
      </c>
      <c r="Q38" s="3766"/>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3" t="str">
        <f>A39</f>
        <v>估价对象XX用房的比较价值（楼面单价，元/平方米）</v>
      </c>
      <c r="Q39" s="3764"/>
      <c r="R39" s="3827" t="e">
        <f>IF(F1="售价",ROUND(IF(D38="简单平均",AVERAGE(R38:W38),R38*F38+T38*H38+V38*J38),0),ROUND(IF(D38="简单平均",AVERAGE(R38:V38),R38*F38+T38*H38+V38*J38),1))</f>
        <v>#DIV/0!</v>
      </c>
      <c r="S39" s="3827"/>
      <c r="T39" s="3827"/>
      <c r="U39" s="3827"/>
      <c r="V39" s="3827"/>
      <c r="W39" s="382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785" t="s">
        <v>1775</v>
      </c>
      <c r="Q4" s="3786"/>
      <c r="R4" s="3791" t="s">
        <v>1771</v>
      </c>
      <c r="S4" s="3792"/>
      <c r="T4" s="3791" t="s">
        <v>1772</v>
      </c>
      <c r="U4" s="3792"/>
      <c r="V4" s="3797" t="s">
        <v>1773</v>
      </c>
      <c r="W4" s="3797"/>
      <c r="X4" s="1354"/>
      <c r="Y4" s="3791" t="s">
        <v>1775</v>
      </c>
      <c r="Z4" s="3792"/>
      <c r="AA4" s="3778" t="s">
        <v>1771</v>
      </c>
      <c r="AB4" s="3779" t="s">
        <v>1772</v>
      </c>
      <c r="AC4" s="3778" t="s">
        <v>1773</v>
      </c>
    </row>
    <row r="5" spans="1:29" ht="15">
      <c r="A5" s="358"/>
      <c r="B5" s="359"/>
      <c r="C5" s="3800" t="s">
        <v>1673</v>
      </c>
      <c r="D5" s="3801"/>
      <c r="E5" s="3807" t="s">
        <v>1674</v>
      </c>
      <c r="F5" s="3808"/>
      <c r="G5" s="3800" t="s">
        <v>1675</v>
      </c>
      <c r="H5" s="3801"/>
      <c r="I5" s="3800" t="s">
        <v>1676</v>
      </c>
      <c r="J5" s="3801"/>
      <c r="K5" s="559"/>
      <c r="L5" s="2714"/>
      <c r="M5" s="2715"/>
      <c r="N5" s="2715"/>
      <c r="O5" s="2715"/>
      <c r="P5" s="3787"/>
      <c r="Q5" s="3788"/>
      <c r="R5" s="3793"/>
      <c r="S5" s="3794"/>
      <c r="T5" s="3793"/>
      <c r="U5" s="3794"/>
      <c r="V5" s="3797"/>
      <c r="W5" s="3797"/>
      <c r="X5" s="1354"/>
      <c r="Y5" s="3793"/>
      <c r="Z5" s="3794"/>
      <c r="AA5" s="3779"/>
      <c r="AB5" s="3779"/>
      <c r="AC5" s="3779"/>
    </row>
    <row r="6" spans="1:29" ht="15.75" thickBot="1">
      <c r="A6" s="360"/>
      <c r="B6" s="361"/>
      <c r="C6" s="3798" t="s">
        <v>1677</v>
      </c>
      <c r="D6" s="3799"/>
      <c r="E6" s="3805" t="s">
        <v>1677</v>
      </c>
      <c r="F6" s="3806"/>
      <c r="G6" s="3798" t="s">
        <v>1677</v>
      </c>
      <c r="H6" s="3799"/>
      <c r="I6" s="3798" t="s">
        <v>1677</v>
      </c>
      <c r="J6" s="3799"/>
      <c r="K6" s="559" t="s">
        <v>1678</v>
      </c>
      <c r="L6" s="2714"/>
      <c r="M6" s="2715"/>
      <c r="N6" s="2715"/>
      <c r="O6" s="2715"/>
      <c r="P6" s="3789"/>
      <c r="Q6" s="3790"/>
      <c r="R6" s="3793"/>
      <c r="S6" s="3794"/>
      <c r="T6" s="3795"/>
      <c r="U6" s="3796"/>
      <c r="V6" s="3797"/>
      <c r="W6" s="3797"/>
      <c r="X6" s="1354"/>
      <c r="Y6" s="3795"/>
      <c r="Z6" s="3796"/>
      <c r="AA6" s="3780"/>
      <c r="AB6" s="3780"/>
      <c r="AC6" s="3780"/>
    </row>
    <row r="7" spans="1:29" s="108" customFormat="1" ht="15.75" thickBot="1">
      <c r="A7" s="362" t="s">
        <v>1679</v>
      </c>
      <c r="B7" s="363"/>
      <c r="C7" s="364">
        <f>'数据-取费表'!B2</f>
        <v>45909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02" t="s">
        <v>1680</v>
      </c>
      <c r="Q7" s="3804"/>
      <c r="R7" s="700" t="s">
        <v>14</v>
      </c>
      <c r="S7" s="701">
        <f t="shared" ref="S7:S14" si="0">F7</f>
        <v>0</v>
      </c>
      <c r="T7" s="700" t="s">
        <v>14</v>
      </c>
      <c r="U7" s="701">
        <f t="shared" ref="U7:U14" si="1">H7</f>
        <v>0</v>
      </c>
      <c r="V7" s="700" t="s">
        <v>14</v>
      </c>
      <c r="W7" s="701">
        <f t="shared" ref="W7:W14" si="2">J7</f>
        <v>0</v>
      </c>
      <c r="X7" s="702"/>
      <c r="Y7" s="3802" t="s">
        <v>1680</v>
      </c>
      <c r="Z7" s="38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02" t="s">
        <v>1683</v>
      </c>
      <c r="Q8" s="3803"/>
      <c r="R8" s="700" t="s">
        <v>14</v>
      </c>
      <c r="S8" s="701">
        <f t="shared" si="0"/>
        <v>100</v>
      </c>
      <c r="T8" s="700" t="s">
        <v>14</v>
      </c>
      <c r="U8" s="701">
        <f t="shared" si="1"/>
        <v>100</v>
      </c>
      <c r="V8" s="700" t="s">
        <v>14</v>
      </c>
      <c r="W8" s="701">
        <f t="shared" si="2"/>
        <v>100</v>
      </c>
      <c r="X8" s="702"/>
      <c r="Y8" s="3802" t="s">
        <v>1683</v>
      </c>
      <c r="Z8" s="38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6" t="s">
        <v>1686</v>
      </c>
      <c r="Q9" s="1342" t="str">
        <f t="shared" ref="Q9:Q14" si="6">B9</f>
        <v>用途</v>
      </c>
      <c r="R9" s="700" t="s">
        <v>14</v>
      </c>
      <c r="S9" s="701">
        <f t="shared" si="0"/>
        <v>100</v>
      </c>
      <c r="T9" s="700" t="s">
        <v>14</v>
      </c>
      <c r="U9" s="701">
        <f t="shared" si="1"/>
        <v>100</v>
      </c>
      <c r="V9" s="700" t="s">
        <v>14</v>
      </c>
      <c r="W9" s="701">
        <f t="shared" si="2"/>
        <v>100</v>
      </c>
      <c r="X9" s="702"/>
      <c r="Y9" s="364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6"/>
      <c r="Q10" s="1342" t="str">
        <f t="shared" si="6"/>
        <v>土地使用年限（年）</v>
      </c>
      <c r="R10" s="700" t="s">
        <v>14</v>
      </c>
      <c r="S10" s="701">
        <f t="shared" si="0"/>
        <v>100</v>
      </c>
      <c r="T10" s="700" t="s">
        <v>14</v>
      </c>
      <c r="U10" s="701">
        <f t="shared" si="1"/>
        <v>100</v>
      </c>
      <c r="V10" s="700" t="s">
        <v>14</v>
      </c>
      <c r="W10" s="701">
        <f t="shared" si="2"/>
        <v>100</v>
      </c>
      <c r="X10" s="702"/>
      <c r="Y10" s="364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6"/>
      <c r="Q11" s="1342">
        <f t="shared" si="6"/>
        <v>111</v>
      </c>
      <c r="R11" s="700" t="s">
        <v>14</v>
      </c>
      <c r="S11" s="701">
        <f t="shared" si="0"/>
        <v>100</v>
      </c>
      <c r="T11" s="700" t="s">
        <v>14</v>
      </c>
      <c r="U11" s="701">
        <f t="shared" si="1"/>
        <v>100</v>
      </c>
      <c r="V11" s="700" t="s">
        <v>14</v>
      </c>
      <c r="W11" s="701">
        <f t="shared" si="2"/>
        <v>100</v>
      </c>
      <c r="X11" s="702"/>
      <c r="Y11" s="364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6"/>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66"/>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8" t="s">
        <v>1691</v>
      </c>
      <c r="Q14" s="1351" t="str">
        <f t="shared" si="6"/>
        <v>交通便捷度</v>
      </c>
      <c r="R14" s="704" t="s">
        <v>14</v>
      </c>
      <c r="S14" s="705">
        <f t="shared" si="0"/>
        <v>100</v>
      </c>
      <c r="T14" s="704" t="s">
        <v>14</v>
      </c>
      <c r="U14" s="705">
        <f t="shared" si="1"/>
        <v>100</v>
      </c>
      <c r="V14" s="704" t="s">
        <v>14</v>
      </c>
      <c r="W14" s="705">
        <f t="shared" si="2"/>
        <v>100</v>
      </c>
      <c r="X14" s="1354"/>
      <c r="Y14" s="376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69"/>
      <c r="Q15" s="1351"/>
      <c r="R15" s="704"/>
      <c r="S15" s="705"/>
      <c r="T15" s="704"/>
      <c r="U15" s="705"/>
      <c r="V15" s="704"/>
      <c r="W15" s="705"/>
      <c r="X15" s="1354"/>
      <c r="Y15" s="376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69"/>
      <c r="Q16" s="1351" t="str">
        <f>B16</f>
        <v>公共配套设施</v>
      </c>
      <c r="R16" s="704" t="s">
        <v>14</v>
      </c>
      <c r="S16" s="705">
        <f>F16</f>
        <v>100</v>
      </c>
      <c r="T16" s="704" t="s">
        <v>14</v>
      </c>
      <c r="U16" s="705">
        <f>H16</f>
        <v>100</v>
      </c>
      <c r="V16" s="704" t="s">
        <v>14</v>
      </c>
      <c r="W16" s="705">
        <f>J16</f>
        <v>100</v>
      </c>
      <c r="X16" s="1354"/>
      <c r="Y16" s="376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69"/>
      <c r="Q17" s="1351"/>
      <c r="R17" s="704"/>
      <c r="S17" s="705"/>
      <c r="T17" s="704"/>
      <c r="U17" s="705"/>
      <c r="V17" s="704"/>
      <c r="W17" s="705"/>
      <c r="X17" s="1354"/>
      <c r="Y17" s="376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69"/>
      <c r="Q18" s="1351" t="str">
        <f>B18</f>
        <v>基础设施水平</v>
      </c>
      <c r="R18" s="704" t="s">
        <v>14</v>
      </c>
      <c r="S18" s="705">
        <f>F18</f>
        <v>100</v>
      </c>
      <c r="T18" s="704" t="s">
        <v>14</v>
      </c>
      <c r="U18" s="705">
        <f>H18</f>
        <v>100</v>
      </c>
      <c r="V18" s="704" t="s">
        <v>14</v>
      </c>
      <c r="W18" s="705">
        <f>J18</f>
        <v>100</v>
      </c>
      <c r="X18" s="1354"/>
      <c r="Y18" s="376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69"/>
      <c r="Q19" s="1351"/>
      <c r="R19" s="704"/>
      <c r="S19" s="705"/>
      <c r="T19" s="704"/>
      <c r="U19" s="705"/>
      <c r="V19" s="704"/>
      <c r="W19" s="705"/>
      <c r="X19" s="1354"/>
      <c r="Y19" s="376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69"/>
      <c r="Q20" s="1351" t="str">
        <f>B20</f>
        <v>自然及人文环境</v>
      </c>
      <c r="R20" s="704" t="s">
        <v>14</v>
      </c>
      <c r="S20" s="705">
        <f>F20</f>
        <v>100</v>
      </c>
      <c r="T20" s="704" t="s">
        <v>14</v>
      </c>
      <c r="U20" s="705">
        <f>H20</f>
        <v>100</v>
      </c>
      <c r="V20" s="704" t="s">
        <v>14</v>
      </c>
      <c r="W20" s="705">
        <f>J20</f>
        <v>100</v>
      </c>
      <c r="X20" s="1354"/>
      <c r="Y20" s="376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69"/>
      <c r="Q21" s="1351"/>
      <c r="R21" s="704"/>
      <c r="S21" s="705"/>
      <c r="T21" s="704"/>
      <c r="U21" s="705"/>
      <c r="V21" s="704"/>
      <c r="W21" s="705"/>
      <c r="X21" s="1354"/>
      <c r="Y21" s="376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69"/>
      <c r="Q22" s="1351" t="str">
        <f>B22</f>
        <v>楼层</v>
      </c>
      <c r="R22" s="704" t="s">
        <v>14</v>
      </c>
      <c r="S22" s="705">
        <f>F22</f>
        <v>100</v>
      </c>
      <c r="T22" s="704" t="s">
        <v>14</v>
      </c>
      <c r="U22" s="705">
        <f>H22</f>
        <v>100</v>
      </c>
      <c r="V22" s="704" t="s">
        <v>14</v>
      </c>
      <c r="W22" s="705">
        <f>J22</f>
        <v>100</v>
      </c>
      <c r="X22" s="1354"/>
      <c r="Y22" s="376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69"/>
      <c r="Q23" s="1351">
        <f>B23</f>
        <v>111</v>
      </c>
      <c r="R23" s="704" t="s">
        <v>14</v>
      </c>
      <c r="S23" s="705">
        <f>F23</f>
        <v>100</v>
      </c>
      <c r="T23" s="704" t="s">
        <v>14</v>
      </c>
      <c r="U23" s="705">
        <f>H23</f>
        <v>100</v>
      </c>
      <c r="V23" s="704" t="s">
        <v>14</v>
      </c>
      <c r="W23" s="705">
        <f>J23</f>
        <v>100</v>
      </c>
      <c r="X23" s="1354"/>
      <c r="Y23" s="376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69"/>
      <c r="Q24" s="1351">
        <f t="shared" ref="Q24:Q34" si="11">B24</f>
        <v>111</v>
      </c>
      <c r="R24" s="704" t="s">
        <v>14</v>
      </c>
      <c r="S24" s="705">
        <f>F24</f>
        <v>100</v>
      </c>
      <c r="T24" s="704" t="s">
        <v>14</v>
      </c>
      <c r="U24" s="705">
        <f>H24</f>
        <v>100</v>
      </c>
      <c r="V24" s="704" t="s">
        <v>14</v>
      </c>
      <c r="W24" s="705">
        <f>J24</f>
        <v>100</v>
      </c>
      <c r="X24" s="1354"/>
      <c r="Y24" s="376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69"/>
      <c r="Q25" s="1342">
        <f t="shared" si="11"/>
        <v>111</v>
      </c>
      <c r="R25" s="700" t="s">
        <v>14</v>
      </c>
      <c r="S25" s="701">
        <f>F25</f>
        <v>100</v>
      </c>
      <c r="T25" s="700" t="s">
        <v>14</v>
      </c>
      <c r="U25" s="701">
        <f>H25</f>
        <v>100</v>
      </c>
      <c r="V25" s="700" t="s">
        <v>14</v>
      </c>
      <c r="W25" s="701">
        <f>J25</f>
        <v>100</v>
      </c>
      <c r="X25" s="702"/>
      <c r="Y25" s="376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2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7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73"/>
      <c r="Q27" s="706" t="str">
        <f t="shared" si="11"/>
        <v>成新率</v>
      </c>
      <c r="R27" s="707" t="s">
        <v>14</v>
      </c>
      <c r="S27" s="708" t="e">
        <f t="shared" si="12"/>
        <v>#N/A</v>
      </c>
      <c r="T27" s="707" t="s">
        <v>14</v>
      </c>
      <c r="U27" s="708" t="e">
        <f t="shared" si="13"/>
        <v>#N/A</v>
      </c>
      <c r="V27" s="707" t="s">
        <v>14</v>
      </c>
      <c r="W27" s="708" t="e">
        <f t="shared" si="14"/>
        <v>#N/A</v>
      </c>
      <c r="X27" s="709"/>
      <c r="Y27" s="377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73"/>
      <c r="Q28" s="1351" t="str">
        <f t="shared" si="11"/>
        <v>物业等级</v>
      </c>
      <c r="R28" s="704" t="s">
        <v>14</v>
      </c>
      <c r="S28" s="705">
        <f t="shared" si="12"/>
        <v>100</v>
      </c>
      <c r="T28" s="704" t="s">
        <v>14</v>
      </c>
      <c r="U28" s="705">
        <f t="shared" si="13"/>
        <v>100</v>
      </c>
      <c r="V28" s="704" t="s">
        <v>14</v>
      </c>
      <c r="W28" s="705">
        <f t="shared" si="14"/>
        <v>100</v>
      </c>
      <c r="X28" s="1354"/>
      <c r="Y28" s="377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73"/>
      <c r="Q29" s="1351" t="str">
        <f t="shared" si="11"/>
        <v>有无电梯</v>
      </c>
      <c r="R29" s="704" t="s">
        <v>14</v>
      </c>
      <c r="S29" s="705">
        <f t="shared" si="12"/>
        <v>100</v>
      </c>
      <c r="T29" s="704" t="s">
        <v>14</v>
      </c>
      <c r="U29" s="705">
        <f t="shared" si="13"/>
        <v>100</v>
      </c>
      <c r="V29" s="704" t="s">
        <v>14</v>
      </c>
      <c r="W29" s="705">
        <f t="shared" si="14"/>
        <v>100</v>
      </c>
      <c r="X29" s="1354"/>
      <c r="Y29" s="377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73"/>
      <c r="Q30" s="1351" t="str">
        <f t="shared" si="11"/>
        <v>建筑面积</v>
      </c>
      <c r="R30" s="704" t="s">
        <v>14</v>
      </c>
      <c r="S30" s="705" t="e">
        <f t="shared" si="12"/>
        <v>#N/A</v>
      </c>
      <c r="T30" s="704" t="s">
        <v>14</v>
      </c>
      <c r="U30" s="705" t="e">
        <f t="shared" si="13"/>
        <v>#N/A</v>
      </c>
      <c r="V30" s="704" t="s">
        <v>14</v>
      </c>
      <c r="W30" s="705" t="e">
        <f t="shared" si="14"/>
        <v>#N/A</v>
      </c>
      <c r="X30" s="1354"/>
      <c r="Y30" s="377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73"/>
      <c r="Q31" s="1342" t="str">
        <f t="shared" si="11"/>
        <v>是否封闭</v>
      </c>
      <c r="R31" s="700" t="s">
        <v>14</v>
      </c>
      <c r="S31" s="701">
        <f t="shared" si="12"/>
        <v>100</v>
      </c>
      <c r="T31" s="700" t="s">
        <v>14</v>
      </c>
      <c r="U31" s="701">
        <f t="shared" si="13"/>
        <v>100</v>
      </c>
      <c r="V31" s="700" t="s">
        <v>14</v>
      </c>
      <c r="W31" s="701">
        <f t="shared" si="14"/>
        <v>100</v>
      </c>
      <c r="X31" s="702"/>
      <c r="Y31" s="377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73" t="s">
        <v>1696</v>
      </c>
      <c r="Q32" s="1351">
        <f t="shared" si="11"/>
        <v>111</v>
      </c>
      <c r="R32" s="704" t="s">
        <v>14</v>
      </c>
      <c r="S32" s="705">
        <f t="shared" si="12"/>
        <v>100</v>
      </c>
      <c r="T32" s="704" t="s">
        <v>14</v>
      </c>
      <c r="U32" s="705">
        <f t="shared" si="13"/>
        <v>100</v>
      </c>
      <c r="V32" s="704" t="s">
        <v>14</v>
      </c>
      <c r="W32" s="705">
        <f t="shared" si="14"/>
        <v>100</v>
      </c>
      <c r="X32" s="1354"/>
      <c r="Y32" s="377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73"/>
      <c r="Q33" s="1351">
        <f t="shared" si="11"/>
        <v>111</v>
      </c>
      <c r="R33" s="704" t="s">
        <v>14</v>
      </c>
      <c r="S33" s="705">
        <f t="shared" si="12"/>
        <v>100</v>
      </c>
      <c r="T33" s="704" t="s">
        <v>14</v>
      </c>
      <c r="U33" s="705">
        <f t="shared" si="13"/>
        <v>100</v>
      </c>
      <c r="V33" s="704" t="s">
        <v>14</v>
      </c>
      <c r="W33" s="705">
        <f t="shared" si="14"/>
        <v>100</v>
      </c>
      <c r="X33" s="1354"/>
      <c r="Y33" s="377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73"/>
      <c r="Q34" s="1351">
        <f t="shared" si="11"/>
        <v>111</v>
      </c>
      <c r="R34" s="704" t="s">
        <v>14</v>
      </c>
      <c r="S34" s="705">
        <f t="shared" si="12"/>
        <v>100</v>
      </c>
      <c r="T34" s="704" t="s">
        <v>14</v>
      </c>
      <c r="U34" s="705">
        <f t="shared" si="13"/>
        <v>100</v>
      </c>
      <c r="V34" s="704" t="s">
        <v>14</v>
      </c>
      <c r="W34" s="705">
        <f t="shared" si="14"/>
        <v>100</v>
      </c>
      <c r="X34" s="1354"/>
      <c r="Y34" s="377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66" t="str">
        <f>A35</f>
        <v>成交单价（元/平方米）</v>
      </c>
      <c r="Q35" s="3766"/>
      <c r="R35" s="3767">
        <f>E35</f>
        <v>0</v>
      </c>
      <c r="S35" s="3767"/>
      <c r="T35" s="3767">
        <f>G35</f>
        <v>0</v>
      </c>
      <c r="U35" s="3767"/>
      <c r="V35" s="3767">
        <f>I35</f>
        <v>0</v>
      </c>
      <c r="W35" s="376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3" t="str">
        <f>A37</f>
        <v>估价对象XX用房的比较价值（楼面单价，元/平方米）</v>
      </c>
      <c r="Q37" s="3764"/>
      <c r="R37" s="3827" t="e">
        <f>IF(F1="售价",ROUND(IF(D36="简单平均",AVERAGE(R36:W36),R36*F36+T36*H36+V36*J36),0),ROUND(IF(D36="简单平均",AVERAGE(R36:V36),R36*F36+T36*H36+V36*J36),1))</f>
        <v>#DIV/0!</v>
      </c>
      <c r="S37" s="3827"/>
      <c r="T37" s="3827"/>
      <c r="U37" s="3827"/>
      <c r="V37" s="3827"/>
      <c r="W37" s="382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81" t="s">
        <v>1770</v>
      </c>
      <c r="D4" s="3782"/>
      <c r="E4" s="3783" t="s">
        <v>1771</v>
      </c>
      <c r="F4" s="3784"/>
      <c r="G4" s="3781" t="s">
        <v>1772</v>
      </c>
      <c r="H4" s="3782"/>
      <c r="I4" s="3781" t="s">
        <v>1773</v>
      </c>
      <c r="J4" s="3782"/>
      <c r="K4" s="559" t="s">
        <v>1774</v>
      </c>
      <c r="L4" s="2714"/>
      <c r="M4" s="2715"/>
      <c r="N4" s="2715"/>
      <c r="O4" s="2715"/>
      <c r="P4" s="3785" t="s">
        <v>1775</v>
      </c>
      <c r="Q4" s="3786"/>
      <c r="R4" s="3791" t="s">
        <v>1771</v>
      </c>
      <c r="S4" s="3792"/>
      <c r="T4" s="3791" t="s">
        <v>1772</v>
      </c>
      <c r="U4" s="3792"/>
      <c r="V4" s="3797" t="s">
        <v>1773</v>
      </c>
      <c r="W4" s="3797"/>
      <c r="X4" s="1354"/>
      <c r="Y4" s="3791" t="s">
        <v>1775</v>
      </c>
      <c r="Z4" s="3792"/>
      <c r="AA4" s="3778" t="s">
        <v>1771</v>
      </c>
      <c r="AB4" s="3779" t="s">
        <v>1772</v>
      </c>
      <c r="AC4" s="3778" t="s">
        <v>1773</v>
      </c>
    </row>
    <row r="5" spans="1:30" ht="15">
      <c r="A5" s="358"/>
      <c r="B5" s="359"/>
      <c r="C5" s="3800" t="s">
        <v>1673</v>
      </c>
      <c r="D5" s="3801"/>
      <c r="E5" s="3807" t="s">
        <v>1674</v>
      </c>
      <c r="F5" s="3808"/>
      <c r="G5" s="3800" t="s">
        <v>1675</v>
      </c>
      <c r="H5" s="3801"/>
      <c r="I5" s="3800" t="s">
        <v>1676</v>
      </c>
      <c r="J5" s="3801"/>
      <c r="K5" s="559"/>
      <c r="L5" s="2714"/>
      <c r="M5" s="2715"/>
      <c r="N5" s="2715"/>
      <c r="O5" s="2715"/>
      <c r="P5" s="3787"/>
      <c r="Q5" s="3788"/>
      <c r="R5" s="3793"/>
      <c r="S5" s="3794"/>
      <c r="T5" s="3793"/>
      <c r="U5" s="3794"/>
      <c r="V5" s="3797"/>
      <c r="W5" s="3797"/>
      <c r="X5" s="1354"/>
      <c r="Y5" s="3793"/>
      <c r="Z5" s="3794"/>
      <c r="AA5" s="3779"/>
      <c r="AB5" s="3779"/>
      <c r="AC5" s="3779"/>
    </row>
    <row r="6" spans="1:30" ht="15.75" thickBot="1">
      <c r="A6" s="360"/>
      <c r="B6" s="361"/>
      <c r="C6" s="3798" t="s">
        <v>1677</v>
      </c>
      <c r="D6" s="3799"/>
      <c r="E6" s="3805" t="s">
        <v>1677</v>
      </c>
      <c r="F6" s="3806"/>
      <c r="G6" s="3798" t="s">
        <v>1677</v>
      </c>
      <c r="H6" s="3799"/>
      <c r="I6" s="3798" t="s">
        <v>1677</v>
      </c>
      <c r="J6" s="3799"/>
      <c r="K6" s="559" t="s">
        <v>1678</v>
      </c>
      <c r="L6" s="2714"/>
      <c r="M6" s="2715"/>
      <c r="N6" s="2715"/>
      <c r="O6" s="2715"/>
      <c r="P6" s="3789"/>
      <c r="Q6" s="3790"/>
      <c r="R6" s="3793"/>
      <c r="S6" s="3794"/>
      <c r="T6" s="3795"/>
      <c r="U6" s="3796"/>
      <c r="V6" s="3797"/>
      <c r="W6" s="3797"/>
      <c r="X6" s="1354"/>
      <c r="Y6" s="3795"/>
      <c r="Z6" s="3796"/>
      <c r="AA6" s="3780"/>
      <c r="AB6" s="3780"/>
      <c r="AC6" s="3780"/>
    </row>
    <row r="7" spans="1:30" s="108" customFormat="1" ht="15.75" thickBot="1">
      <c r="A7" s="362" t="s">
        <v>1679</v>
      </c>
      <c r="B7" s="363"/>
      <c r="C7" s="364">
        <f>'数据-取费表'!B2</f>
        <v>45909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02" t="s">
        <v>1680</v>
      </c>
      <c r="Q7" s="3804"/>
      <c r="R7" s="700" t="s">
        <v>14</v>
      </c>
      <c r="S7" s="701">
        <f t="shared" ref="S7:S15" si="0">F7</f>
        <v>0</v>
      </c>
      <c r="T7" s="700" t="s">
        <v>14</v>
      </c>
      <c r="U7" s="701">
        <f t="shared" ref="U7:U15" si="1">H7</f>
        <v>0</v>
      </c>
      <c r="V7" s="700" t="s">
        <v>14</v>
      </c>
      <c r="W7" s="701">
        <f t="shared" ref="W7:W15" si="2">J7</f>
        <v>0</v>
      </c>
      <c r="X7" s="702"/>
      <c r="Y7" s="3802" t="s">
        <v>1680</v>
      </c>
      <c r="Z7" s="38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02" t="s">
        <v>1683</v>
      </c>
      <c r="Q8" s="3803"/>
      <c r="R8" s="700" t="s">
        <v>14</v>
      </c>
      <c r="S8" s="701">
        <f t="shared" si="0"/>
        <v>0</v>
      </c>
      <c r="T8" s="700" t="s">
        <v>14</v>
      </c>
      <c r="U8" s="701">
        <f t="shared" si="1"/>
        <v>0</v>
      </c>
      <c r="V8" s="700" t="s">
        <v>14</v>
      </c>
      <c r="W8" s="701">
        <f t="shared" si="2"/>
        <v>0</v>
      </c>
      <c r="X8" s="702"/>
      <c r="Y8" s="3802" t="s">
        <v>1683</v>
      </c>
      <c r="Z8" s="38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66"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66"/>
      <c r="Q10" s="1342" t="str">
        <f t="shared" si="6"/>
        <v>土地使用年限（年）</v>
      </c>
      <c r="R10" s="700" t="s">
        <v>14</v>
      </c>
      <c r="S10" s="701">
        <f t="shared" si="0"/>
        <v>106</v>
      </c>
      <c r="T10" s="700" t="s">
        <v>14</v>
      </c>
      <c r="U10" s="701">
        <f t="shared" si="1"/>
        <v>106</v>
      </c>
      <c r="V10" s="700" t="s">
        <v>14</v>
      </c>
      <c r="W10" s="701">
        <f t="shared" si="2"/>
        <v>106</v>
      </c>
      <c r="X10" s="702"/>
      <c r="Y10" s="3641"/>
      <c r="Z10" s="52" t="str">
        <f t="shared" si="7"/>
        <v>土地使用年限（年）</v>
      </c>
      <c r="AA10" s="703">
        <f t="shared" si="3"/>
        <v>0.94339622641509435</v>
      </c>
      <c r="AB10" s="703">
        <f t="shared" si="4"/>
        <v>0.94339622641509435</v>
      </c>
      <c r="AC10" s="703">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66"/>
      <c r="Q11" s="1342" t="str">
        <f t="shared" si="6"/>
        <v>容积率</v>
      </c>
      <c r="R11" s="700" t="s">
        <v>14</v>
      </c>
      <c r="S11" s="701" t="e">
        <f t="shared" si="0"/>
        <v>#N/A</v>
      </c>
      <c r="T11" s="700" t="s">
        <v>14</v>
      </c>
      <c r="U11" s="701" t="e">
        <f t="shared" si="1"/>
        <v>#N/A</v>
      </c>
      <c r="V11" s="700" t="s">
        <v>14</v>
      </c>
      <c r="W11" s="701" t="e">
        <f t="shared" si="2"/>
        <v>#N/A</v>
      </c>
      <c r="X11" s="702"/>
      <c r="Y11" s="364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66"/>
      <c r="Q12" s="1342" t="str">
        <f t="shared" si="6"/>
        <v>配建</v>
      </c>
      <c r="R12" s="700" t="s">
        <v>14</v>
      </c>
      <c r="S12" s="701">
        <f t="shared" si="0"/>
        <v>100</v>
      </c>
      <c r="T12" s="700" t="s">
        <v>14</v>
      </c>
      <c r="U12" s="701">
        <f t="shared" si="1"/>
        <v>100</v>
      </c>
      <c r="V12" s="700" t="s">
        <v>14</v>
      </c>
      <c r="W12" s="701">
        <f t="shared" si="2"/>
        <v>100</v>
      </c>
      <c r="X12" s="702"/>
      <c r="Y12" s="364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66"/>
      <c r="Q13" s="1342">
        <f t="shared" si="6"/>
        <v>111</v>
      </c>
      <c r="R13" s="700" t="s">
        <v>14</v>
      </c>
      <c r="S13" s="701">
        <f t="shared" si="0"/>
        <v>100</v>
      </c>
      <c r="T13" s="700" t="s">
        <v>14</v>
      </c>
      <c r="U13" s="701">
        <f t="shared" si="1"/>
        <v>100</v>
      </c>
      <c r="V13" s="700" t="s">
        <v>14</v>
      </c>
      <c r="W13" s="701">
        <f t="shared" si="2"/>
        <v>100</v>
      </c>
      <c r="X13" s="702"/>
      <c r="Y13" s="364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66"/>
      <c r="Q14" s="1342">
        <f t="shared" si="6"/>
        <v>111</v>
      </c>
      <c r="R14" s="700" t="s">
        <v>14</v>
      </c>
      <c r="S14" s="701">
        <f t="shared" si="0"/>
        <v>100</v>
      </c>
      <c r="T14" s="700" t="s">
        <v>14</v>
      </c>
      <c r="U14" s="701">
        <f t="shared" si="1"/>
        <v>100</v>
      </c>
      <c r="V14" s="700" t="s">
        <v>14</v>
      </c>
      <c r="W14" s="701">
        <f t="shared" si="2"/>
        <v>100</v>
      </c>
      <c r="X14" s="702"/>
      <c r="Y14" s="364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68" t="s">
        <v>1691</v>
      </c>
      <c r="Q15" s="1351" t="str">
        <f t="shared" si="6"/>
        <v>居住社区成熟度</v>
      </c>
      <c r="R15" s="704" t="s">
        <v>14</v>
      </c>
      <c r="S15" s="705">
        <f t="shared" si="0"/>
        <v>100</v>
      </c>
      <c r="T15" s="704" t="s">
        <v>14</v>
      </c>
      <c r="U15" s="705">
        <f t="shared" si="1"/>
        <v>100</v>
      </c>
      <c r="V15" s="704" t="s">
        <v>14</v>
      </c>
      <c r="W15" s="705">
        <f t="shared" si="2"/>
        <v>100</v>
      </c>
      <c r="X15" s="1354"/>
      <c r="Y15" s="376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69"/>
      <c r="Q16" s="1351"/>
      <c r="R16" s="704"/>
      <c r="S16" s="705"/>
      <c r="T16" s="704"/>
      <c r="U16" s="705"/>
      <c r="V16" s="704"/>
      <c r="W16" s="705"/>
      <c r="X16" s="1354"/>
      <c r="Y16" s="376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69"/>
      <c r="Q17" s="1351" t="str">
        <f>B17</f>
        <v>商业繁华度</v>
      </c>
      <c r="R17" s="704" t="s">
        <v>14</v>
      </c>
      <c r="S17" s="705">
        <f>F17</f>
        <v>100</v>
      </c>
      <c r="T17" s="704" t="s">
        <v>14</v>
      </c>
      <c r="U17" s="705">
        <f>H17</f>
        <v>100</v>
      </c>
      <c r="V17" s="704" t="s">
        <v>14</v>
      </c>
      <c r="W17" s="705">
        <f>J17</f>
        <v>100</v>
      </c>
      <c r="X17" s="1354"/>
      <c r="Y17" s="376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69"/>
      <c r="Q18" s="1351"/>
      <c r="R18" s="704"/>
      <c r="S18" s="705"/>
      <c r="T18" s="704"/>
      <c r="U18" s="705"/>
      <c r="V18" s="704"/>
      <c r="W18" s="705"/>
      <c r="X18" s="1354"/>
      <c r="Y18" s="376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69"/>
      <c r="Q19" s="1351" t="str">
        <f>B19</f>
        <v>办公集聚程度</v>
      </c>
      <c r="R19" s="704" t="s">
        <v>14</v>
      </c>
      <c r="S19" s="705">
        <f>F19</f>
        <v>100</v>
      </c>
      <c r="T19" s="704" t="s">
        <v>14</v>
      </c>
      <c r="U19" s="705">
        <f>H19</f>
        <v>100</v>
      </c>
      <c r="V19" s="704" t="s">
        <v>14</v>
      </c>
      <c r="W19" s="705">
        <f>J19</f>
        <v>100</v>
      </c>
      <c r="X19" s="1354"/>
      <c r="Y19" s="376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69"/>
      <c r="Q20" s="1351"/>
      <c r="R20" s="704"/>
      <c r="S20" s="705"/>
      <c r="T20" s="704"/>
      <c r="U20" s="705"/>
      <c r="V20" s="704"/>
      <c r="W20" s="705"/>
      <c r="X20" s="1354"/>
      <c r="Y20" s="376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69"/>
      <c r="Q21" s="1351" t="str">
        <f>B21</f>
        <v>交通便捷度</v>
      </c>
      <c r="R21" s="704" t="s">
        <v>14</v>
      </c>
      <c r="S21" s="705">
        <f>F21</f>
        <v>100</v>
      </c>
      <c r="T21" s="704" t="s">
        <v>14</v>
      </c>
      <c r="U21" s="705">
        <f>H21</f>
        <v>100</v>
      </c>
      <c r="V21" s="704" t="s">
        <v>14</v>
      </c>
      <c r="W21" s="705">
        <f>J21</f>
        <v>100</v>
      </c>
      <c r="X21" s="1354"/>
      <c r="Y21" s="376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69"/>
      <c r="Q22" s="1351"/>
      <c r="R22" s="704"/>
      <c r="S22" s="705"/>
      <c r="T22" s="704"/>
      <c r="U22" s="705"/>
      <c r="V22" s="704"/>
      <c r="W22" s="705"/>
      <c r="X22" s="1354"/>
      <c r="Y22" s="376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69"/>
      <c r="Q23" s="1351" t="str">
        <f t="shared" ref="Q23:Q37" si="8">B23</f>
        <v>区域土地利用方向</v>
      </c>
      <c r="R23" s="704" t="s">
        <v>14</v>
      </c>
      <c r="S23" s="705">
        <f>F23</f>
        <v>100</v>
      </c>
      <c r="T23" s="704" t="s">
        <v>14</v>
      </c>
      <c r="U23" s="705">
        <f>H23</f>
        <v>100</v>
      </c>
      <c r="V23" s="704" t="s">
        <v>14</v>
      </c>
      <c r="W23" s="705">
        <f>J23</f>
        <v>100</v>
      </c>
      <c r="X23" s="1354"/>
      <c r="Y23" s="376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69"/>
      <c r="Q24" s="1351"/>
      <c r="R24" s="704"/>
      <c r="S24" s="705"/>
      <c r="T24" s="704"/>
      <c r="U24" s="705"/>
      <c r="V24" s="704"/>
      <c r="W24" s="705"/>
      <c r="X24" s="1354"/>
      <c r="Y24" s="376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69"/>
      <c r="Q25" s="1351" t="str">
        <f t="shared" si="8"/>
        <v>自然及人文环境状况</v>
      </c>
      <c r="R25" s="704" t="s">
        <v>14</v>
      </c>
      <c r="S25" s="705">
        <f>F25</f>
        <v>100</v>
      </c>
      <c r="T25" s="704" t="s">
        <v>14</v>
      </c>
      <c r="U25" s="705">
        <f>H25</f>
        <v>100</v>
      </c>
      <c r="V25" s="704" t="s">
        <v>14</v>
      </c>
      <c r="W25" s="705">
        <f>J25</f>
        <v>100</v>
      </c>
      <c r="X25" s="1354"/>
      <c r="Y25" s="376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69"/>
      <c r="Q26" s="1351"/>
      <c r="R26" s="704"/>
      <c r="S26" s="705"/>
      <c r="T26" s="704"/>
      <c r="U26" s="705"/>
      <c r="V26" s="704"/>
      <c r="W26" s="705"/>
      <c r="X26" s="1354"/>
      <c r="Y26" s="376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69"/>
      <c r="Q27" s="1342" t="str">
        <f t="shared" si="8"/>
        <v>公共配套设施</v>
      </c>
      <c r="R27" s="700" t="s">
        <v>14</v>
      </c>
      <c r="S27" s="701">
        <f>F27</f>
        <v>100</v>
      </c>
      <c r="T27" s="700" t="s">
        <v>14</v>
      </c>
      <c r="U27" s="701">
        <f>H27</f>
        <v>100</v>
      </c>
      <c r="V27" s="700" t="s">
        <v>14</v>
      </c>
      <c r="W27" s="701">
        <f>J27</f>
        <v>100</v>
      </c>
      <c r="X27" s="702"/>
      <c r="Y27" s="376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69"/>
      <c r="Q28" s="1342"/>
      <c r="R28" s="700"/>
      <c r="S28" s="701"/>
      <c r="T28" s="700"/>
      <c r="U28" s="701"/>
      <c r="V28" s="700"/>
      <c r="W28" s="701"/>
      <c r="X28" s="702"/>
      <c r="Y28" s="376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69"/>
      <c r="Q29" s="1342" t="str">
        <f t="shared" ref="Q29" si="9">B29</f>
        <v>基础设施水平</v>
      </c>
      <c r="R29" s="700" t="s">
        <v>14</v>
      </c>
      <c r="S29" s="701">
        <f>F29</f>
        <v>100</v>
      </c>
      <c r="T29" s="700" t="s">
        <v>14</v>
      </c>
      <c r="U29" s="701">
        <f>H29</f>
        <v>100</v>
      </c>
      <c r="V29" s="700" t="s">
        <v>14</v>
      </c>
      <c r="W29" s="701">
        <f>J29</f>
        <v>100</v>
      </c>
      <c r="X29" s="702"/>
      <c r="Y29" s="376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69"/>
      <c r="Q30" s="1342"/>
      <c r="R30" s="700"/>
      <c r="S30" s="701"/>
      <c r="T30" s="700"/>
      <c r="U30" s="701"/>
      <c r="V30" s="700"/>
      <c r="W30" s="701"/>
      <c r="X30" s="702"/>
      <c r="Y30" s="376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6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6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69"/>
      <c r="Q32" s="1351" t="str">
        <f t="shared" si="8"/>
        <v>毗邻道路的类型与等级</v>
      </c>
      <c r="R32" s="704" t="s">
        <v>14</v>
      </c>
      <c r="S32" s="705">
        <f t="shared" si="10"/>
        <v>100</v>
      </c>
      <c r="T32" s="704" t="s">
        <v>14</v>
      </c>
      <c r="U32" s="705">
        <f t="shared" si="11"/>
        <v>100</v>
      </c>
      <c r="V32" s="704" t="s">
        <v>14</v>
      </c>
      <c r="W32" s="705">
        <f t="shared" si="12"/>
        <v>100</v>
      </c>
      <c r="X32" s="1354"/>
      <c r="Y32" s="376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69"/>
      <c r="Q33" s="1351"/>
      <c r="R33" s="704"/>
      <c r="S33" s="705"/>
      <c r="T33" s="704"/>
      <c r="U33" s="705"/>
      <c r="V33" s="704"/>
      <c r="W33" s="705"/>
      <c r="X33" s="1354"/>
      <c r="Y33" s="376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69"/>
      <c r="Q34" s="1351" t="str">
        <f t="shared" si="8"/>
        <v>土地级别</v>
      </c>
      <c r="R34" s="704" t="s">
        <v>14</v>
      </c>
      <c r="S34" s="705">
        <f t="shared" si="10"/>
        <v>100</v>
      </c>
      <c r="T34" s="704" t="s">
        <v>14</v>
      </c>
      <c r="U34" s="705">
        <f t="shared" si="11"/>
        <v>100</v>
      </c>
      <c r="V34" s="704" t="s">
        <v>14</v>
      </c>
      <c r="W34" s="705">
        <f t="shared" si="12"/>
        <v>100</v>
      </c>
      <c r="X34" s="1354"/>
      <c r="Y34" s="376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69"/>
      <c r="Q35" s="1351">
        <f t="shared" si="8"/>
        <v>111</v>
      </c>
      <c r="R35" s="704" t="s">
        <v>14</v>
      </c>
      <c r="S35" s="705">
        <f t="shared" si="10"/>
        <v>100</v>
      </c>
      <c r="T35" s="704" t="s">
        <v>14</v>
      </c>
      <c r="U35" s="705">
        <f t="shared" si="11"/>
        <v>100</v>
      </c>
      <c r="V35" s="704" t="s">
        <v>14</v>
      </c>
      <c r="W35" s="705">
        <f t="shared" si="12"/>
        <v>100</v>
      </c>
      <c r="X35" s="1354"/>
      <c r="Y35" s="376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26" t="s">
        <v>1696</v>
      </c>
      <c r="Q36" s="1351">
        <f t="shared" si="8"/>
        <v>111</v>
      </c>
      <c r="R36" s="704" t="s">
        <v>14</v>
      </c>
      <c r="S36" s="705">
        <f t="shared" si="10"/>
        <v>100</v>
      </c>
      <c r="T36" s="704" t="s">
        <v>14</v>
      </c>
      <c r="U36" s="705">
        <f t="shared" si="11"/>
        <v>100</v>
      </c>
      <c r="V36" s="704" t="s">
        <v>14</v>
      </c>
      <c r="W36" s="705">
        <f t="shared" si="12"/>
        <v>100</v>
      </c>
      <c r="X36" s="1354"/>
      <c r="Y36" s="3773"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73"/>
      <c r="Q37" s="1351">
        <f t="shared" si="8"/>
        <v>111</v>
      </c>
      <c r="R37" s="707" t="s">
        <v>14</v>
      </c>
      <c r="S37" s="708">
        <f t="shared" si="10"/>
        <v>100</v>
      </c>
      <c r="T37" s="707" t="s">
        <v>14</v>
      </c>
      <c r="U37" s="708">
        <f t="shared" si="11"/>
        <v>100</v>
      </c>
      <c r="V37" s="707" t="s">
        <v>14</v>
      </c>
      <c r="W37" s="708">
        <f t="shared" si="12"/>
        <v>100</v>
      </c>
      <c r="X37" s="709"/>
      <c r="Y37" s="3773"/>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73"/>
      <c r="Q38" s="1351" t="str">
        <f>B38</f>
        <v>宗地面积</v>
      </c>
      <c r="R38" s="704" t="s">
        <v>14</v>
      </c>
      <c r="S38" s="705" t="e">
        <f t="shared" si="10"/>
        <v>#N/A</v>
      </c>
      <c r="T38" s="704" t="s">
        <v>14</v>
      </c>
      <c r="U38" s="705" t="e">
        <f t="shared" si="11"/>
        <v>#N/A</v>
      </c>
      <c r="V38" s="704" t="s">
        <v>14</v>
      </c>
      <c r="W38" s="705" t="e">
        <f t="shared" si="12"/>
        <v>#N/A</v>
      </c>
      <c r="X38" s="1354"/>
      <c r="Y38" s="377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73"/>
      <c r="Q39" s="1351" t="str">
        <f t="shared" ref="Q39:Q45" si="14">B39</f>
        <v>宗地形状</v>
      </c>
      <c r="R39" s="704" t="s">
        <v>14</v>
      </c>
      <c r="S39" s="705">
        <f t="shared" si="10"/>
        <v>100</v>
      </c>
      <c r="T39" s="704" t="s">
        <v>14</v>
      </c>
      <c r="U39" s="705">
        <f t="shared" si="11"/>
        <v>100</v>
      </c>
      <c r="V39" s="704" t="s">
        <v>14</v>
      </c>
      <c r="W39" s="705">
        <f t="shared" si="12"/>
        <v>100</v>
      </c>
      <c r="X39" s="1354"/>
      <c r="Y39" s="377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73"/>
      <c r="Q40" s="1351" t="str">
        <f t="shared" si="14"/>
        <v>临街宽度及深度</v>
      </c>
      <c r="R40" s="704" t="s">
        <v>14</v>
      </c>
      <c r="S40" s="705">
        <f t="shared" si="10"/>
        <v>100</v>
      </c>
      <c r="T40" s="704" t="s">
        <v>14</v>
      </c>
      <c r="U40" s="705">
        <f t="shared" si="11"/>
        <v>100</v>
      </c>
      <c r="V40" s="704" t="s">
        <v>14</v>
      </c>
      <c r="W40" s="705">
        <f t="shared" si="12"/>
        <v>100</v>
      </c>
      <c r="X40" s="1354"/>
      <c r="Y40" s="377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73"/>
      <c r="Q41" s="1351" t="str">
        <f t="shared" si="14"/>
        <v>宗地开发程度</v>
      </c>
      <c r="R41" s="700" t="s">
        <v>14</v>
      </c>
      <c r="S41" s="701">
        <f t="shared" si="10"/>
        <v>100</v>
      </c>
      <c r="T41" s="700" t="s">
        <v>14</v>
      </c>
      <c r="U41" s="701">
        <f t="shared" si="11"/>
        <v>100</v>
      </c>
      <c r="V41" s="700" t="s">
        <v>14</v>
      </c>
      <c r="W41" s="701">
        <f t="shared" si="12"/>
        <v>100</v>
      </c>
      <c r="X41" s="702"/>
      <c r="Y41" s="377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73" t="s">
        <v>1696</v>
      </c>
      <c r="Q42" s="1351" t="str">
        <f t="shared" si="14"/>
        <v>工程地质条件</v>
      </c>
      <c r="R42" s="704" t="s">
        <v>14</v>
      </c>
      <c r="S42" s="705">
        <f t="shared" si="10"/>
        <v>100</v>
      </c>
      <c r="T42" s="704" t="s">
        <v>14</v>
      </c>
      <c r="U42" s="705">
        <f t="shared" si="11"/>
        <v>100</v>
      </c>
      <c r="V42" s="704" t="s">
        <v>14</v>
      </c>
      <c r="W42" s="705">
        <f t="shared" si="12"/>
        <v>100</v>
      </c>
      <c r="X42" s="1354"/>
      <c r="Y42" s="3773"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73"/>
      <c r="Q43" s="1351">
        <f t="shared" si="14"/>
        <v>111</v>
      </c>
      <c r="R43" s="704" t="s">
        <v>14</v>
      </c>
      <c r="S43" s="705">
        <f t="shared" si="10"/>
        <v>100</v>
      </c>
      <c r="T43" s="704" t="s">
        <v>14</v>
      </c>
      <c r="U43" s="705">
        <f t="shared" si="11"/>
        <v>100</v>
      </c>
      <c r="V43" s="704" t="s">
        <v>14</v>
      </c>
      <c r="W43" s="705">
        <f t="shared" si="12"/>
        <v>100</v>
      </c>
      <c r="X43" s="1354"/>
      <c r="Y43" s="377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73"/>
      <c r="Q44" s="1351">
        <f t="shared" si="14"/>
        <v>111</v>
      </c>
      <c r="R44" s="704" t="s">
        <v>14</v>
      </c>
      <c r="S44" s="705">
        <f t="shared" si="10"/>
        <v>100</v>
      </c>
      <c r="T44" s="704" t="s">
        <v>14</v>
      </c>
      <c r="U44" s="705">
        <f t="shared" si="11"/>
        <v>100</v>
      </c>
      <c r="V44" s="704" t="s">
        <v>14</v>
      </c>
      <c r="W44" s="705">
        <f t="shared" si="12"/>
        <v>100</v>
      </c>
      <c r="X44" s="1354"/>
      <c r="Y44" s="377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73"/>
      <c r="Q45" s="1351">
        <f t="shared" si="14"/>
        <v>111</v>
      </c>
      <c r="R45" s="707" t="s">
        <v>14</v>
      </c>
      <c r="S45" s="708">
        <f t="shared" si="10"/>
        <v>100</v>
      </c>
      <c r="T45" s="707" t="s">
        <v>14</v>
      </c>
      <c r="U45" s="708">
        <f t="shared" si="11"/>
        <v>100</v>
      </c>
      <c r="V45" s="707" t="s">
        <v>14</v>
      </c>
      <c r="W45" s="708">
        <f t="shared" si="12"/>
        <v>100</v>
      </c>
      <c r="X45" s="709"/>
      <c r="Y45" s="3773"/>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66" t="str">
        <f>A46</f>
        <v>成交单价</v>
      </c>
      <c r="Q46" s="3766"/>
      <c r="R46" s="3797">
        <f>E46</f>
        <v>0</v>
      </c>
      <c r="S46" s="3797"/>
      <c r="T46" s="3797">
        <f>G46</f>
        <v>0</v>
      </c>
      <c r="U46" s="3797"/>
      <c r="V46" s="3797">
        <f>I46</f>
        <v>0</v>
      </c>
      <c r="W46" s="379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66" t="str">
        <f>A47</f>
        <v>比较价值（元/平方米）</v>
      </c>
      <c r="Q47" s="3766"/>
      <c r="R47" s="3828" t="e">
        <f>ROUND(PRODUCT(R46,AA7:AA45),0)</f>
        <v>#DIV/0!</v>
      </c>
      <c r="S47" s="3828"/>
      <c r="T47" s="3828" t="e">
        <f>ROUND(PRODUCT(T46,AB7:AB45),0)</f>
        <v>#DIV/0!</v>
      </c>
      <c r="U47" s="3828"/>
      <c r="V47" s="3828" t="e">
        <f>ROUND(PRODUCT(V46,AC7:AC45),0)</f>
        <v>#DIV/0!</v>
      </c>
      <c r="W47" s="382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3" t="str">
        <f>A48</f>
        <v>估价对象XX用房的比较价值（楼面单价，元/平方米）</v>
      </c>
      <c r="Q48" s="3764"/>
      <c r="R48" s="3829" t="e">
        <f>ROUND(IF(D47="简单平均",AVERAGE(R47:W47),R47*F47+T47*H47+V47*J47),0)</f>
        <v>#DIV/0!</v>
      </c>
      <c r="S48" s="3829"/>
      <c r="T48" s="3829"/>
      <c r="U48" s="3829"/>
      <c r="V48" s="3829"/>
      <c r="W48" s="382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781" t="s">
        <v>1887</v>
      </c>
      <c r="H55" s="383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6305.16</v>
      </c>
      <c r="F56" s="885" t="e">
        <f t="shared" ref="F56:F64" si="15">ROUND(B56*E56/10000,0)</f>
        <v>#DIV/0!</v>
      </c>
      <c r="G56" s="3777"/>
      <c r="H56" s="376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6305.16</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2025-9-1</v>
      </c>
      <c r="D67" s="691">
        <f>EDATE(C67,-3)</f>
        <v>45809</v>
      </c>
      <c r="E67" s="691">
        <f>EDATE(D67,-3)</f>
        <v>45717</v>
      </c>
      <c r="F67" s="691">
        <f t="shared" ref="F67:O67" si="18">EDATE(E67,-3)</f>
        <v>45627</v>
      </c>
      <c r="G67" s="691">
        <f t="shared" si="18"/>
        <v>45536</v>
      </c>
      <c r="H67" s="691">
        <f t="shared" si="18"/>
        <v>45444</v>
      </c>
      <c r="I67" s="691">
        <f t="shared" si="18"/>
        <v>45352</v>
      </c>
      <c r="J67" s="691">
        <f t="shared" si="18"/>
        <v>45261</v>
      </c>
      <c r="K67" s="691">
        <f t="shared" si="18"/>
        <v>45170</v>
      </c>
      <c r="L67" s="691">
        <f t="shared" si="18"/>
        <v>45078</v>
      </c>
      <c r="M67" s="691">
        <f t="shared" si="18"/>
        <v>44986</v>
      </c>
      <c r="N67" s="691">
        <f t="shared" si="18"/>
        <v>44896</v>
      </c>
      <c r="O67" s="691">
        <f t="shared" si="18"/>
        <v>44805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785" t="s">
        <v>1775</v>
      </c>
      <c r="Q4" s="3786"/>
      <c r="R4" s="3791" t="s">
        <v>1771</v>
      </c>
      <c r="S4" s="3792"/>
      <c r="T4" s="3791" t="s">
        <v>1772</v>
      </c>
      <c r="U4" s="3792"/>
      <c r="V4" s="3797" t="s">
        <v>1773</v>
      </c>
      <c r="W4" s="3797"/>
      <c r="X4" s="1354"/>
      <c r="Y4" s="3791" t="s">
        <v>1775</v>
      </c>
      <c r="Z4" s="3792"/>
      <c r="AA4" s="3778" t="s">
        <v>1771</v>
      </c>
      <c r="AB4" s="3779" t="s">
        <v>1772</v>
      </c>
      <c r="AC4" s="3778" t="s">
        <v>1773</v>
      </c>
    </row>
    <row r="5" spans="1:29" ht="15">
      <c r="A5" s="358"/>
      <c r="B5" s="359"/>
      <c r="C5" s="3800" t="s">
        <v>1673</v>
      </c>
      <c r="D5" s="3801"/>
      <c r="E5" s="3807" t="s">
        <v>1674</v>
      </c>
      <c r="F5" s="3808"/>
      <c r="G5" s="3800" t="s">
        <v>1675</v>
      </c>
      <c r="H5" s="3801"/>
      <c r="I5" s="3800" t="s">
        <v>1676</v>
      </c>
      <c r="J5" s="3801"/>
      <c r="K5" s="559"/>
      <c r="L5" s="2714"/>
      <c r="M5" s="2715"/>
      <c r="N5" s="2715"/>
      <c r="O5" s="2715"/>
      <c r="P5" s="3787"/>
      <c r="Q5" s="3788"/>
      <c r="R5" s="3793"/>
      <c r="S5" s="3794"/>
      <c r="T5" s="3793"/>
      <c r="U5" s="3794"/>
      <c r="V5" s="3797"/>
      <c r="W5" s="3797"/>
      <c r="X5" s="1354"/>
      <c r="Y5" s="3793"/>
      <c r="Z5" s="3794"/>
      <c r="AA5" s="3779"/>
      <c r="AB5" s="3779"/>
      <c r="AC5" s="3779"/>
    </row>
    <row r="6" spans="1:29" ht="15.75" thickBot="1">
      <c r="A6" s="360"/>
      <c r="B6" s="361"/>
      <c r="C6" s="3831" t="s">
        <v>1919</v>
      </c>
      <c r="D6" s="3832"/>
      <c r="E6" s="3833" t="s">
        <v>1919</v>
      </c>
      <c r="F6" s="3834"/>
      <c r="G6" s="3831" t="s">
        <v>1919</v>
      </c>
      <c r="H6" s="3832"/>
      <c r="I6" s="3831" t="s">
        <v>1919</v>
      </c>
      <c r="J6" s="3832"/>
      <c r="K6" s="559" t="s">
        <v>1678</v>
      </c>
      <c r="L6" s="2714"/>
      <c r="M6" s="2715"/>
      <c r="N6" s="2715"/>
      <c r="O6" s="2715"/>
      <c r="P6" s="3789"/>
      <c r="Q6" s="3790"/>
      <c r="R6" s="3793"/>
      <c r="S6" s="3794"/>
      <c r="T6" s="3795"/>
      <c r="U6" s="3796"/>
      <c r="V6" s="3797"/>
      <c r="W6" s="3797"/>
      <c r="X6" s="1354"/>
      <c r="Y6" s="3795"/>
      <c r="Z6" s="3796"/>
      <c r="AA6" s="3780"/>
      <c r="AB6" s="3780"/>
      <c r="AC6" s="3780"/>
    </row>
    <row r="7" spans="1:29" s="108" customFormat="1" ht="15.75" thickBot="1">
      <c r="A7" s="362" t="s">
        <v>1679</v>
      </c>
      <c r="B7" s="363"/>
      <c r="C7" s="364">
        <f>'数据-取费表'!B2</f>
        <v>45909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02" t="s">
        <v>1680</v>
      </c>
      <c r="Q7" s="3804"/>
      <c r="R7" s="700" t="s">
        <v>14</v>
      </c>
      <c r="S7" s="701">
        <f t="shared" ref="S7:S15" si="0">F7</f>
        <v>0</v>
      </c>
      <c r="T7" s="700" t="s">
        <v>14</v>
      </c>
      <c r="U7" s="701">
        <f t="shared" ref="U7:U15" si="1">H7</f>
        <v>0</v>
      </c>
      <c r="V7" s="700" t="s">
        <v>14</v>
      </c>
      <c r="W7" s="701">
        <f t="shared" ref="W7:W15" si="2">J7</f>
        <v>0</v>
      </c>
      <c r="X7" s="702"/>
      <c r="Y7" s="3802" t="s">
        <v>1680</v>
      </c>
      <c r="Z7" s="38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02" t="s">
        <v>1683</v>
      </c>
      <c r="Q8" s="3803"/>
      <c r="R8" s="700" t="s">
        <v>14</v>
      </c>
      <c r="S8" s="701">
        <f t="shared" si="0"/>
        <v>0</v>
      </c>
      <c r="T8" s="700" t="s">
        <v>14</v>
      </c>
      <c r="U8" s="701">
        <f t="shared" si="1"/>
        <v>0</v>
      </c>
      <c r="V8" s="700" t="s">
        <v>14</v>
      </c>
      <c r="W8" s="701">
        <f t="shared" si="2"/>
        <v>0</v>
      </c>
      <c r="X8" s="702"/>
      <c r="Y8" s="3802" t="s">
        <v>1683</v>
      </c>
      <c r="Z8" s="38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66" t="s">
        <v>1686</v>
      </c>
      <c r="Q9" s="1342" t="str">
        <f t="shared" ref="Q9:Q15" si="6">B9</f>
        <v>用途</v>
      </c>
      <c r="R9" s="700" t="s">
        <v>14</v>
      </c>
      <c r="S9" s="701">
        <f t="shared" si="0"/>
        <v>100</v>
      </c>
      <c r="T9" s="700" t="s">
        <v>14</v>
      </c>
      <c r="U9" s="701">
        <f t="shared" si="1"/>
        <v>100</v>
      </c>
      <c r="V9" s="700" t="s">
        <v>14</v>
      </c>
      <c r="W9" s="701">
        <f t="shared" si="2"/>
        <v>100</v>
      </c>
      <c r="X9" s="702"/>
      <c r="Y9" s="364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66"/>
      <c r="Q10" s="1342" t="str">
        <f t="shared" si="6"/>
        <v>土地使用年限（年）</v>
      </c>
      <c r="R10" s="700" t="s">
        <v>14</v>
      </c>
      <c r="S10" s="701">
        <f t="shared" si="0"/>
        <v>106</v>
      </c>
      <c r="T10" s="700" t="s">
        <v>14</v>
      </c>
      <c r="U10" s="701">
        <f t="shared" si="1"/>
        <v>106</v>
      </c>
      <c r="V10" s="700" t="s">
        <v>14</v>
      </c>
      <c r="W10" s="701">
        <f t="shared" si="2"/>
        <v>106</v>
      </c>
      <c r="X10" s="702"/>
      <c r="Y10" s="3641"/>
      <c r="Z10" s="52" t="str">
        <f t="shared" si="7"/>
        <v>土地使用年限（年）</v>
      </c>
      <c r="AA10" s="703">
        <f t="shared" si="3"/>
        <v>0.94339622641509435</v>
      </c>
      <c r="AB10" s="703">
        <f t="shared" si="4"/>
        <v>0.94339622641509435</v>
      </c>
      <c r="AC10" s="703">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66"/>
      <c r="Q11" s="1342" t="str">
        <f t="shared" si="6"/>
        <v>容积率</v>
      </c>
      <c r="R11" s="700" t="s">
        <v>14</v>
      </c>
      <c r="S11" s="701" t="e">
        <f t="shared" si="0"/>
        <v>#N/A</v>
      </c>
      <c r="T11" s="700" t="s">
        <v>14</v>
      </c>
      <c r="U11" s="701" t="e">
        <f t="shared" si="1"/>
        <v>#N/A</v>
      </c>
      <c r="V11" s="700" t="s">
        <v>14</v>
      </c>
      <c r="W11" s="701" t="e">
        <f t="shared" si="2"/>
        <v>#N/A</v>
      </c>
      <c r="X11" s="702"/>
      <c r="Y11" s="364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66"/>
      <c r="Q12" s="1342">
        <f t="shared" si="6"/>
        <v>111</v>
      </c>
      <c r="R12" s="700" t="s">
        <v>14</v>
      </c>
      <c r="S12" s="701">
        <f t="shared" si="0"/>
        <v>100</v>
      </c>
      <c r="T12" s="700" t="s">
        <v>14</v>
      </c>
      <c r="U12" s="701">
        <f t="shared" si="1"/>
        <v>100</v>
      </c>
      <c r="V12" s="700" t="s">
        <v>14</v>
      </c>
      <c r="W12" s="701">
        <f t="shared" si="2"/>
        <v>100</v>
      </c>
      <c r="X12" s="702"/>
      <c r="Y12" s="364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66"/>
      <c r="Q13" s="1342">
        <f t="shared" si="6"/>
        <v>111</v>
      </c>
      <c r="R13" s="700" t="s">
        <v>14</v>
      </c>
      <c r="S13" s="701">
        <f t="shared" si="0"/>
        <v>100</v>
      </c>
      <c r="T13" s="700" t="s">
        <v>14</v>
      </c>
      <c r="U13" s="701">
        <f t="shared" si="1"/>
        <v>100</v>
      </c>
      <c r="V13" s="700" t="s">
        <v>14</v>
      </c>
      <c r="W13" s="701">
        <f t="shared" si="2"/>
        <v>100</v>
      </c>
      <c r="X13" s="702"/>
      <c r="Y13" s="364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66"/>
      <c r="Q14" s="1342">
        <f t="shared" si="6"/>
        <v>111</v>
      </c>
      <c r="R14" s="700" t="s">
        <v>14</v>
      </c>
      <c r="S14" s="701">
        <f t="shared" si="0"/>
        <v>100</v>
      </c>
      <c r="T14" s="700" t="s">
        <v>14</v>
      </c>
      <c r="U14" s="701">
        <f t="shared" si="1"/>
        <v>100</v>
      </c>
      <c r="V14" s="700" t="s">
        <v>14</v>
      </c>
      <c r="W14" s="701">
        <f t="shared" si="2"/>
        <v>100</v>
      </c>
      <c r="X14" s="702"/>
      <c r="Y14" s="3641"/>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68" t="s">
        <v>1691</v>
      </c>
      <c r="Q15" s="1351" t="str">
        <f t="shared" si="6"/>
        <v>产业集聚程度</v>
      </c>
      <c r="R15" s="704" t="s">
        <v>14</v>
      </c>
      <c r="S15" s="705">
        <f t="shared" si="0"/>
        <v>100</v>
      </c>
      <c r="T15" s="704" t="s">
        <v>14</v>
      </c>
      <c r="U15" s="705">
        <f t="shared" si="1"/>
        <v>100</v>
      </c>
      <c r="V15" s="704" t="s">
        <v>14</v>
      </c>
      <c r="W15" s="705">
        <f t="shared" si="2"/>
        <v>100</v>
      </c>
      <c r="X15" s="1354"/>
      <c r="Y15" s="376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69"/>
      <c r="Q16" s="1351"/>
      <c r="R16" s="704"/>
      <c r="S16" s="705"/>
      <c r="T16" s="704"/>
      <c r="U16" s="705"/>
      <c r="V16" s="704"/>
      <c r="W16" s="705"/>
      <c r="X16" s="1354"/>
      <c r="Y16" s="376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69"/>
      <c r="Q17" s="1351" t="str">
        <f>B17</f>
        <v>交通便捷度</v>
      </c>
      <c r="R17" s="704" t="s">
        <v>14</v>
      </c>
      <c r="S17" s="705">
        <f>F17</f>
        <v>100</v>
      </c>
      <c r="T17" s="704" t="s">
        <v>14</v>
      </c>
      <c r="U17" s="705">
        <f>H17</f>
        <v>100</v>
      </c>
      <c r="V17" s="704" t="s">
        <v>14</v>
      </c>
      <c r="W17" s="705">
        <f>J17</f>
        <v>100</v>
      </c>
      <c r="X17" s="1354"/>
      <c r="Y17" s="376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69"/>
      <c r="Q18" s="1351"/>
      <c r="R18" s="704"/>
      <c r="S18" s="705"/>
      <c r="T18" s="704"/>
      <c r="U18" s="705"/>
      <c r="V18" s="704"/>
      <c r="W18" s="705"/>
      <c r="X18" s="1354"/>
      <c r="Y18" s="376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69"/>
      <c r="Q19" s="1351" t="str">
        <f t="shared" ref="Q19:Q33" si="8">B19</f>
        <v>区域土地利用方向</v>
      </c>
      <c r="R19" s="704" t="s">
        <v>14</v>
      </c>
      <c r="S19" s="705">
        <f>F19</f>
        <v>100</v>
      </c>
      <c r="T19" s="704" t="s">
        <v>14</v>
      </c>
      <c r="U19" s="705">
        <f>H19</f>
        <v>100</v>
      </c>
      <c r="V19" s="704" t="s">
        <v>14</v>
      </c>
      <c r="W19" s="705">
        <f>J19</f>
        <v>100</v>
      </c>
      <c r="X19" s="1354"/>
      <c r="Y19" s="376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69"/>
      <c r="Q20" s="1351"/>
      <c r="R20" s="704"/>
      <c r="S20" s="705"/>
      <c r="T20" s="704"/>
      <c r="U20" s="705"/>
      <c r="V20" s="704"/>
      <c r="W20" s="705"/>
      <c r="X20" s="1354"/>
      <c r="Y20" s="376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69"/>
      <c r="Q21" s="1351" t="str">
        <f t="shared" si="8"/>
        <v>环境状况</v>
      </c>
      <c r="R21" s="704" t="s">
        <v>14</v>
      </c>
      <c r="S21" s="705">
        <f>F21</f>
        <v>100</v>
      </c>
      <c r="T21" s="704" t="s">
        <v>14</v>
      </c>
      <c r="U21" s="705">
        <f>H21</f>
        <v>100</v>
      </c>
      <c r="V21" s="704" t="s">
        <v>14</v>
      </c>
      <c r="W21" s="705">
        <f>J21</f>
        <v>100</v>
      </c>
      <c r="X21" s="1354"/>
      <c r="Y21" s="376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69"/>
      <c r="Q22" s="1351"/>
      <c r="R22" s="704"/>
      <c r="S22" s="705"/>
      <c r="T22" s="704"/>
      <c r="U22" s="705"/>
      <c r="V22" s="704"/>
      <c r="W22" s="705"/>
      <c r="X22" s="1354"/>
      <c r="Y22" s="376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69"/>
      <c r="Q23" s="1342" t="str">
        <f t="shared" si="8"/>
        <v>公共配套设施</v>
      </c>
      <c r="R23" s="700" t="s">
        <v>14</v>
      </c>
      <c r="S23" s="701">
        <f>F23</f>
        <v>100</v>
      </c>
      <c r="T23" s="700" t="s">
        <v>14</v>
      </c>
      <c r="U23" s="701">
        <f>H23</f>
        <v>100</v>
      </c>
      <c r="V23" s="700" t="s">
        <v>14</v>
      </c>
      <c r="W23" s="701">
        <f>J23</f>
        <v>100</v>
      </c>
      <c r="X23" s="702"/>
      <c r="Y23" s="376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69"/>
      <c r="Q24" s="1342"/>
      <c r="R24" s="700"/>
      <c r="S24" s="701"/>
      <c r="T24" s="700"/>
      <c r="U24" s="701"/>
      <c r="V24" s="700"/>
      <c r="W24" s="701"/>
      <c r="X24" s="702"/>
      <c r="Y24" s="3769"/>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69"/>
      <c r="Q25" s="1342" t="str">
        <f t="shared" ref="Q25" si="9">B25</f>
        <v>基础设施水平</v>
      </c>
      <c r="R25" s="700" t="s">
        <v>14</v>
      </c>
      <c r="S25" s="701">
        <f>F25</f>
        <v>100</v>
      </c>
      <c r="T25" s="700" t="s">
        <v>14</v>
      </c>
      <c r="U25" s="701">
        <f>H25</f>
        <v>100</v>
      </c>
      <c r="V25" s="700" t="s">
        <v>14</v>
      </c>
      <c r="W25" s="701">
        <f>J25</f>
        <v>100</v>
      </c>
      <c r="X25" s="702"/>
      <c r="Y25" s="376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69"/>
      <c r="Q26" s="1342"/>
      <c r="R26" s="700"/>
      <c r="S26" s="701"/>
      <c r="T26" s="700"/>
      <c r="U26" s="701"/>
      <c r="V26" s="700"/>
      <c r="W26" s="701"/>
      <c r="X26" s="702"/>
      <c r="Y26" s="376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6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6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69"/>
      <c r="Q28" s="1351" t="str">
        <f t="shared" si="8"/>
        <v>毗邻道路的类型与等级</v>
      </c>
      <c r="R28" s="704" t="s">
        <v>14</v>
      </c>
      <c r="S28" s="705">
        <f t="shared" si="10"/>
        <v>100</v>
      </c>
      <c r="T28" s="704" t="s">
        <v>14</v>
      </c>
      <c r="U28" s="705">
        <f t="shared" si="11"/>
        <v>100</v>
      </c>
      <c r="V28" s="704" t="s">
        <v>14</v>
      </c>
      <c r="W28" s="705">
        <f t="shared" si="12"/>
        <v>100</v>
      </c>
      <c r="X28" s="1354"/>
      <c r="Y28" s="376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69"/>
      <c r="Q29" s="1351"/>
      <c r="R29" s="704"/>
      <c r="S29" s="705"/>
      <c r="T29" s="704"/>
      <c r="U29" s="705"/>
      <c r="V29" s="704"/>
      <c r="W29" s="705"/>
      <c r="X29" s="1354"/>
      <c r="Y29" s="376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69"/>
      <c r="Q30" s="1351" t="str">
        <f t="shared" si="8"/>
        <v>土地级别</v>
      </c>
      <c r="R30" s="704" t="s">
        <v>14</v>
      </c>
      <c r="S30" s="705">
        <f t="shared" si="10"/>
        <v>100</v>
      </c>
      <c r="T30" s="704" t="s">
        <v>14</v>
      </c>
      <c r="U30" s="705">
        <f t="shared" si="11"/>
        <v>100</v>
      </c>
      <c r="V30" s="704" t="s">
        <v>14</v>
      </c>
      <c r="W30" s="705">
        <f t="shared" si="12"/>
        <v>100</v>
      </c>
      <c r="X30" s="1354"/>
      <c r="Y30" s="376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69"/>
      <c r="Q31" s="1351">
        <f t="shared" si="8"/>
        <v>111</v>
      </c>
      <c r="R31" s="704" t="s">
        <v>14</v>
      </c>
      <c r="S31" s="705">
        <f t="shared" si="10"/>
        <v>100</v>
      </c>
      <c r="T31" s="704" t="s">
        <v>14</v>
      </c>
      <c r="U31" s="705">
        <f t="shared" si="11"/>
        <v>100</v>
      </c>
      <c r="V31" s="704" t="s">
        <v>14</v>
      </c>
      <c r="W31" s="705">
        <f t="shared" si="12"/>
        <v>100</v>
      </c>
      <c r="X31" s="1354"/>
      <c r="Y31" s="376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26" t="s">
        <v>1696</v>
      </c>
      <c r="Q32" s="1351">
        <f t="shared" si="8"/>
        <v>111</v>
      </c>
      <c r="R32" s="704" t="s">
        <v>14</v>
      </c>
      <c r="S32" s="705">
        <f t="shared" si="10"/>
        <v>100</v>
      </c>
      <c r="T32" s="704" t="s">
        <v>14</v>
      </c>
      <c r="U32" s="705">
        <f t="shared" si="11"/>
        <v>100</v>
      </c>
      <c r="V32" s="704" t="s">
        <v>14</v>
      </c>
      <c r="W32" s="705">
        <f t="shared" si="12"/>
        <v>100</v>
      </c>
      <c r="X32" s="1354"/>
      <c r="Y32" s="377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73"/>
      <c r="Q33" s="1351">
        <f t="shared" si="8"/>
        <v>111</v>
      </c>
      <c r="R33" s="707" t="s">
        <v>14</v>
      </c>
      <c r="S33" s="708">
        <f t="shared" si="10"/>
        <v>100</v>
      </c>
      <c r="T33" s="707" t="s">
        <v>14</v>
      </c>
      <c r="U33" s="708">
        <f t="shared" si="11"/>
        <v>100</v>
      </c>
      <c r="V33" s="707" t="s">
        <v>14</v>
      </c>
      <c r="W33" s="708">
        <f t="shared" si="12"/>
        <v>100</v>
      </c>
      <c r="X33" s="709"/>
      <c r="Y33" s="3773"/>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73"/>
      <c r="Q34" s="1351" t="str">
        <f>B34</f>
        <v>宗地面积</v>
      </c>
      <c r="R34" s="704" t="s">
        <v>14</v>
      </c>
      <c r="S34" s="705" t="e">
        <f t="shared" si="10"/>
        <v>#N/A</v>
      </c>
      <c r="T34" s="704" t="s">
        <v>14</v>
      </c>
      <c r="U34" s="705" t="e">
        <f t="shared" si="11"/>
        <v>#N/A</v>
      </c>
      <c r="V34" s="704" t="s">
        <v>14</v>
      </c>
      <c r="W34" s="705" t="e">
        <f t="shared" si="12"/>
        <v>#N/A</v>
      </c>
      <c r="X34" s="1354"/>
      <c r="Y34" s="377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73"/>
      <c r="Q35" s="1351" t="str">
        <f t="shared" ref="Q35:Q40" si="14">B35</f>
        <v>宗地形状</v>
      </c>
      <c r="R35" s="704" t="s">
        <v>14</v>
      </c>
      <c r="S35" s="705">
        <f t="shared" si="10"/>
        <v>100</v>
      </c>
      <c r="T35" s="704" t="s">
        <v>14</v>
      </c>
      <c r="U35" s="705">
        <f t="shared" si="11"/>
        <v>100</v>
      </c>
      <c r="V35" s="704" t="s">
        <v>14</v>
      </c>
      <c r="W35" s="705">
        <f t="shared" si="12"/>
        <v>100</v>
      </c>
      <c r="X35" s="1354"/>
      <c r="Y35" s="377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73"/>
      <c r="Q36" s="1351" t="str">
        <f t="shared" si="14"/>
        <v>宗地开发程度</v>
      </c>
      <c r="R36" s="700" t="s">
        <v>14</v>
      </c>
      <c r="S36" s="701">
        <f t="shared" si="10"/>
        <v>100</v>
      </c>
      <c r="T36" s="700" t="s">
        <v>14</v>
      </c>
      <c r="U36" s="701">
        <f t="shared" si="11"/>
        <v>100</v>
      </c>
      <c r="V36" s="700" t="s">
        <v>14</v>
      </c>
      <c r="W36" s="701">
        <f t="shared" si="12"/>
        <v>100</v>
      </c>
      <c r="X36" s="702"/>
      <c r="Y36" s="377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73" t="s">
        <v>1696</v>
      </c>
      <c r="Q37" s="1351" t="str">
        <f t="shared" si="14"/>
        <v>工程地质条件</v>
      </c>
      <c r="R37" s="704" t="s">
        <v>14</v>
      </c>
      <c r="S37" s="705">
        <f t="shared" si="10"/>
        <v>100</v>
      </c>
      <c r="T37" s="704" t="s">
        <v>14</v>
      </c>
      <c r="U37" s="705">
        <f t="shared" si="11"/>
        <v>100</v>
      </c>
      <c r="V37" s="704" t="s">
        <v>14</v>
      </c>
      <c r="W37" s="705">
        <f t="shared" si="12"/>
        <v>100</v>
      </c>
      <c r="X37" s="1354"/>
      <c r="Y37" s="377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73"/>
      <c r="Q38" s="1351">
        <f t="shared" si="14"/>
        <v>111</v>
      </c>
      <c r="R38" s="704" t="s">
        <v>14</v>
      </c>
      <c r="S38" s="705">
        <f t="shared" si="10"/>
        <v>100</v>
      </c>
      <c r="T38" s="704" t="s">
        <v>14</v>
      </c>
      <c r="U38" s="705">
        <f t="shared" si="11"/>
        <v>100</v>
      </c>
      <c r="V38" s="704" t="s">
        <v>14</v>
      </c>
      <c r="W38" s="705">
        <f t="shared" si="12"/>
        <v>100</v>
      </c>
      <c r="X38" s="1354"/>
      <c r="Y38" s="377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73"/>
      <c r="Q39" s="1351">
        <f t="shared" si="14"/>
        <v>111</v>
      </c>
      <c r="R39" s="704" t="s">
        <v>14</v>
      </c>
      <c r="S39" s="705">
        <f t="shared" si="10"/>
        <v>100</v>
      </c>
      <c r="T39" s="704" t="s">
        <v>14</v>
      </c>
      <c r="U39" s="705">
        <f t="shared" si="11"/>
        <v>100</v>
      </c>
      <c r="V39" s="704" t="s">
        <v>14</v>
      </c>
      <c r="W39" s="705">
        <f t="shared" si="12"/>
        <v>100</v>
      </c>
      <c r="X39" s="1354"/>
      <c r="Y39" s="377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73"/>
      <c r="Q40" s="1351">
        <f t="shared" si="14"/>
        <v>111</v>
      </c>
      <c r="R40" s="707" t="s">
        <v>14</v>
      </c>
      <c r="S40" s="708">
        <f t="shared" si="10"/>
        <v>100</v>
      </c>
      <c r="T40" s="707" t="s">
        <v>14</v>
      </c>
      <c r="U40" s="708">
        <f t="shared" si="11"/>
        <v>100</v>
      </c>
      <c r="V40" s="707" t="s">
        <v>14</v>
      </c>
      <c r="W40" s="708">
        <f t="shared" si="12"/>
        <v>100</v>
      </c>
      <c r="X40" s="709"/>
      <c r="Y40" s="3773"/>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66" t="str">
        <f>A41</f>
        <v>成交单价</v>
      </c>
      <c r="Q41" s="3766"/>
      <c r="R41" s="3797">
        <f>E41</f>
        <v>0</v>
      </c>
      <c r="S41" s="3797"/>
      <c r="T41" s="3797">
        <f>G41</f>
        <v>0</v>
      </c>
      <c r="U41" s="3797"/>
      <c r="V41" s="3797">
        <f>I41</f>
        <v>0</v>
      </c>
      <c r="W41" s="379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66" t="str">
        <f>A42</f>
        <v>比较价值（元/平方米）</v>
      </c>
      <c r="Q42" s="3766"/>
      <c r="R42" s="3828" t="e">
        <f>ROUND(PRODUCT(R41,AA7:AA40),0)</f>
        <v>#DIV/0!</v>
      </c>
      <c r="S42" s="3828"/>
      <c r="T42" s="3828" t="e">
        <f>ROUND(PRODUCT(T41,AB7:AB40),0)</f>
        <v>#DIV/0!</v>
      </c>
      <c r="U42" s="3828"/>
      <c r="V42" s="3828" t="e">
        <f>ROUND(PRODUCT(V41,AC7:AC40),0)</f>
        <v>#DIV/0!</v>
      </c>
      <c r="W42" s="382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3" t="str">
        <f>A43</f>
        <v>估价对象XX用房的比较价值（楼面单价，元/平方米）</v>
      </c>
      <c r="Q43" s="3764"/>
      <c r="R43" s="3829" t="e">
        <f>ROUND(IF(D42="简单平均",AVERAGE(R42:W42),R42*F42+T42*H42+V42*J42),0)</f>
        <v>#DIV/0!</v>
      </c>
      <c r="S43" s="3829"/>
      <c r="T43" s="3829"/>
      <c r="U43" s="3829"/>
      <c r="V43" s="3829"/>
      <c r="W43" s="382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81" t="s">
        <v>1887</v>
      </c>
      <c r="H50" s="383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6305.16</v>
      </c>
      <c r="F51" s="639" t="e">
        <f t="shared" ref="F51:F60" si="15">ROUND(B51*E51/10000,0)</f>
        <v>#DIV/0!</v>
      </c>
      <c r="G51" s="3777"/>
      <c r="H51" s="376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2025-9-1</v>
      </c>
      <c r="D63" s="691">
        <f>EDATE(C63,-3)</f>
        <v>45809</v>
      </c>
      <c r="E63" s="691">
        <f>EDATE(D63,-3)</f>
        <v>45717</v>
      </c>
      <c r="F63" s="691">
        <f t="shared" ref="F63:O63" si="18">EDATE(E63,-3)</f>
        <v>45627</v>
      </c>
      <c r="G63" s="691">
        <f t="shared" si="18"/>
        <v>45536</v>
      </c>
      <c r="H63" s="691">
        <f t="shared" si="18"/>
        <v>45444</v>
      </c>
      <c r="I63" s="691">
        <f t="shared" si="18"/>
        <v>45352</v>
      </c>
      <c r="J63" s="691">
        <f t="shared" si="18"/>
        <v>45261</v>
      </c>
      <c r="K63" s="691">
        <f t="shared" si="18"/>
        <v>45170</v>
      </c>
      <c r="L63" s="691">
        <f t="shared" si="18"/>
        <v>45078</v>
      </c>
      <c r="M63" s="691">
        <f t="shared" si="18"/>
        <v>44986</v>
      </c>
      <c r="N63" s="691">
        <f t="shared" si="18"/>
        <v>44896</v>
      </c>
      <c r="O63" s="691">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3574</v>
      </c>
      <c r="F1" s="1878" t="s">
        <v>3610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10.7188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17</v>
      </c>
      <c r="C3" s="354" t="s">
        <v>1768</v>
      </c>
      <c r="D3" s="353">
        <f>IF(D1="",'数据-汇总表'!E3,SUMIF('数据-汇总表'!$C19:$C33,D1,'数据-汇总表'!$E19:$E33))</f>
        <v>6305.16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81" t="s">
        <v>1770</v>
      </c>
      <c r="D4" s="3782"/>
      <c r="E4" s="3783" t="s">
        <v>1771</v>
      </c>
      <c r="F4" s="3784"/>
      <c r="G4" s="3781" t="s">
        <v>1772</v>
      </c>
      <c r="H4" s="3782"/>
      <c r="I4" s="3781" t="s">
        <v>1773</v>
      </c>
      <c r="J4" s="3782"/>
      <c r="K4" s="559" t="s">
        <v>1774</v>
      </c>
      <c r="L4" s="2714"/>
      <c r="M4" s="2715"/>
      <c r="N4" s="2715"/>
      <c r="O4" s="2715"/>
      <c r="P4" s="3815" t="s">
        <v>1775</v>
      </c>
      <c r="Q4" s="3816"/>
      <c r="R4" s="3819" t="s">
        <v>1771</v>
      </c>
      <c r="S4" s="3820"/>
      <c r="T4" s="3819" t="s">
        <v>1772</v>
      </c>
      <c r="U4" s="3820"/>
      <c r="V4" s="3821" t="s">
        <v>1773</v>
      </c>
      <c r="W4" s="3821"/>
      <c r="X4" s="3548"/>
      <c r="Y4" s="3819" t="s">
        <v>1775</v>
      </c>
      <c r="Z4" s="3820"/>
      <c r="AA4" s="3824" t="s">
        <v>1771</v>
      </c>
      <c r="AB4" s="3824" t="s">
        <v>1772</v>
      </c>
      <c r="AC4" s="3812" t="s">
        <v>1773</v>
      </c>
    </row>
    <row r="5" spans="1:29" ht="15">
      <c r="A5" s="358"/>
      <c r="B5" s="359"/>
      <c r="C5" s="3822" t="s">
        <v>3576</v>
      </c>
      <c r="D5" s="3801"/>
      <c r="E5" s="3825" t="s">
        <v>3619</v>
      </c>
      <c r="F5" s="3808"/>
      <c r="G5" s="3822" t="s">
        <v>3620</v>
      </c>
      <c r="H5" s="3801"/>
      <c r="I5" s="3822" t="s">
        <v>3616</v>
      </c>
      <c r="J5" s="3801"/>
      <c r="K5" s="559"/>
      <c r="L5" s="2714"/>
      <c r="M5" s="2715"/>
      <c r="N5" s="2715"/>
      <c r="O5" s="2715"/>
      <c r="P5" s="3817"/>
      <c r="Q5" s="3788"/>
      <c r="R5" s="3793"/>
      <c r="S5" s="3794"/>
      <c r="T5" s="3793"/>
      <c r="U5" s="3794"/>
      <c r="V5" s="3797"/>
      <c r="W5" s="3797"/>
      <c r="X5" s="3546"/>
      <c r="Y5" s="3793"/>
      <c r="Z5" s="3794"/>
      <c r="AA5" s="3779"/>
      <c r="AB5" s="3779"/>
      <c r="AC5" s="3813"/>
    </row>
    <row r="6" spans="1:29" ht="15.75" thickBot="1">
      <c r="A6" s="360"/>
      <c r="B6" s="361"/>
      <c r="C6" s="3798" t="s">
        <v>1677</v>
      </c>
      <c r="D6" s="3799"/>
      <c r="E6" s="3805" t="s">
        <v>1677</v>
      </c>
      <c r="F6" s="3806"/>
      <c r="G6" s="3798" t="s">
        <v>1677</v>
      </c>
      <c r="H6" s="3799"/>
      <c r="I6" s="3798" t="s">
        <v>1677</v>
      </c>
      <c r="J6" s="3799"/>
      <c r="K6" s="559" t="s">
        <v>1678</v>
      </c>
      <c r="L6" s="2714"/>
      <c r="M6" s="2715"/>
      <c r="N6" s="2715"/>
      <c r="O6" s="2715"/>
      <c r="P6" s="3818"/>
      <c r="Q6" s="3790"/>
      <c r="R6" s="3793"/>
      <c r="S6" s="3794"/>
      <c r="T6" s="3795"/>
      <c r="U6" s="3796"/>
      <c r="V6" s="3797"/>
      <c r="W6" s="3797"/>
      <c r="X6" s="3546"/>
      <c r="Y6" s="3795"/>
      <c r="Z6" s="3796"/>
      <c r="AA6" s="3780"/>
      <c r="AB6" s="3780"/>
      <c r="AC6" s="3814"/>
    </row>
    <row r="7" spans="1:29" s="108" customFormat="1" ht="15.75" thickBot="1">
      <c r="A7" s="362" t="s">
        <v>1679</v>
      </c>
      <c r="B7" s="363"/>
      <c r="C7" s="364">
        <f>'数据-取费表'!B2</f>
        <v>45909</v>
      </c>
      <c r="D7" s="365">
        <v>100</v>
      </c>
      <c r="E7" s="366">
        <v>45562</v>
      </c>
      <c r="F7" s="367">
        <f>SUMIF(59:59,YEAR(E7)&amp;"-"&amp;MONTH(E7),60:60)</f>
        <v>100</v>
      </c>
      <c r="G7" s="366">
        <v>45657</v>
      </c>
      <c r="H7" s="365">
        <f>SUMIF(59:59,YEAR(G7)&amp;"-"&amp;MONTH(G7),60:60)</f>
        <v>100</v>
      </c>
      <c r="I7" s="366">
        <v>45627</v>
      </c>
      <c r="J7" s="365">
        <f>SUMIF(59:59,YEAR(I7)&amp;"-"&amp;MONTH(I7),60:60)</f>
        <v>100</v>
      </c>
      <c r="K7" s="560"/>
      <c r="L7" s="2716"/>
      <c r="M7" s="2717"/>
      <c r="N7" s="2717"/>
      <c r="O7" s="2717"/>
      <c r="P7" s="3823" t="s">
        <v>1680</v>
      </c>
      <c r="Q7" s="3804"/>
      <c r="R7" s="700" t="s">
        <v>14</v>
      </c>
      <c r="S7" s="701">
        <f t="shared" ref="S7:S15" si="0">F7</f>
        <v>100</v>
      </c>
      <c r="T7" s="700" t="s">
        <v>14</v>
      </c>
      <c r="U7" s="701">
        <f t="shared" ref="U7:U15" si="1">H7</f>
        <v>100</v>
      </c>
      <c r="V7" s="700" t="s">
        <v>14</v>
      </c>
      <c r="W7" s="701">
        <f t="shared" ref="W7:W15" si="2">J7</f>
        <v>100</v>
      </c>
      <c r="X7" s="702"/>
      <c r="Y7" s="3802" t="s">
        <v>1680</v>
      </c>
      <c r="Z7" s="3803"/>
      <c r="AA7" s="703">
        <f>D7/F7</f>
        <v>1</v>
      </c>
      <c r="AB7" s="703">
        <f>D7/H7</f>
        <v>1</v>
      </c>
      <c r="AC7" s="1958">
        <f>D7/J7</f>
        <v>1</v>
      </c>
    </row>
    <row r="8" spans="1:29" s="108" customFormat="1" ht="15.75" thickBot="1">
      <c r="A8" s="362" t="s">
        <v>1681</v>
      </c>
      <c r="B8" s="363"/>
      <c r="C8" s="368" t="s">
        <v>3577</v>
      </c>
      <c r="D8" s="365">
        <v>100</v>
      </c>
      <c r="E8" s="368" t="s">
        <v>3607</v>
      </c>
      <c r="F8" s="367">
        <f>SUMIF(62:62,E8,63:63)-SUMIF(62:62,C8,63:63)+100</f>
        <v>104</v>
      </c>
      <c r="G8" s="368" t="s">
        <v>3607</v>
      </c>
      <c r="H8" s="365">
        <f>SUMIF(62:62,G8,63:63)-SUMIF(62:62,C8,63:63)+100</f>
        <v>104</v>
      </c>
      <c r="I8" s="368" t="s">
        <v>3607</v>
      </c>
      <c r="J8" s="365">
        <f>SUMIF(62:62,I8,63:63)-SUMIF(62:62,C8,63:63)+100</f>
        <v>104</v>
      </c>
      <c r="K8" s="560"/>
      <c r="L8" s="2716"/>
      <c r="M8" s="2717"/>
      <c r="N8" s="2717"/>
      <c r="O8" s="2717"/>
      <c r="P8" s="3823" t="s">
        <v>1683</v>
      </c>
      <c r="Q8" s="3803"/>
      <c r="R8" s="700" t="s">
        <v>14</v>
      </c>
      <c r="S8" s="701">
        <f t="shared" si="0"/>
        <v>104</v>
      </c>
      <c r="T8" s="700" t="s">
        <v>14</v>
      </c>
      <c r="U8" s="701">
        <f t="shared" si="1"/>
        <v>104</v>
      </c>
      <c r="V8" s="700" t="s">
        <v>14</v>
      </c>
      <c r="W8" s="701">
        <f t="shared" si="2"/>
        <v>104</v>
      </c>
      <c r="X8" s="702"/>
      <c r="Y8" s="3802" t="s">
        <v>1683</v>
      </c>
      <c r="Z8" s="3803"/>
      <c r="AA8" s="703">
        <f t="shared" ref="AA8:AA47" si="3">D8/F8</f>
        <v>0.96153846153846156</v>
      </c>
      <c r="AB8" s="703">
        <f t="shared" ref="AB8:AB47" si="4">D8/H8</f>
        <v>0.96153846153846156</v>
      </c>
      <c r="AC8" s="1958">
        <f t="shared" ref="AC8:AC47" si="5">D8/J8</f>
        <v>0.96153846153846156</v>
      </c>
    </row>
    <row r="9" spans="1:29" s="108" customFormat="1">
      <c r="A9" s="369" t="s">
        <v>1684</v>
      </c>
      <c r="B9" s="63" t="s">
        <v>1685</v>
      </c>
      <c r="C9" s="3537" t="s">
        <v>3578</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77" t="s">
        <v>1686</v>
      </c>
      <c r="Q9" s="3542" t="str">
        <f t="shared" ref="Q9:Q15" si="6">B9</f>
        <v>用途</v>
      </c>
      <c r="R9" s="700" t="s">
        <v>14</v>
      </c>
      <c r="S9" s="701">
        <f t="shared" si="0"/>
        <v>100</v>
      </c>
      <c r="T9" s="700" t="s">
        <v>14</v>
      </c>
      <c r="U9" s="701">
        <f t="shared" si="1"/>
        <v>100</v>
      </c>
      <c r="V9" s="700" t="s">
        <v>14</v>
      </c>
      <c r="W9" s="701">
        <f t="shared" si="2"/>
        <v>100</v>
      </c>
      <c r="X9" s="702"/>
      <c r="Y9" s="3641" t="s">
        <v>1687</v>
      </c>
      <c r="Z9" s="3541"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7"/>
      <c r="Q10" s="3542" t="str">
        <f t="shared" si="6"/>
        <v>土地使用年限（年）</v>
      </c>
      <c r="R10" s="700" t="s">
        <v>14</v>
      </c>
      <c r="S10" s="701">
        <f t="shared" si="0"/>
        <v>100</v>
      </c>
      <c r="T10" s="700" t="s">
        <v>14</v>
      </c>
      <c r="U10" s="701">
        <f t="shared" si="1"/>
        <v>100</v>
      </c>
      <c r="V10" s="700" t="s">
        <v>14</v>
      </c>
      <c r="W10" s="701">
        <f t="shared" si="2"/>
        <v>100</v>
      </c>
      <c r="X10" s="702"/>
      <c r="Y10" s="3641"/>
      <c r="Z10" s="3541"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7"/>
      <c r="Q11" s="3542" t="str">
        <f t="shared" si="6"/>
        <v>容积率</v>
      </c>
      <c r="R11" s="700" t="s">
        <v>14</v>
      </c>
      <c r="S11" s="701">
        <f t="shared" si="0"/>
        <v>100</v>
      </c>
      <c r="T11" s="700" t="s">
        <v>14</v>
      </c>
      <c r="U11" s="701">
        <f t="shared" si="1"/>
        <v>100</v>
      </c>
      <c r="V11" s="700" t="s">
        <v>14</v>
      </c>
      <c r="W11" s="701">
        <f t="shared" si="2"/>
        <v>100</v>
      </c>
      <c r="X11" s="702"/>
      <c r="Y11" s="3641"/>
      <c r="Z11" s="3541"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77"/>
      <c r="Q12" s="3542">
        <f t="shared" si="6"/>
        <v>111</v>
      </c>
      <c r="R12" s="700" t="s">
        <v>14</v>
      </c>
      <c r="S12" s="701">
        <f t="shared" si="0"/>
        <v>100</v>
      </c>
      <c r="T12" s="700" t="s">
        <v>14</v>
      </c>
      <c r="U12" s="701">
        <f t="shared" si="1"/>
        <v>100</v>
      </c>
      <c r="V12" s="700" t="s">
        <v>14</v>
      </c>
      <c r="W12" s="701">
        <f t="shared" si="2"/>
        <v>100</v>
      </c>
      <c r="X12" s="702"/>
      <c r="Y12" s="3641"/>
      <c r="Z12" s="3541">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77"/>
      <c r="Q13" s="3542">
        <f t="shared" si="6"/>
        <v>111</v>
      </c>
      <c r="R13" s="700" t="s">
        <v>14</v>
      </c>
      <c r="S13" s="701">
        <f t="shared" si="0"/>
        <v>100</v>
      </c>
      <c r="T13" s="700" t="s">
        <v>14</v>
      </c>
      <c r="U13" s="701">
        <f t="shared" si="1"/>
        <v>100</v>
      </c>
      <c r="V13" s="700" t="s">
        <v>14</v>
      </c>
      <c r="W13" s="701">
        <f t="shared" si="2"/>
        <v>100</v>
      </c>
      <c r="X13" s="702"/>
      <c r="Y13" s="3641"/>
      <c r="Z13" s="3541">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77"/>
      <c r="Q14" s="3542">
        <f t="shared" si="6"/>
        <v>111</v>
      </c>
      <c r="R14" s="700" t="s">
        <v>14</v>
      </c>
      <c r="S14" s="701">
        <f t="shared" si="0"/>
        <v>100</v>
      </c>
      <c r="T14" s="700" t="s">
        <v>14</v>
      </c>
      <c r="U14" s="701">
        <f t="shared" si="1"/>
        <v>100</v>
      </c>
      <c r="V14" s="700" t="s">
        <v>14</v>
      </c>
      <c r="W14" s="701">
        <f t="shared" si="2"/>
        <v>100</v>
      </c>
      <c r="X14" s="702"/>
      <c r="Y14" s="3641"/>
      <c r="Z14" s="3541">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1"/>
      <c r="M15" s="2715"/>
      <c r="N15" s="2715"/>
      <c r="O15" s="2715"/>
      <c r="P15" s="3775" t="s">
        <v>1691</v>
      </c>
      <c r="Q15" s="3544" t="str">
        <f t="shared" si="6"/>
        <v>办公集聚程度</v>
      </c>
      <c r="R15" s="704" t="s">
        <v>14</v>
      </c>
      <c r="S15" s="705">
        <f t="shared" si="0"/>
        <v>100</v>
      </c>
      <c r="T15" s="704" t="s">
        <v>14</v>
      </c>
      <c r="U15" s="705">
        <f t="shared" si="1"/>
        <v>100</v>
      </c>
      <c r="V15" s="704" t="s">
        <v>14</v>
      </c>
      <c r="W15" s="705">
        <f t="shared" si="2"/>
        <v>100</v>
      </c>
      <c r="X15" s="3546"/>
      <c r="Y15" s="3768" t="s">
        <v>1691</v>
      </c>
      <c r="Z15" s="3547" t="str">
        <f t="shared" si="7"/>
        <v>办公集聚程度</v>
      </c>
      <c r="AA15" s="3545">
        <f t="shared" si="3"/>
        <v>1</v>
      </c>
      <c r="AB15" s="3545">
        <f t="shared" si="4"/>
        <v>1</v>
      </c>
      <c r="AC15" s="1961">
        <f t="shared" si="5"/>
        <v>1</v>
      </c>
    </row>
    <row r="16" spans="1:29" ht="15">
      <c r="A16" s="379"/>
      <c r="B16" s="578"/>
      <c r="C16" s="1903" t="s">
        <v>3579</v>
      </c>
      <c r="D16" s="399"/>
      <c r="E16" s="398" t="s">
        <v>3579</v>
      </c>
      <c r="F16" s="399"/>
      <c r="G16" s="398" t="s">
        <v>3579</v>
      </c>
      <c r="H16" s="401"/>
      <c r="I16" s="398" t="s">
        <v>3579</v>
      </c>
      <c r="J16" s="399"/>
      <c r="K16" s="564"/>
      <c r="L16" s="2721"/>
      <c r="M16" s="2715"/>
      <c r="N16" s="2715"/>
      <c r="O16" s="2715"/>
      <c r="P16" s="3776"/>
      <c r="Q16" s="3544"/>
      <c r="R16" s="704"/>
      <c r="S16" s="705"/>
      <c r="T16" s="704"/>
      <c r="U16" s="705"/>
      <c r="V16" s="704"/>
      <c r="W16" s="705"/>
      <c r="X16" s="3546"/>
      <c r="Y16" s="3769"/>
      <c r="Z16" s="3547"/>
      <c r="AA16" s="3545">
        <v>1</v>
      </c>
      <c r="AB16" s="3545">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76"/>
      <c r="Q17" s="3544" t="str">
        <f>B17</f>
        <v>交通便捷度</v>
      </c>
      <c r="R17" s="704" t="s">
        <v>14</v>
      </c>
      <c r="S17" s="705">
        <f>F17</f>
        <v>100</v>
      </c>
      <c r="T17" s="704" t="s">
        <v>14</v>
      </c>
      <c r="U17" s="705">
        <f>H17</f>
        <v>100</v>
      </c>
      <c r="V17" s="704" t="s">
        <v>14</v>
      </c>
      <c r="W17" s="705">
        <f>J17</f>
        <v>100</v>
      </c>
      <c r="X17" s="3546"/>
      <c r="Y17" s="3769"/>
      <c r="Z17" s="3547" t="str">
        <f>Q17</f>
        <v>交通便捷度</v>
      </c>
      <c r="AA17" s="3545">
        <f t="shared" si="3"/>
        <v>1</v>
      </c>
      <c r="AB17" s="3545">
        <f t="shared" si="4"/>
        <v>1</v>
      </c>
      <c r="AC17" s="1961">
        <f t="shared" si="5"/>
        <v>1</v>
      </c>
    </row>
    <row r="18" spans="1:29" ht="15">
      <c r="A18" s="379"/>
      <c r="B18" s="580"/>
      <c r="C18" s="1963" t="s">
        <v>3579</v>
      </c>
      <c r="D18" s="401"/>
      <c r="E18" s="1963" t="s">
        <v>3579</v>
      </c>
      <c r="F18" s="401"/>
      <c r="G18" s="1963" t="s">
        <v>3579</v>
      </c>
      <c r="H18" s="399"/>
      <c r="I18" s="1963" t="s">
        <v>3579</v>
      </c>
      <c r="J18" s="399"/>
      <c r="K18" s="564"/>
      <c r="L18" s="2721"/>
      <c r="M18" s="2715"/>
      <c r="N18" s="2715"/>
      <c r="O18" s="2715"/>
      <c r="P18" s="3776"/>
      <c r="Q18" s="3544"/>
      <c r="R18" s="704"/>
      <c r="S18" s="705"/>
      <c r="T18" s="704"/>
      <c r="U18" s="705"/>
      <c r="V18" s="704"/>
      <c r="W18" s="705"/>
      <c r="X18" s="3546"/>
      <c r="Y18" s="3769"/>
      <c r="Z18" s="3547"/>
      <c r="AA18" s="3545">
        <v>1</v>
      </c>
      <c r="AB18" s="3545">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76"/>
      <c r="Q19" s="3544" t="str">
        <f>B19</f>
        <v>公共配套设施</v>
      </c>
      <c r="R19" s="704" t="s">
        <v>14</v>
      </c>
      <c r="S19" s="705">
        <f>F19</f>
        <v>100</v>
      </c>
      <c r="T19" s="704" t="s">
        <v>14</v>
      </c>
      <c r="U19" s="705">
        <f>H19</f>
        <v>100</v>
      </c>
      <c r="V19" s="704" t="s">
        <v>14</v>
      </c>
      <c r="W19" s="705">
        <f>J19</f>
        <v>100</v>
      </c>
      <c r="X19" s="3546"/>
      <c r="Y19" s="3769"/>
      <c r="Z19" s="3547" t="str">
        <f>Q19</f>
        <v>公共配套设施</v>
      </c>
      <c r="AA19" s="3545">
        <f t="shared" si="3"/>
        <v>1</v>
      </c>
      <c r="AB19" s="3545">
        <f t="shared" si="4"/>
        <v>1</v>
      </c>
      <c r="AC19" s="1961">
        <f t="shared" si="5"/>
        <v>1</v>
      </c>
    </row>
    <row r="20" spans="1:29" ht="15">
      <c r="A20" s="379"/>
      <c r="B20" s="580"/>
      <c r="C20" s="1903" t="s">
        <v>3579</v>
      </c>
      <c r="D20" s="399"/>
      <c r="E20" s="1903" t="s">
        <v>3579</v>
      </c>
      <c r="F20" s="399"/>
      <c r="G20" s="1903" t="s">
        <v>3579</v>
      </c>
      <c r="H20" s="399"/>
      <c r="I20" s="1903" t="s">
        <v>3579</v>
      </c>
      <c r="J20" s="399"/>
      <c r="K20" s="564"/>
      <c r="L20" s="2721"/>
      <c r="M20" s="2715"/>
      <c r="N20" s="2715"/>
      <c r="O20" s="2715"/>
      <c r="P20" s="3776"/>
      <c r="Q20" s="3544"/>
      <c r="R20" s="704"/>
      <c r="S20" s="705"/>
      <c r="T20" s="704"/>
      <c r="U20" s="705"/>
      <c r="V20" s="704"/>
      <c r="W20" s="705"/>
      <c r="X20" s="3546"/>
      <c r="Y20" s="3769"/>
      <c r="Z20" s="3547"/>
      <c r="AA20" s="3545">
        <v>1</v>
      </c>
      <c r="AB20" s="3545">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76"/>
      <c r="Q21" s="3544" t="str">
        <f>B21</f>
        <v>基础设施水平</v>
      </c>
      <c r="R21" s="704" t="s">
        <v>14</v>
      </c>
      <c r="S21" s="705">
        <f>F21</f>
        <v>100</v>
      </c>
      <c r="T21" s="704" t="s">
        <v>14</v>
      </c>
      <c r="U21" s="705">
        <f>H21</f>
        <v>100</v>
      </c>
      <c r="V21" s="704" t="s">
        <v>14</v>
      </c>
      <c r="W21" s="705">
        <f>J21</f>
        <v>100</v>
      </c>
      <c r="X21" s="3546"/>
      <c r="Y21" s="3769"/>
      <c r="Z21" s="3547" t="str">
        <f>Q21</f>
        <v>基础设施水平</v>
      </c>
      <c r="AA21" s="3545">
        <f t="shared" ref="AA21" si="8">D21/F21</f>
        <v>1</v>
      </c>
      <c r="AB21" s="3545">
        <f t="shared" ref="AB21" si="9">D21/H21</f>
        <v>1</v>
      </c>
      <c r="AC21" s="1961">
        <f t="shared" ref="AC21" si="10">D21/J21</f>
        <v>1</v>
      </c>
    </row>
    <row r="22" spans="1:29" ht="15">
      <c r="A22" s="379"/>
      <c r="B22" s="581"/>
      <c r="C22" s="1963" t="s">
        <v>3580</v>
      </c>
      <c r="D22" s="399"/>
      <c r="E22" s="1963" t="s">
        <v>3580</v>
      </c>
      <c r="F22" s="399"/>
      <c r="G22" s="1963" t="s">
        <v>3580</v>
      </c>
      <c r="H22" s="399"/>
      <c r="I22" s="1963" t="s">
        <v>3580</v>
      </c>
      <c r="J22" s="399"/>
      <c r="K22" s="1129"/>
      <c r="L22" s="2721"/>
      <c r="M22" s="2715"/>
      <c r="N22" s="2715"/>
      <c r="O22" s="2715"/>
      <c r="P22" s="3776"/>
      <c r="Q22" s="3544"/>
      <c r="R22" s="704"/>
      <c r="S22" s="705"/>
      <c r="T22" s="704"/>
      <c r="U22" s="705"/>
      <c r="V22" s="704"/>
      <c r="W22" s="705"/>
      <c r="X22" s="3546"/>
      <c r="Y22" s="3769"/>
      <c r="Z22" s="3547"/>
      <c r="AA22" s="3545">
        <v>1</v>
      </c>
      <c r="AB22" s="3545">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76"/>
      <c r="Q23" s="3544" t="str">
        <f>B23</f>
        <v>环境质量</v>
      </c>
      <c r="R23" s="704" t="s">
        <v>14</v>
      </c>
      <c r="S23" s="705">
        <f>F23</f>
        <v>100</v>
      </c>
      <c r="T23" s="704" t="s">
        <v>14</v>
      </c>
      <c r="U23" s="705">
        <f>H23</f>
        <v>100</v>
      </c>
      <c r="V23" s="704" t="s">
        <v>14</v>
      </c>
      <c r="W23" s="705">
        <f>J23</f>
        <v>100</v>
      </c>
      <c r="X23" s="3546"/>
      <c r="Y23" s="3769"/>
      <c r="Z23" s="3547" t="str">
        <f>Q23</f>
        <v>环境质量</v>
      </c>
      <c r="AA23" s="3545">
        <f t="shared" si="3"/>
        <v>1</v>
      </c>
      <c r="AB23" s="3545">
        <f t="shared" si="4"/>
        <v>1</v>
      </c>
      <c r="AC23" s="1961">
        <f t="shared" si="5"/>
        <v>1</v>
      </c>
    </row>
    <row r="24" spans="1:29" ht="15">
      <c r="A24" s="379"/>
      <c r="B24" s="581"/>
      <c r="C24" s="1903" t="s">
        <v>3579</v>
      </c>
      <c r="D24" s="399"/>
      <c r="E24" s="1903" t="s">
        <v>3579</v>
      </c>
      <c r="F24" s="399"/>
      <c r="G24" s="1903" t="s">
        <v>3579</v>
      </c>
      <c r="H24" s="399"/>
      <c r="I24" s="1903" t="s">
        <v>3579</v>
      </c>
      <c r="J24" s="399"/>
      <c r="K24" s="564"/>
      <c r="L24" s="2721"/>
      <c r="M24" s="2715"/>
      <c r="N24" s="2715"/>
      <c r="O24" s="2715"/>
      <c r="P24" s="3776"/>
      <c r="Q24" s="3544"/>
      <c r="R24" s="704"/>
      <c r="S24" s="705"/>
      <c r="T24" s="704"/>
      <c r="U24" s="705"/>
      <c r="V24" s="704"/>
      <c r="W24" s="705"/>
      <c r="X24" s="3546"/>
      <c r="Y24" s="3769"/>
      <c r="Z24" s="3547"/>
      <c r="AA24" s="3545">
        <v>1</v>
      </c>
      <c r="AB24" s="3545">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6"/>
      <c r="Q25" s="3544" t="str">
        <f>B25</f>
        <v>毗邻道路的类型与等级</v>
      </c>
      <c r="R25" s="704" t="s">
        <v>14</v>
      </c>
      <c r="S25" s="705">
        <f>F25</f>
        <v>100</v>
      </c>
      <c r="T25" s="704" t="s">
        <v>14</v>
      </c>
      <c r="U25" s="705">
        <f>H25</f>
        <v>100</v>
      </c>
      <c r="V25" s="704" t="s">
        <v>14</v>
      </c>
      <c r="W25" s="705">
        <f>J25</f>
        <v>100</v>
      </c>
      <c r="X25" s="3546"/>
      <c r="Y25" s="3769"/>
      <c r="Z25" s="3547" t="str">
        <f>Q25</f>
        <v>毗邻道路的类型与等级</v>
      </c>
      <c r="AA25" s="3545">
        <f t="shared" si="3"/>
        <v>1</v>
      </c>
      <c r="AB25" s="3545">
        <f t="shared" si="4"/>
        <v>1</v>
      </c>
      <c r="AC25" s="1961">
        <f t="shared" si="5"/>
        <v>1</v>
      </c>
    </row>
    <row r="26" spans="1:29" ht="15">
      <c r="A26" s="358"/>
      <c r="B26" s="580"/>
      <c r="C26" s="582"/>
      <c r="D26" s="386"/>
      <c r="E26" s="565"/>
      <c r="F26" s="386"/>
      <c r="G26" s="582"/>
      <c r="H26" s="386"/>
      <c r="I26" s="565"/>
      <c r="J26" s="386"/>
      <c r="K26" s="564"/>
      <c r="L26" s="2721"/>
      <c r="M26" s="2715"/>
      <c r="N26" s="2715"/>
      <c r="O26" s="2715"/>
      <c r="P26" s="3776"/>
      <c r="Q26" s="3544"/>
      <c r="R26" s="704"/>
      <c r="S26" s="705"/>
      <c r="T26" s="704"/>
      <c r="U26" s="705"/>
      <c r="V26" s="704"/>
      <c r="W26" s="705"/>
      <c r="X26" s="3546"/>
      <c r="Y26" s="3769"/>
      <c r="Z26" s="3547"/>
      <c r="AA26" s="3545">
        <v>1</v>
      </c>
      <c r="AB26" s="3545">
        <v>1</v>
      </c>
      <c r="AC26" s="1961">
        <v>1</v>
      </c>
    </row>
    <row r="27" spans="1:29" ht="15">
      <c r="A27" s="379"/>
      <c r="B27" s="580" t="s">
        <v>1783</v>
      </c>
      <c r="C27" s="582" t="s">
        <v>3583</v>
      </c>
      <c r="D27" s="386">
        <v>100</v>
      </c>
      <c r="E27" s="582" t="s">
        <v>3615</v>
      </c>
      <c r="F27" s="386">
        <f>SUMIF(89:89,E27,90:90)-SUMIF(89:89,C27,90:90)+100</f>
        <v>104</v>
      </c>
      <c r="G27" s="582" t="s">
        <v>3583</v>
      </c>
      <c r="H27" s="386">
        <f>SUMIF(89:89,G27,90:90)-SUMIF(89:89,C27,90:90)+100</f>
        <v>100</v>
      </c>
      <c r="I27" s="582" t="s">
        <v>3583</v>
      </c>
      <c r="J27" s="386">
        <f>SUMIF(89:89,I27,90:90)-SUMIF(89:89,C27,90:90)+100</f>
        <v>100</v>
      </c>
      <c r="K27" s="561">
        <v>2</v>
      </c>
      <c r="L27" s="2721"/>
      <c r="M27" s="2715"/>
      <c r="N27" s="2715"/>
      <c r="O27" s="2715"/>
      <c r="P27" s="3776"/>
      <c r="Q27" s="3544" t="str">
        <f t="shared" ref="Q27:Q47" si="11">B27</f>
        <v>楼层</v>
      </c>
      <c r="R27" s="704" t="s">
        <v>14</v>
      </c>
      <c r="S27" s="705">
        <f>F27</f>
        <v>104</v>
      </c>
      <c r="T27" s="704" t="s">
        <v>14</v>
      </c>
      <c r="U27" s="705">
        <f>H27</f>
        <v>100</v>
      </c>
      <c r="V27" s="704" t="s">
        <v>14</v>
      </c>
      <c r="W27" s="705">
        <f>J27</f>
        <v>100</v>
      </c>
      <c r="X27" s="3546"/>
      <c r="Y27" s="3769"/>
      <c r="Z27" s="3547" t="str">
        <f>Q27</f>
        <v>楼层</v>
      </c>
      <c r="AA27" s="3545">
        <f t="shared" si="3"/>
        <v>0.96153846153846156</v>
      </c>
      <c r="AB27" s="3545">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6"/>
      <c r="Q28" s="3542" t="str">
        <f t="shared" si="11"/>
        <v>朝向</v>
      </c>
      <c r="R28" s="700" t="s">
        <v>14</v>
      </c>
      <c r="S28" s="701">
        <f>F28</f>
        <v>100</v>
      </c>
      <c r="T28" s="700" t="s">
        <v>14</v>
      </c>
      <c r="U28" s="701">
        <f>H28</f>
        <v>100</v>
      </c>
      <c r="V28" s="700" t="s">
        <v>14</v>
      </c>
      <c r="W28" s="701">
        <f>J28</f>
        <v>100</v>
      </c>
      <c r="X28" s="702"/>
      <c r="Y28" s="3769"/>
      <c r="Z28" s="3541" t="str">
        <f>Q28</f>
        <v>朝向</v>
      </c>
      <c r="AA28" s="3545">
        <f>D28/F28</f>
        <v>1</v>
      </c>
      <c r="AB28" s="3545">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6"/>
      <c r="Q29" s="3544">
        <f t="shared" si="11"/>
        <v>111</v>
      </c>
      <c r="R29" s="704" t="s">
        <v>14</v>
      </c>
      <c r="S29" s="705">
        <f t="shared" ref="S29:S47" si="12">F29</f>
        <v>100</v>
      </c>
      <c r="T29" s="704" t="s">
        <v>14</v>
      </c>
      <c r="U29" s="705">
        <f t="shared" ref="U29:U47" si="13">H29</f>
        <v>100</v>
      </c>
      <c r="V29" s="704" t="s">
        <v>14</v>
      </c>
      <c r="W29" s="705">
        <f t="shared" ref="W29:W47" si="14">J29</f>
        <v>100</v>
      </c>
      <c r="X29" s="3546"/>
      <c r="Y29" s="3769"/>
      <c r="Z29" s="3547">
        <f t="shared" ref="Z29:Z47" si="15">Q29</f>
        <v>111</v>
      </c>
      <c r="AA29" s="3545">
        <f t="shared" si="3"/>
        <v>1</v>
      </c>
      <c r="AB29" s="3545">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6"/>
      <c r="Q30" s="3544">
        <f t="shared" si="11"/>
        <v>111</v>
      </c>
      <c r="R30" s="704" t="s">
        <v>14</v>
      </c>
      <c r="S30" s="705">
        <f t="shared" si="12"/>
        <v>100</v>
      </c>
      <c r="T30" s="704" t="s">
        <v>14</v>
      </c>
      <c r="U30" s="705">
        <f t="shared" si="13"/>
        <v>100</v>
      </c>
      <c r="V30" s="704" t="s">
        <v>14</v>
      </c>
      <c r="W30" s="705">
        <f t="shared" si="14"/>
        <v>100</v>
      </c>
      <c r="X30" s="3546"/>
      <c r="Y30" s="3769"/>
      <c r="Z30" s="3547">
        <f t="shared" si="15"/>
        <v>111</v>
      </c>
      <c r="AA30" s="3545">
        <f t="shared" si="3"/>
        <v>1</v>
      </c>
      <c r="AB30" s="3545">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6"/>
      <c r="Q31" s="3544">
        <f t="shared" si="11"/>
        <v>111</v>
      </c>
      <c r="R31" s="704" t="s">
        <v>14</v>
      </c>
      <c r="S31" s="705">
        <f t="shared" si="12"/>
        <v>100</v>
      </c>
      <c r="T31" s="704" t="s">
        <v>14</v>
      </c>
      <c r="U31" s="705">
        <f t="shared" si="13"/>
        <v>100</v>
      </c>
      <c r="V31" s="704" t="s">
        <v>14</v>
      </c>
      <c r="W31" s="705">
        <f t="shared" si="14"/>
        <v>100</v>
      </c>
      <c r="X31" s="3546"/>
      <c r="Y31" s="3769"/>
      <c r="Z31" s="3547">
        <f t="shared" si="15"/>
        <v>111</v>
      </c>
      <c r="AA31" s="3545">
        <f t="shared" si="3"/>
        <v>1</v>
      </c>
      <c r="AB31" s="3545">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6"/>
      <c r="Q32" s="3544">
        <f t="shared" si="11"/>
        <v>111</v>
      </c>
      <c r="R32" s="704" t="s">
        <v>14</v>
      </c>
      <c r="S32" s="705">
        <f t="shared" si="12"/>
        <v>100</v>
      </c>
      <c r="T32" s="704" t="s">
        <v>14</v>
      </c>
      <c r="U32" s="705">
        <f t="shared" si="13"/>
        <v>100</v>
      </c>
      <c r="V32" s="704" t="s">
        <v>14</v>
      </c>
      <c r="W32" s="705">
        <f t="shared" si="14"/>
        <v>100</v>
      </c>
      <c r="X32" s="3546"/>
      <c r="Y32" s="3769"/>
      <c r="Z32" s="3547">
        <f t="shared" si="15"/>
        <v>111</v>
      </c>
      <c r="AA32" s="3545">
        <f t="shared" si="3"/>
        <v>1</v>
      </c>
      <c r="AB32" s="3545">
        <f t="shared" si="4"/>
        <v>1</v>
      </c>
      <c r="AC32" s="1961">
        <f t="shared" si="5"/>
        <v>1</v>
      </c>
    </row>
    <row r="33" spans="1:29" ht="15">
      <c r="A33" s="391" t="s">
        <v>1694</v>
      </c>
      <c r="B33" s="63" t="s">
        <v>1817</v>
      </c>
      <c r="C33" s="1966" t="s">
        <v>3585</v>
      </c>
      <c r="D33" s="418">
        <v>100</v>
      </c>
      <c r="E33" s="1966" t="s">
        <v>3585</v>
      </c>
      <c r="F33" s="412">
        <f>SUMIF(101:101,E33,102:102)-SUMIF(101:101,C33,102:102)+100</f>
        <v>100</v>
      </c>
      <c r="G33" s="1966" t="s">
        <v>3585</v>
      </c>
      <c r="H33" s="386">
        <f>SUMIF(101:101,G33,102:102)-SUMIF(101:101,C33,102:102)+100</f>
        <v>100</v>
      </c>
      <c r="I33" s="1966" t="s">
        <v>3585</v>
      </c>
      <c r="J33" s="418">
        <f>SUMIF(101:101,I33,102:102)-SUMIF(101:101,C33,102:102)+100</f>
        <v>100</v>
      </c>
      <c r="K33" s="561">
        <v>2</v>
      </c>
      <c r="L33" s="2721"/>
      <c r="M33" s="2715"/>
      <c r="N33" s="2715"/>
      <c r="O33" s="2715"/>
      <c r="P33" s="3770" t="s">
        <v>1696</v>
      </c>
      <c r="Q33" s="3544" t="str">
        <f t="shared" si="11"/>
        <v>建筑类型</v>
      </c>
      <c r="R33" s="704" t="s">
        <v>14</v>
      </c>
      <c r="S33" s="705">
        <f t="shared" si="12"/>
        <v>100</v>
      </c>
      <c r="T33" s="704" t="s">
        <v>14</v>
      </c>
      <c r="U33" s="705">
        <f t="shared" si="13"/>
        <v>100</v>
      </c>
      <c r="V33" s="704" t="s">
        <v>14</v>
      </c>
      <c r="W33" s="705">
        <f t="shared" si="14"/>
        <v>100</v>
      </c>
      <c r="X33" s="3546"/>
      <c r="Y33" s="3773" t="s">
        <v>1696</v>
      </c>
      <c r="Z33" s="3547" t="str">
        <f t="shared" si="15"/>
        <v>建筑类型</v>
      </c>
      <c r="AA33" s="3545">
        <f t="shared" si="3"/>
        <v>1</v>
      </c>
      <c r="AB33" s="3545">
        <f t="shared" si="4"/>
        <v>1</v>
      </c>
      <c r="AC33" s="1961">
        <f t="shared" si="5"/>
        <v>1</v>
      </c>
    </row>
    <row r="34" spans="1:29" s="422" customFormat="1" ht="15">
      <c r="A34" s="419"/>
      <c r="B34" s="375" t="s">
        <v>1697</v>
      </c>
      <c r="C34" s="420">
        <f>'数据-基础表'!I13</f>
        <v>1369.88</v>
      </c>
      <c r="D34" s="127">
        <v>100</v>
      </c>
      <c r="E34" s="420">
        <v>2100</v>
      </c>
      <c r="F34" s="376">
        <f>LOOKUP(E34,104:104,105:105)-LOOKUP(C34,104:104,105:105)+100</f>
        <v>99</v>
      </c>
      <c r="G34" s="420">
        <v>455.39</v>
      </c>
      <c r="H34" s="127">
        <f>LOOKUP(G34,104:104,105:105)-LOOKUP(C34,104:104,105:105)+100</f>
        <v>102</v>
      </c>
      <c r="I34" s="420">
        <v>586.12</v>
      </c>
      <c r="J34" s="127">
        <f>LOOKUP(I34,104:104,105:105)-LOOKUP(C34,104:104,105:105)+100</f>
        <v>101</v>
      </c>
      <c r="K34" s="562"/>
      <c r="L34" s="2720"/>
      <c r="M34" s="2722"/>
      <c r="N34" s="2722"/>
      <c r="O34" s="2722"/>
      <c r="P34" s="3771"/>
      <c r="Q34" s="706" t="str">
        <f t="shared" si="11"/>
        <v>项目建筑规模</v>
      </c>
      <c r="R34" s="707" t="s">
        <v>14</v>
      </c>
      <c r="S34" s="708">
        <f t="shared" si="12"/>
        <v>99</v>
      </c>
      <c r="T34" s="707" t="s">
        <v>14</v>
      </c>
      <c r="U34" s="708">
        <f t="shared" si="13"/>
        <v>102</v>
      </c>
      <c r="V34" s="707" t="s">
        <v>14</v>
      </c>
      <c r="W34" s="708">
        <f t="shared" si="14"/>
        <v>101</v>
      </c>
      <c r="X34" s="709"/>
      <c r="Y34" s="3773"/>
      <c r="Z34" s="710" t="str">
        <f t="shared" si="15"/>
        <v>项目建筑规模</v>
      </c>
      <c r="AA34" s="3545">
        <f t="shared" si="3"/>
        <v>1.0101010101010102</v>
      </c>
      <c r="AB34" s="3545">
        <f t="shared" si="4"/>
        <v>0.98039215686274506</v>
      </c>
      <c r="AC34" s="1961">
        <f t="shared" si="5"/>
        <v>0.99009900990099009</v>
      </c>
    </row>
    <row r="35" spans="1:29" ht="15">
      <c r="A35" s="423"/>
      <c r="B35" s="375" t="s">
        <v>1698</v>
      </c>
      <c r="C35" s="411" t="s">
        <v>3587</v>
      </c>
      <c r="D35" s="386">
        <v>100</v>
      </c>
      <c r="E35" s="411" t="s">
        <v>3587</v>
      </c>
      <c r="F35" s="412">
        <f>SUMIF(106:106,E35,107:107)-SUMIF(106:106,C35,107:107)+100</f>
        <v>100</v>
      </c>
      <c r="G35" s="411" t="s">
        <v>3587</v>
      </c>
      <c r="H35" s="386">
        <f>SUMIF(106:106,G35,107:107)-SUMIF(106:106,C35,107:107)+100</f>
        <v>100</v>
      </c>
      <c r="I35" s="411" t="s">
        <v>3587</v>
      </c>
      <c r="J35" s="386">
        <f>SUMIF(106:106,I35,107:107)-SUMIF(106:106,C35,107:107)+100</f>
        <v>100</v>
      </c>
      <c r="K35" s="561">
        <v>1</v>
      </c>
      <c r="L35" s="2721"/>
      <c r="M35" s="2715"/>
      <c r="N35" s="2715"/>
      <c r="O35" s="2715"/>
      <c r="P35" s="3771"/>
      <c r="Q35" s="3544" t="str">
        <f t="shared" si="11"/>
        <v>建筑结构</v>
      </c>
      <c r="R35" s="704" t="s">
        <v>14</v>
      </c>
      <c r="S35" s="705">
        <f t="shared" si="12"/>
        <v>100</v>
      </c>
      <c r="T35" s="704" t="s">
        <v>14</v>
      </c>
      <c r="U35" s="705">
        <f t="shared" si="13"/>
        <v>100</v>
      </c>
      <c r="V35" s="704" t="s">
        <v>14</v>
      </c>
      <c r="W35" s="705">
        <f t="shared" si="14"/>
        <v>100</v>
      </c>
      <c r="X35" s="3546"/>
      <c r="Y35" s="3773"/>
      <c r="Z35" s="3547" t="str">
        <f t="shared" si="15"/>
        <v>建筑结构</v>
      </c>
      <c r="AA35" s="3545">
        <f t="shared" si="3"/>
        <v>1</v>
      </c>
      <c r="AB35" s="3545">
        <f t="shared" si="4"/>
        <v>1</v>
      </c>
      <c r="AC35" s="1961">
        <f t="shared" si="5"/>
        <v>1</v>
      </c>
    </row>
    <row r="36" spans="1:29" ht="15">
      <c r="A36" s="423"/>
      <c r="B36" s="375" t="s">
        <v>1785</v>
      </c>
      <c r="C36" s="411" t="s">
        <v>3589</v>
      </c>
      <c r="D36" s="386">
        <v>100</v>
      </c>
      <c r="E36" s="411" t="s">
        <v>3589</v>
      </c>
      <c r="F36" s="412">
        <f>SUMIF(108:108,E36,109:109)-SUMIF(108:108,C36,109:109)+100</f>
        <v>100</v>
      </c>
      <c r="G36" s="411" t="s">
        <v>3589</v>
      </c>
      <c r="H36" s="386">
        <f>SUMIF(108:108,G36,109:109)-SUMIF(108:108,C36,109:109)+100</f>
        <v>100</v>
      </c>
      <c r="I36" s="411" t="s">
        <v>3589</v>
      </c>
      <c r="J36" s="386">
        <f>SUMIF(108:108,I36,109:109)-SUMIF(108:108,C36,109:109)+100</f>
        <v>100</v>
      </c>
      <c r="K36" s="561">
        <v>1</v>
      </c>
      <c r="L36" s="2721"/>
      <c r="M36" s="2715"/>
      <c r="N36" s="2715"/>
      <c r="O36" s="2715"/>
      <c r="P36" s="3771"/>
      <c r="Q36" s="3544" t="str">
        <f t="shared" si="11"/>
        <v>公共部分装修</v>
      </c>
      <c r="R36" s="704" t="s">
        <v>14</v>
      </c>
      <c r="S36" s="705">
        <f t="shared" si="12"/>
        <v>100</v>
      </c>
      <c r="T36" s="704" t="s">
        <v>14</v>
      </c>
      <c r="U36" s="705">
        <f t="shared" si="13"/>
        <v>100</v>
      </c>
      <c r="V36" s="704" t="s">
        <v>14</v>
      </c>
      <c r="W36" s="705">
        <f t="shared" si="14"/>
        <v>100</v>
      </c>
      <c r="X36" s="3546"/>
      <c r="Y36" s="3773"/>
      <c r="Z36" s="3547" t="str">
        <f t="shared" si="15"/>
        <v>公共部分装修</v>
      </c>
      <c r="AA36" s="3545">
        <f t="shared" si="3"/>
        <v>1</v>
      </c>
      <c r="AB36" s="3545">
        <f t="shared" si="4"/>
        <v>1</v>
      </c>
      <c r="AC36" s="1961">
        <f t="shared" si="5"/>
        <v>1</v>
      </c>
    </row>
    <row r="37" spans="1:29" ht="15">
      <c r="A37" s="423"/>
      <c r="B37" s="375" t="s">
        <v>1786</v>
      </c>
      <c r="C37" s="425">
        <f>'数据-取费表'!N6</f>
        <v>0.9</v>
      </c>
      <c r="D37" s="386">
        <v>100</v>
      </c>
      <c r="E37" s="425">
        <v>0.63</v>
      </c>
      <c r="F37" s="412">
        <f>LOOKUP(E37,111:111,112:112)-LOOKUP(C37,111:111,112:112)+100</f>
        <v>97</v>
      </c>
      <c r="G37" s="425">
        <v>0.65</v>
      </c>
      <c r="H37" s="412">
        <f>LOOKUP(G37,111:111,112:112)-LOOKUP(C37,111:111,112:112)+100</f>
        <v>97</v>
      </c>
      <c r="I37" s="425">
        <v>0.75</v>
      </c>
      <c r="J37" s="386">
        <f>LOOKUP(I37,111:111,112:112)-LOOKUP(C37,111:111,112:112)+100</f>
        <v>98</v>
      </c>
      <c r="K37" s="561">
        <v>1</v>
      </c>
      <c r="L37" s="2721"/>
      <c r="M37" s="2715"/>
      <c r="N37" s="2715"/>
      <c r="O37" s="2715"/>
      <c r="P37" s="3771"/>
      <c r="Q37" s="3544" t="str">
        <f t="shared" si="11"/>
        <v>成新度</v>
      </c>
      <c r="R37" s="704" t="s">
        <v>14</v>
      </c>
      <c r="S37" s="705">
        <f t="shared" si="12"/>
        <v>97</v>
      </c>
      <c r="T37" s="704" t="s">
        <v>14</v>
      </c>
      <c r="U37" s="705">
        <f t="shared" si="13"/>
        <v>97</v>
      </c>
      <c r="V37" s="704" t="s">
        <v>14</v>
      </c>
      <c r="W37" s="705">
        <f t="shared" si="14"/>
        <v>98</v>
      </c>
      <c r="X37" s="3546"/>
      <c r="Y37" s="3773"/>
      <c r="Z37" s="3547" t="str">
        <f t="shared" si="15"/>
        <v>成新度</v>
      </c>
      <c r="AA37" s="3545">
        <f t="shared" si="3"/>
        <v>1.0309278350515463</v>
      </c>
      <c r="AB37" s="3545">
        <f t="shared" si="4"/>
        <v>1.0309278350515463</v>
      </c>
      <c r="AC37" s="1961">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1"/>
      <c r="Q38" s="3542" t="str">
        <f t="shared" si="11"/>
        <v>写字楼等级</v>
      </c>
      <c r="R38" s="700" t="s">
        <v>14</v>
      </c>
      <c r="S38" s="701">
        <f t="shared" si="12"/>
        <v>100</v>
      </c>
      <c r="T38" s="700" t="s">
        <v>14</v>
      </c>
      <c r="U38" s="701">
        <f t="shared" si="13"/>
        <v>100</v>
      </c>
      <c r="V38" s="700" t="s">
        <v>14</v>
      </c>
      <c r="W38" s="701">
        <f t="shared" si="14"/>
        <v>100</v>
      </c>
      <c r="X38" s="702"/>
      <c r="Y38" s="3773"/>
      <c r="Z38" s="3541" t="str">
        <f t="shared" si="15"/>
        <v>写字楼等级</v>
      </c>
      <c r="AA38" s="703">
        <f t="shared" si="3"/>
        <v>1</v>
      </c>
      <c r="AB38" s="703">
        <f t="shared" si="4"/>
        <v>1</v>
      </c>
      <c r="AC38" s="1958">
        <f t="shared" si="5"/>
        <v>1</v>
      </c>
    </row>
    <row r="39" spans="1:29" ht="15">
      <c r="A39" s="423"/>
      <c r="B39" s="375" t="s">
        <v>1819</v>
      </c>
      <c r="C39" s="411" t="s">
        <v>3593</v>
      </c>
      <c r="D39" s="386">
        <v>100</v>
      </c>
      <c r="E39" s="411" t="s">
        <v>3593</v>
      </c>
      <c r="F39" s="412">
        <f>SUMIF(115:115,E39,116:116)-SUMIF(115:115,C39,116:116)+100</f>
        <v>100</v>
      </c>
      <c r="G39" s="411" t="s">
        <v>3593</v>
      </c>
      <c r="H39" s="386">
        <f>SUMIF(115:115,G39,116:116)-SUMIF(115:115,C39,116:116)+100</f>
        <v>100</v>
      </c>
      <c r="I39" s="411" t="s">
        <v>3593</v>
      </c>
      <c r="J39" s="386">
        <f>SUMIF(115:115,I39,116:116)-SUMIF(115:115,C39,116:116)+100</f>
        <v>100</v>
      </c>
      <c r="K39" s="561">
        <v>1</v>
      </c>
      <c r="L39" s="2721"/>
      <c r="M39" s="2715"/>
      <c r="N39" s="2715"/>
      <c r="O39" s="2715"/>
      <c r="P39" s="3771" t="s">
        <v>1696</v>
      </c>
      <c r="Q39" s="3544" t="str">
        <f t="shared" si="11"/>
        <v>物业管理</v>
      </c>
      <c r="R39" s="704" t="s">
        <v>14</v>
      </c>
      <c r="S39" s="705">
        <f t="shared" si="12"/>
        <v>100</v>
      </c>
      <c r="T39" s="704" t="s">
        <v>14</v>
      </c>
      <c r="U39" s="705">
        <f t="shared" si="13"/>
        <v>100</v>
      </c>
      <c r="V39" s="704" t="s">
        <v>14</v>
      </c>
      <c r="W39" s="705">
        <f t="shared" si="14"/>
        <v>100</v>
      </c>
      <c r="X39" s="3546"/>
      <c r="Y39" s="3773" t="s">
        <v>1696</v>
      </c>
      <c r="Z39" s="3547" t="str">
        <f t="shared" si="15"/>
        <v>物业管理</v>
      </c>
      <c r="AA39" s="3545">
        <f t="shared" si="3"/>
        <v>1</v>
      </c>
      <c r="AB39" s="3545">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1"/>
      <c r="Q40" s="3544" t="str">
        <f t="shared" si="11"/>
        <v>市政基础设施</v>
      </c>
      <c r="R40" s="704" t="s">
        <v>14</v>
      </c>
      <c r="S40" s="705">
        <f t="shared" si="12"/>
        <v>100</v>
      </c>
      <c r="T40" s="704" t="s">
        <v>14</v>
      </c>
      <c r="U40" s="705">
        <f t="shared" si="13"/>
        <v>100</v>
      </c>
      <c r="V40" s="704" t="s">
        <v>14</v>
      </c>
      <c r="W40" s="705">
        <f t="shared" si="14"/>
        <v>100</v>
      </c>
      <c r="X40" s="3546"/>
      <c r="Y40" s="3773"/>
      <c r="Z40" s="3547" t="str">
        <f t="shared" si="15"/>
        <v>市政基础设施</v>
      </c>
      <c r="AA40" s="3545">
        <f t="shared" si="3"/>
        <v>1</v>
      </c>
      <c r="AB40" s="3545">
        <f t="shared" si="4"/>
        <v>1</v>
      </c>
      <c r="AC40" s="1961">
        <f t="shared" si="5"/>
        <v>1</v>
      </c>
    </row>
    <row r="41" spans="1:29" ht="15">
      <c r="A41" s="423"/>
      <c r="B41" s="375" t="s">
        <v>1789</v>
      </c>
      <c r="C41" s="565" t="s">
        <v>3599</v>
      </c>
      <c r="D41" s="386">
        <v>100</v>
      </c>
      <c r="E41" s="565" t="s">
        <v>3599</v>
      </c>
      <c r="F41" s="412">
        <f>SUMIF(119:119,E41,120:120)-SUMIF(119:119,C41,120:120)+100</f>
        <v>100</v>
      </c>
      <c r="G41" s="565" t="s">
        <v>3599</v>
      </c>
      <c r="H41" s="386">
        <f>SUMIF(119:119,G41,120:120)-SUMIF(119:119,C41,120:120)+100</f>
        <v>100</v>
      </c>
      <c r="I41" s="565" t="s">
        <v>3599</v>
      </c>
      <c r="J41" s="386">
        <f>SUMIF(119:119,I41,120:120)-SUMIF(119:119,C41,120:120)+100</f>
        <v>100</v>
      </c>
      <c r="K41" s="561">
        <v>2</v>
      </c>
      <c r="L41" s="2721"/>
      <c r="M41" s="2715"/>
      <c r="N41" s="2715"/>
      <c r="O41" s="2715"/>
      <c r="P41" s="3771"/>
      <c r="Q41" s="3544" t="str">
        <f t="shared" si="11"/>
        <v>层高</v>
      </c>
      <c r="R41" s="704" t="s">
        <v>14</v>
      </c>
      <c r="S41" s="705">
        <f t="shared" si="12"/>
        <v>100</v>
      </c>
      <c r="T41" s="704" t="s">
        <v>14</v>
      </c>
      <c r="U41" s="705">
        <f t="shared" si="13"/>
        <v>100</v>
      </c>
      <c r="V41" s="704" t="s">
        <v>14</v>
      </c>
      <c r="W41" s="705">
        <f t="shared" si="14"/>
        <v>100</v>
      </c>
      <c r="X41" s="3546"/>
      <c r="Y41" s="3773"/>
      <c r="Z41" s="3547" t="str">
        <f t="shared" si="15"/>
        <v>层高</v>
      </c>
      <c r="AA41" s="3545">
        <f t="shared" si="3"/>
        <v>1</v>
      </c>
      <c r="AB41" s="3545">
        <f t="shared" si="4"/>
        <v>1</v>
      </c>
      <c r="AC41" s="1961">
        <f t="shared" si="5"/>
        <v>1</v>
      </c>
    </row>
    <row r="42" spans="1:29" s="422" customFormat="1" ht="15" hidden="1">
      <c r="A42" s="419"/>
      <c r="B42" s="354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1"/>
      <c r="Q42" s="706" t="str">
        <f t="shared" si="11"/>
        <v>单套建筑面积</v>
      </c>
      <c r="R42" s="707" t="s">
        <v>14</v>
      </c>
      <c r="S42" s="708">
        <f t="shared" si="12"/>
        <v>100</v>
      </c>
      <c r="T42" s="707" t="s">
        <v>14</v>
      </c>
      <c r="U42" s="708">
        <f t="shared" si="13"/>
        <v>100</v>
      </c>
      <c r="V42" s="707" t="s">
        <v>14</v>
      </c>
      <c r="W42" s="708">
        <f t="shared" si="14"/>
        <v>100</v>
      </c>
      <c r="X42" s="709"/>
      <c r="Y42" s="3773"/>
      <c r="Z42" s="710" t="str">
        <f t="shared" si="15"/>
        <v>单套建筑面积</v>
      </c>
      <c r="AA42" s="3545">
        <f t="shared" si="3"/>
        <v>1</v>
      </c>
      <c r="AB42" s="3545">
        <f t="shared" si="4"/>
        <v>1</v>
      </c>
      <c r="AC42" s="1961">
        <f t="shared" si="5"/>
        <v>1</v>
      </c>
    </row>
    <row r="43" spans="1:29" ht="15">
      <c r="A43" s="423"/>
      <c r="B43" s="375" t="s">
        <v>1792</v>
      </c>
      <c r="C43" s="411" t="s">
        <v>3589</v>
      </c>
      <c r="D43" s="386">
        <v>100</v>
      </c>
      <c r="E43" s="411" t="s">
        <v>3589</v>
      </c>
      <c r="F43" s="412">
        <f>SUMIF(123:123,E43,124:124)-SUMIF(123:123,C43,124:124)+100</f>
        <v>100</v>
      </c>
      <c r="G43" s="411" t="s">
        <v>3589</v>
      </c>
      <c r="H43" s="386">
        <f>SUMIF(123:123,G43,124:124)-SUMIF(123:123,C43,124:124)+100</f>
        <v>100</v>
      </c>
      <c r="I43" s="411" t="s">
        <v>3589</v>
      </c>
      <c r="J43" s="386">
        <f>SUMIF(123:123,I43,124:124)-SUMIF(123:123,C43,124:124)+100</f>
        <v>100</v>
      </c>
      <c r="K43" s="561">
        <v>1</v>
      </c>
      <c r="L43" s="2721"/>
      <c r="M43" s="2715"/>
      <c r="N43" s="2715"/>
      <c r="O43" s="2715"/>
      <c r="P43" s="3771"/>
      <c r="Q43" s="3544" t="str">
        <f t="shared" si="11"/>
        <v>内部装修</v>
      </c>
      <c r="R43" s="704" t="s">
        <v>14</v>
      </c>
      <c r="S43" s="705">
        <f t="shared" si="12"/>
        <v>100</v>
      </c>
      <c r="T43" s="704" t="s">
        <v>14</v>
      </c>
      <c r="U43" s="705">
        <f t="shared" si="13"/>
        <v>100</v>
      </c>
      <c r="V43" s="704" t="s">
        <v>14</v>
      </c>
      <c r="W43" s="705">
        <f t="shared" si="14"/>
        <v>100</v>
      </c>
      <c r="X43" s="3546"/>
      <c r="Y43" s="3773"/>
      <c r="Z43" s="3547" t="str">
        <f t="shared" si="15"/>
        <v>内部装修</v>
      </c>
      <c r="AA43" s="3545">
        <f t="shared" si="3"/>
        <v>1</v>
      </c>
      <c r="AB43" s="3545">
        <f t="shared" si="4"/>
        <v>1</v>
      </c>
      <c r="AC43" s="1961">
        <f t="shared" si="5"/>
        <v>1</v>
      </c>
    </row>
    <row r="44" spans="1:29" ht="15">
      <c r="A44" s="423"/>
      <c r="B44" s="375" t="s">
        <v>1707</v>
      </c>
      <c r="C44" s="411" t="s">
        <v>3579</v>
      </c>
      <c r="D44" s="386">
        <v>100</v>
      </c>
      <c r="E44" s="411" t="s">
        <v>3579</v>
      </c>
      <c r="F44" s="412">
        <f>SUMIF(125:125,E44,126:126)-SUMIF(125:125,C44,126:126)+100</f>
        <v>100</v>
      </c>
      <c r="G44" s="411" t="s">
        <v>3579</v>
      </c>
      <c r="H44" s="386">
        <f>SUMIF(125:125,G44,126:126)-SUMIF(125:125,C44,126:126)+100</f>
        <v>100</v>
      </c>
      <c r="I44" s="411" t="s">
        <v>3579</v>
      </c>
      <c r="J44" s="386">
        <f>SUMIF(125:125,I44,126:126)-SUMIF(125:125,C44,126:126)+100</f>
        <v>100</v>
      </c>
      <c r="K44" s="561">
        <v>1</v>
      </c>
      <c r="L44" s="2721"/>
      <c r="M44" s="2715"/>
      <c r="N44" s="2715"/>
      <c r="O44" s="2715"/>
      <c r="P44" s="3771"/>
      <c r="Q44" s="3544" t="str">
        <f t="shared" si="11"/>
        <v>内部装修维护情况</v>
      </c>
      <c r="R44" s="704" t="s">
        <v>14</v>
      </c>
      <c r="S44" s="705">
        <f t="shared" si="12"/>
        <v>100</v>
      </c>
      <c r="T44" s="704" t="s">
        <v>14</v>
      </c>
      <c r="U44" s="705">
        <f t="shared" si="13"/>
        <v>100</v>
      </c>
      <c r="V44" s="704" t="s">
        <v>14</v>
      </c>
      <c r="W44" s="705">
        <f t="shared" si="14"/>
        <v>100</v>
      </c>
      <c r="X44" s="3546"/>
      <c r="Y44" s="3773"/>
      <c r="Z44" s="3547" t="str">
        <f t="shared" si="15"/>
        <v>内部装修维护情况</v>
      </c>
      <c r="AA44" s="3545">
        <f t="shared" si="3"/>
        <v>1</v>
      </c>
      <c r="AB44" s="3545">
        <f t="shared" si="4"/>
        <v>1</v>
      </c>
      <c r="AC44" s="1961">
        <f t="shared" si="5"/>
        <v>1</v>
      </c>
    </row>
    <row r="45" spans="1:29" s="108" customFormat="1" ht="15">
      <c r="A45" s="424"/>
      <c r="B45" s="1132">
        <v>111</v>
      </c>
      <c r="C45" s="420">
        <v>2019</v>
      </c>
      <c r="D45" s="127">
        <v>100</v>
      </c>
      <c r="E45" s="383">
        <v>2003</v>
      </c>
      <c r="F45" s="376">
        <f>SUMIF(127:127,E45,128:128)-SUMIF(127:127,C45,128:128)+100</f>
        <v>100</v>
      </c>
      <c r="G45" s="383">
        <v>2004</v>
      </c>
      <c r="H45" s="127">
        <f>SUMIF(127:127,G45,128:128)-SUMIF(127:127,C45,128:128)+100</f>
        <v>100</v>
      </c>
      <c r="I45" s="383">
        <v>2010</v>
      </c>
      <c r="J45" s="127">
        <f>SUMIF(127:127,I45,128:128)-SUMIF(127:127,C45,128:128)+100</f>
        <v>100</v>
      </c>
      <c r="K45" s="562"/>
      <c r="L45" s="2716"/>
      <c r="M45" s="2717"/>
      <c r="N45" s="2717"/>
      <c r="O45" s="2717"/>
      <c r="P45" s="3771"/>
      <c r="Q45" s="3542">
        <f t="shared" si="11"/>
        <v>111</v>
      </c>
      <c r="R45" s="700" t="s">
        <v>14</v>
      </c>
      <c r="S45" s="701">
        <f t="shared" si="12"/>
        <v>100</v>
      </c>
      <c r="T45" s="700" t="s">
        <v>14</v>
      </c>
      <c r="U45" s="701">
        <f t="shared" si="13"/>
        <v>100</v>
      </c>
      <c r="V45" s="700" t="s">
        <v>14</v>
      </c>
      <c r="W45" s="701">
        <f t="shared" si="14"/>
        <v>100</v>
      </c>
      <c r="X45" s="702"/>
      <c r="Y45" s="3773"/>
      <c r="Z45" s="3541">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1"/>
      <c r="Q46" s="3544">
        <f t="shared" si="11"/>
        <v>111</v>
      </c>
      <c r="R46" s="704" t="s">
        <v>14</v>
      </c>
      <c r="S46" s="705">
        <f t="shared" si="12"/>
        <v>100</v>
      </c>
      <c r="T46" s="704" t="s">
        <v>14</v>
      </c>
      <c r="U46" s="705">
        <f t="shared" si="13"/>
        <v>100</v>
      </c>
      <c r="V46" s="704" t="s">
        <v>14</v>
      </c>
      <c r="W46" s="705">
        <f t="shared" si="14"/>
        <v>100</v>
      </c>
      <c r="X46" s="3546"/>
      <c r="Y46" s="3773"/>
      <c r="Z46" s="3547">
        <f t="shared" si="15"/>
        <v>111</v>
      </c>
      <c r="AA46" s="3545">
        <f t="shared" si="3"/>
        <v>1</v>
      </c>
      <c r="AB46" s="3545">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2"/>
      <c r="Q47" s="3544">
        <f t="shared" si="11"/>
        <v>111</v>
      </c>
      <c r="R47" s="704" t="s">
        <v>14</v>
      </c>
      <c r="S47" s="705">
        <f t="shared" si="12"/>
        <v>100</v>
      </c>
      <c r="T47" s="704" t="s">
        <v>14</v>
      </c>
      <c r="U47" s="705">
        <f t="shared" si="13"/>
        <v>100</v>
      </c>
      <c r="V47" s="704" t="s">
        <v>14</v>
      </c>
      <c r="W47" s="705">
        <f t="shared" si="14"/>
        <v>100</v>
      </c>
      <c r="X47" s="3546"/>
      <c r="Y47" s="3774"/>
      <c r="Z47" s="3547">
        <f t="shared" si="15"/>
        <v>111</v>
      </c>
      <c r="AA47" s="3545">
        <f t="shared" si="3"/>
        <v>1</v>
      </c>
      <c r="AB47" s="3545">
        <f t="shared" si="4"/>
        <v>1</v>
      </c>
      <c r="AC47" s="1961">
        <f t="shared" si="5"/>
        <v>1</v>
      </c>
    </row>
    <row r="48" spans="1:29" ht="15">
      <c r="A48" s="430" t="s">
        <v>1708</v>
      </c>
      <c r="B48" s="431"/>
      <c r="C48" s="1153" t="s">
        <v>0</v>
      </c>
      <c r="D48" s="1154"/>
      <c r="E48" s="1155">
        <v>18.170000000000002</v>
      </c>
      <c r="F48" s="1156"/>
      <c r="G48" s="1157">
        <v>18.07</v>
      </c>
      <c r="H48" s="1158"/>
      <c r="I48" s="1155">
        <v>16.45</v>
      </c>
      <c r="J48" s="436"/>
      <c r="K48" s="713"/>
      <c r="L48" s="2723"/>
      <c r="M48" s="2715"/>
      <c r="N48" s="2715"/>
      <c r="O48" s="2715"/>
      <c r="P48" s="3777" t="str">
        <f>A48</f>
        <v>成交单价（元/平方米）</v>
      </c>
      <c r="Q48" s="3766"/>
      <c r="R48" s="3767">
        <f>E48</f>
        <v>18.170000000000002</v>
      </c>
      <c r="S48" s="3767"/>
      <c r="T48" s="3767">
        <f>G48</f>
        <v>18.07</v>
      </c>
      <c r="U48" s="3767"/>
      <c r="V48" s="3767">
        <f>I48</f>
        <v>16.45</v>
      </c>
      <c r="W48" s="3767"/>
      <c r="X48" s="397"/>
      <c r="Y48" s="711"/>
      <c r="Z48" s="397"/>
      <c r="AA48" s="397"/>
      <c r="AB48" s="397"/>
      <c r="AC48" s="578"/>
    </row>
    <row r="49" spans="1:29" ht="15.75" thickBot="1">
      <c r="A49" s="437" t="s">
        <v>1793</v>
      </c>
      <c r="B49" s="438"/>
      <c r="C49" s="1159">
        <f>R50</f>
        <v>17</v>
      </c>
      <c r="D49" s="2316" t="s">
        <v>2137</v>
      </c>
      <c r="E49" s="1160">
        <f>R49</f>
        <v>17.5</v>
      </c>
      <c r="F49" s="2317"/>
      <c r="G49" s="1159">
        <f>T49</f>
        <v>17.600000000000001</v>
      </c>
      <c r="H49" s="2317"/>
      <c r="I49" s="1160">
        <f>V49</f>
        <v>16</v>
      </c>
      <c r="J49" s="2317"/>
      <c r="K49" s="2319">
        <f>F49+H49+J49</f>
        <v>0</v>
      </c>
      <c r="L49" s="2723"/>
      <c r="M49" s="2715"/>
      <c r="N49" s="2715"/>
      <c r="O49" s="2715"/>
      <c r="P49" s="3777" t="str">
        <f>A49</f>
        <v>比较价值（元/平方米）</v>
      </c>
      <c r="Q49" s="3766"/>
      <c r="R49" s="3767">
        <f>IF(F1="售价",ROUND(PRODUCT(R48,AA7:AA47),0),ROUND(PRODUCT(R48,AA7:AA47),1))</f>
        <v>17.5</v>
      </c>
      <c r="S49" s="3767"/>
      <c r="T49" s="3767">
        <f>IF(F1="售价",ROUND(PRODUCT(T48,AB7:AB47),0),ROUND(PRODUCT(T48,AB7:AB47),1))</f>
        <v>17.600000000000001</v>
      </c>
      <c r="U49" s="3767"/>
      <c r="V49" s="3767">
        <f>IF(F1="售价",ROUND(PRODUCT(V48,AC7:AC47),0),ROUND(PRODUCT(V48,AC7:AC47),1))</f>
        <v>16</v>
      </c>
      <c r="W49" s="3767"/>
      <c r="X49" s="397"/>
      <c r="Y49" s="397"/>
      <c r="Z49" s="397"/>
      <c r="AA49" s="397"/>
      <c r="AB49" s="397"/>
      <c r="AC49" s="578"/>
    </row>
    <row r="50" spans="1:29" ht="15.75" thickBot="1">
      <c r="A50" s="441" t="s">
        <v>1794</v>
      </c>
      <c r="B50" s="442"/>
      <c r="C50" s="1162">
        <f>R50</f>
        <v>17</v>
      </c>
      <c r="D50" s="1162"/>
      <c r="E50" s="1162"/>
      <c r="F50" s="1162"/>
      <c r="G50" s="1162"/>
      <c r="H50" s="1162"/>
      <c r="I50" s="1162"/>
      <c r="J50" s="443"/>
      <c r="K50" s="714"/>
      <c r="L50" s="2723"/>
      <c r="M50" s="2715"/>
      <c r="N50" s="2715"/>
      <c r="O50" s="2715"/>
      <c r="P50" s="3809" t="str">
        <f>A50</f>
        <v>估价对象XX用房的比较价值（楼面单价，元/平方米）</v>
      </c>
      <c r="Q50" s="3810"/>
      <c r="R50" s="3811">
        <f>IF(F1="售价",ROUND(IF(D49="简单平均",AVERAGE(R49:V49),R49*F49+T49*H49+V49*J49),0),ROUND(IF(D49="简单平均",AVERAGE(R49:V49),R49*F49+T49*H49+V49*J49),1))</f>
        <v>17</v>
      </c>
      <c r="S50" s="3811"/>
      <c r="T50" s="3811"/>
      <c r="U50" s="3811"/>
      <c r="V50" s="3811"/>
      <c r="W50" s="381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3.8285714285714478E-2</v>
      </c>
      <c r="F53" s="449" t="str">
        <f>IF(OR(E53&gt;=0.3,E53&lt;=-0.3),"超过30%","")</f>
        <v/>
      </c>
      <c r="G53" s="448">
        <f>IF(G48&lt;G49,G49/G48-1,G48/G49-1)</f>
        <v>2.670454545454537E-2</v>
      </c>
      <c r="H53" s="449" t="str">
        <f>IF(OR(G53&gt;=0.3,G53&lt;=-0.3),"超过30%","")</f>
        <v/>
      </c>
      <c r="I53" s="448">
        <f>IF(I48&lt;I49,I49/I48-1,I48/I49-1)</f>
        <v>2.8124999999999956E-2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5.7142857142857828E-3</v>
      </c>
      <c r="F54" s="449" t="str">
        <f>IF(OR(E54&gt;=0.2,E54&lt;=-0.2),"超过20%","")</f>
        <v/>
      </c>
      <c r="G54" s="448">
        <f>IF(G49&lt;I49,I49/G49-1,G49/I49-1)</f>
        <v>0.10000000000000009</v>
      </c>
      <c r="H54" s="449" t="str">
        <f>IF(OR(G54&gt;=0.2,G54&lt;=-0.2),"超过20%","")</f>
        <v/>
      </c>
      <c r="I54" s="448">
        <f>IF(I49&lt;E49,E49/I49-1,I49/E49-1)</f>
        <v>9.375E-2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5.5340343110128476E-3</v>
      </c>
      <c r="F55" s="449" t="str">
        <f>IF(OR(E55&gt;=0.3,E55&lt;=-0.3),"超过30%","")</f>
        <v/>
      </c>
      <c r="G55" s="448">
        <f>IF(G48&lt;I48,I48/G48-1,G48/I48-1)</f>
        <v>9.8480243161094272E-2</v>
      </c>
      <c r="H55" s="449" t="str">
        <f>IF(OR(G55&gt;=0.3,G55&lt;=-0.3),"超过30%","")</f>
        <v/>
      </c>
      <c r="I55" s="448">
        <f>IF(I48&lt;E48,E48/I48-1,I48/E48-1)</f>
        <v>0.10455927051671754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2">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549" t="s">
        <v>3608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104</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38" t="s">
        <v>3581</v>
      </c>
      <c r="D89" s="3538" t="s">
        <v>3582</v>
      </c>
      <c r="E89" s="3538" t="s">
        <v>3584</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39" t="s">
        <v>3586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0(含)-300</v>
      </c>
      <c r="D103" s="527" t="str">
        <f t="shared" ref="D103:L103" si="23">D104&amp;"(含)"&amp;"-"&amp;E104</f>
        <v>300(含)-500</v>
      </c>
      <c r="E103" s="527" t="str">
        <f t="shared" si="23"/>
        <v>500(含)-1000</v>
      </c>
      <c r="F103" s="527" t="str">
        <f t="shared" si="23"/>
        <v>1000(含)-2000</v>
      </c>
      <c r="G103" s="527" t="str">
        <f t="shared" si="23"/>
        <v>2000(含)-3000</v>
      </c>
      <c r="H103" s="527" t="str">
        <f t="shared" si="23"/>
        <v>3000(含)-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1000</v>
      </c>
      <c r="G104" s="544">
        <v>2000</v>
      </c>
      <c r="H104" s="544">
        <v>3000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v>97</v>
      </c>
      <c r="H105" s="485">
        <v>96</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538" t="s">
        <v>3588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538" t="s">
        <v>3590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538" t="s">
        <v>3591</v>
      </c>
      <c r="D113" s="3538" t="s">
        <v>3592</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538" t="s">
        <v>3594</v>
      </c>
      <c r="D115" s="3538" t="s">
        <v>3595</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38" t="s">
        <v>3596</v>
      </c>
      <c r="D117" s="3538" t="s">
        <v>3597</v>
      </c>
      <c r="E117" s="3538" t="s">
        <v>3598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540" t="s">
        <v>3600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38" t="s">
        <v>3590</v>
      </c>
      <c r="D123" s="3538" t="s">
        <v>3601</v>
      </c>
      <c r="E123" s="3538" t="s">
        <v>3602</v>
      </c>
      <c r="F123" s="3540" t="s">
        <v>3603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45"/>
  <sheetViews>
    <sheetView view="pageBreakPreview" zoomScale="90" zoomScaleSheetLayoutView="90" workbookViewId="0">
      <selection activeCell="I5" sqref="I5"/>
    </sheetView>
  </sheetViews>
  <sheetFormatPr defaultColWidth="9" defaultRowHeight="13.5"/>
  <cols>
    <col min="1" max="1" width="6.375" style="3481" customWidth="1"/>
    <col min="2" max="2" width="19.375" style="3535" customWidth="1"/>
    <col min="3" max="3" width="10.125" style="3524" customWidth="1"/>
    <col min="4" max="4" width="6.375" style="3524" customWidth="1"/>
    <col min="5" max="5" width="7.375" style="3524" customWidth="1"/>
    <col min="6" max="6" width="6.5" style="3524" customWidth="1"/>
    <col min="7" max="7" width="19.375" style="3536" customWidth="1"/>
    <col min="8" max="8" width="19.5" style="3481" customWidth="1"/>
    <col min="9" max="9" width="8.625" style="3481" customWidth="1"/>
    <col min="10" max="10" width="10.5" style="3477" customWidth="1"/>
    <col min="11" max="11" width="7.75" style="3505" customWidth="1"/>
    <col min="12" max="12" width="16.375" style="3505" customWidth="1"/>
    <col min="13" max="16" width="8.125" style="3481" customWidth="1"/>
    <col min="17" max="17" width="9" style="3481"/>
    <col min="18" max="18" width="20.375" style="3481" customWidth="1"/>
    <col min="19" max="20" width="9" style="3481"/>
    <col min="21" max="21" width="15.625" style="3481" customWidth="1"/>
    <col min="22" max="16384" width="9" style="3481"/>
  </cols>
  <sheetData>
    <row r="1" spans="1:16">
      <c r="A1" s="3871" t="s">
        <v>3418</v>
      </c>
      <c r="B1" s="3871"/>
      <c r="C1" s="3871"/>
      <c r="D1" s="3871"/>
      <c r="E1" s="3871"/>
      <c r="F1" s="3871"/>
      <c r="G1" s="3871"/>
      <c r="H1" s="3871"/>
      <c r="I1" s="3871"/>
      <c r="K1" s="3872" t="s">
        <v>3419</v>
      </c>
      <c r="L1" s="3478" t="s">
        <v>3420</v>
      </c>
      <c r="M1" s="3479">
        <v>0</v>
      </c>
      <c r="N1" s="3480"/>
      <c r="O1" s="3480"/>
    </row>
    <row r="2" spans="1:16" ht="15.75" customHeight="1">
      <c r="A2" s="3482" t="s">
        <v>3421</v>
      </c>
      <c r="B2" s="3483" t="s">
        <v>3422</v>
      </c>
      <c r="C2" s="3844" t="s">
        <v>3423</v>
      </c>
      <c r="D2" s="3845"/>
      <c r="E2" s="3845"/>
      <c r="F2" s="3846"/>
      <c r="G2" s="3482" t="s">
        <v>3424</v>
      </c>
      <c r="H2" s="3855" t="s">
        <v>3425</v>
      </c>
      <c r="I2" s="3855"/>
      <c r="K2" s="3872"/>
      <c r="L2" s="3478" t="s">
        <v>3426</v>
      </c>
      <c r="M2" s="3484" t="s">
        <v>3427</v>
      </c>
      <c r="N2" s="3485"/>
      <c r="O2" s="3485"/>
    </row>
    <row r="3" spans="1:16">
      <c r="A3" s="3486" t="s">
        <v>3428</v>
      </c>
      <c r="B3" s="3487" t="s">
        <v>3429</v>
      </c>
      <c r="C3" s="3873">
        <f>ROUND(I3*'比较法-售价办公'!C49,0)</f>
        <v>118282289</v>
      </c>
      <c r="D3" s="3874"/>
      <c r="E3" s="3874"/>
      <c r="F3" s="3875"/>
      <c r="G3" s="3486" t="s">
        <v>3430</v>
      </c>
      <c r="H3" s="3488" t="s">
        <v>3431</v>
      </c>
      <c r="I3" s="3486">
        <f>'数据-基础表'!I13</f>
        <v>1369.88</v>
      </c>
      <c r="J3" s="3477">
        <f>C3/I3</f>
        <v>86345.000291996374</v>
      </c>
      <c r="K3" s="3872"/>
      <c r="L3" s="3478" t="s">
        <v>3432</v>
      </c>
      <c r="M3" s="3484" t="s">
        <v>3433</v>
      </c>
      <c r="N3" s="3485"/>
      <c r="O3" s="3489"/>
    </row>
    <row r="4" spans="1:16">
      <c r="A4" s="3847" t="s">
        <v>3434</v>
      </c>
      <c r="B4" s="3848" t="s">
        <v>3435</v>
      </c>
      <c r="C4" s="3876">
        <f>ROUND(C3*(I4-I6)/(1-((1+I6)/(1+I4))^I5),0)</f>
        <v>5654811</v>
      </c>
      <c r="D4" s="3877"/>
      <c r="E4" s="3877"/>
      <c r="F4" s="3878"/>
      <c r="G4" s="3847" t="s">
        <v>3436</v>
      </c>
      <c r="H4" s="3487" t="s">
        <v>3437</v>
      </c>
      <c r="I4" s="3490">
        <v>5.5E-2</v>
      </c>
      <c r="J4" s="3477" t="e">
        <f>'[2]比较法-商业'!C49*365/J3</f>
        <v>#REF!</v>
      </c>
      <c r="K4" s="3872"/>
      <c r="L4" s="3478" t="s">
        <v>3438</v>
      </c>
      <c r="M4" s="3491">
        <f>ROUND(1-(1-M1)*M2/M3,2)</f>
        <v>0.57999999999999996</v>
      </c>
      <c r="N4" s="3485"/>
      <c r="O4" s="3485"/>
    </row>
    <row r="5" spans="1:16" s="3495" customFormat="1" ht="18" customHeight="1">
      <c r="A5" s="3847"/>
      <c r="B5" s="3848"/>
      <c r="C5" s="3879"/>
      <c r="D5" s="3880"/>
      <c r="E5" s="3880"/>
      <c r="F5" s="3881"/>
      <c r="G5" s="3847"/>
      <c r="H5" s="3487" t="s">
        <v>3439</v>
      </c>
      <c r="I5" s="3492">
        <f>项目基本情况!E15</f>
        <v>39.04</v>
      </c>
      <c r="J5" s="3493"/>
      <c r="K5" s="3872"/>
      <c r="L5" s="3478" t="s">
        <v>3440</v>
      </c>
      <c r="M5" s="3494">
        <v>0.5</v>
      </c>
      <c r="N5" s="3485"/>
      <c r="O5" s="3485"/>
    </row>
    <row r="6" spans="1:16" s="3495" customFormat="1" ht="18" customHeight="1">
      <c r="A6" s="3847"/>
      <c r="B6" s="3848"/>
      <c r="C6" s="3882"/>
      <c r="D6" s="3883"/>
      <c r="E6" s="3883"/>
      <c r="F6" s="3884"/>
      <c r="G6" s="3847"/>
      <c r="H6" s="3487" t="s">
        <v>3441</v>
      </c>
      <c r="I6" s="3490">
        <v>0.02</v>
      </c>
      <c r="J6" s="3496"/>
      <c r="K6" s="3885" t="s">
        <v>3442</v>
      </c>
      <c r="L6" s="3497" t="s">
        <v>3443</v>
      </c>
      <c r="M6" s="3498" t="s">
        <v>3444</v>
      </c>
      <c r="N6" s="3498" t="s">
        <v>3445</v>
      </c>
      <c r="O6" s="3498" t="s">
        <v>3446</v>
      </c>
      <c r="P6" s="3498" t="s">
        <v>3447</v>
      </c>
    </row>
    <row r="7" spans="1:16" s="3495" customFormat="1" ht="17.25" customHeight="1">
      <c r="A7" s="3486" t="s">
        <v>3448</v>
      </c>
      <c r="B7" s="3487" t="s">
        <v>3449</v>
      </c>
      <c r="C7" s="3844">
        <f ca="1">ROUND(C23*I7,0)</f>
        <v>9019427</v>
      </c>
      <c r="D7" s="3845"/>
      <c r="E7" s="3845"/>
      <c r="F7" s="3846"/>
      <c r="G7" s="3482" t="s">
        <v>3450</v>
      </c>
      <c r="H7" s="3487" t="s">
        <v>3451</v>
      </c>
      <c r="I7" s="3499">
        <f>'数据-取费表'!N6</f>
        <v>0.9</v>
      </c>
      <c r="K7" s="3885"/>
      <c r="L7" s="3497" t="s">
        <v>3452</v>
      </c>
      <c r="M7" s="3498">
        <v>100</v>
      </c>
      <c r="N7" s="3498" t="s">
        <v>3453</v>
      </c>
      <c r="O7" s="3498">
        <v>60</v>
      </c>
      <c r="P7" s="3498">
        <v>0.3</v>
      </c>
    </row>
    <row r="8" spans="1:16" s="3495" customFormat="1" ht="23.25" customHeight="1">
      <c r="A8" s="3482" t="s">
        <v>3454</v>
      </c>
      <c r="B8" s="3487" t="s">
        <v>3455</v>
      </c>
      <c r="C8" s="3844">
        <f>ROUND(I8*I3,0)</f>
        <v>6849400</v>
      </c>
      <c r="D8" s="3845"/>
      <c r="E8" s="3845"/>
      <c r="F8" s="3846"/>
      <c r="G8" s="3482" t="s">
        <v>3456</v>
      </c>
      <c r="H8" s="3487" t="s">
        <v>3457</v>
      </c>
      <c r="I8" s="3500">
        <v>5000</v>
      </c>
      <c r="J8" s="3501">
        <f>D36</f>
        <v>17</v>
      </c>
      <c r="K8" s="3885"/>
      <c r="L8" s="3497" t="s">
        <v>3458</v>
      </c>
      <c r="M8" s="3498">
        <v>100</v>
      </c>
      <c r="N8" s="3498" t="s">
        <v>3459</v>
      </c>
      <c r="O8" s="3498">
        <v>60</v>
      </c>
      <c r="P8" s="3498">
        <v>0.5</v>
      </c>
    </row>
    <row r="9" spans="1:16" s="3495" customFormat="1" ht="18" customHeight="1">
      <c r="A9" s="3482" t="s">
        <v>3460</v>
      </c>
      <c r="B9" s="3487" t="s">
        <v>3461</v>
      </c>
      <c r="C9" s="3844">
        <f>ROUND(C8*H9,0)</f>
        <v>342470</v>
      </c>
      <c r="D9" s="3845"/>
      <c r="E9" s="3845"/>
      <c r="F9" s="3846"/>
      <c r="G9" s="3482" t="s">
        <v>3462</v>
      </c>
      <c r="H9" s="3886">
        <v>0.05</v>
      </c>
      <c r="I9" s="3886"/>
      <c r="J9" s="3501">
        <f ca="1">D37</f>
        <v>15.5</v>
      </c>
      <c r="K9" s="3885"/>
      <c r="L9" s="3497" t="s">
        <v>3463</v>
      </c>
      <c r="M9" s="3498">
        <v>100</v>
      </c>
      <c r="N9" s="3498" t="s">
        <v>3459</v>
      </c>
      <c r="O9" s="3498">
        <v>60</v>
      </c>
      <c r="P9" s="3498">
        <f>1-P7-P8</f>
        <v>0.19999999999999996</v>
      </c>
    </row>
    <row r="10" spans="1:16" s="3495" customFormat="1" ht="18" customHeight="1">
      <c r="A10" s="3482" t="s">
        <v>3464</v>
      </c>
      <c r="B10" s="3487" t="s">
        <v>3465</v>
      </c>
      <c r="C10" s="3844">
        <f>ROUND(C8*H10,0)</f>
        <v>0</v>
      </c>
      <c r="D10" s="3845"/>
      <c r="E10" s="3845"/>
      <c r="F10" s="3846"/>
      <c r="G10" s="3482" t="s">
        <v>3466</v>
      </c>
      <c r="H10" s="3886">
        <v>0</v>
      </c>
      <c r="I10" s="3886"/>
      <c r="J10" s="3501">
        <f ca="1">D38</f>
        <v>16.3</v>
      </c>
      <c r="K10" s="3885"/>
      <c r="L10" s="3498" t="s">
        <v>3467</v>
      </c>
      <c r="M10" s="3502">
        <f>1-M5</f>
        <v>0.5</v>
      </c>
      <c r="N10" s="3498" t="s">
        <v>3468</v>
      </c>
      <c r="O10" s="3503">
        <f>ROUND((O7*P7+O8*P8+O9*P9)/100,2)</f>
        <v>0.6</v>
      </c>
      <c r="P10" s="3504"/>
    </row>
    <row r="11" spans="1:16" s="3495" customFormat="1" ht="29.25" customHeight="1">
      <c r="A11" s="3482" t="s">
        <v>3469</v>
      </c>
      <c r="B11" s="3487" t="s">
        <v>3470</v>
      </c>
      <c r="C11" s="3844">
        <f>ROUND(I11*I3,0)</f>
        <v>273976</v>
      </c>
      <c r="D11" s="3845"/>
      <c r="E11" s="3845"/>
      <c r="F11" s="3846"/>
      <c r="G11" s="3482" t="s">
        <v>3471</v>
      </c>
      <c r="H11" s="3487" t="s">
        <v>3472</v>
      </c>
      <c r="I11" s="3482">
        <f>'[2]数据-取费表'!B35</f>
        <v>200</v>
      </c>
      <c r="J11" s="3493"/>
      <c r="K11" s="3505"/>
      <c r="L11" s="3505"/>
      <c r="N11" s="3495">
        <f>(M4+O10)/2</f>
        <v>0.59</v>
      </c>
    </row>
    <row r="12" spans="1:16" s="3495" customFormat="1" ht="18" customHeight="1">
      <c r="A12" s="3482" t="s">
        <v>3473</v>
      </c>
      <c r="B12" s="3487" t="s">
        <v>3474</v>
      </c>
      <c r="C12" s="3844">
        <f>ROUND(C8*H12,0)</f>
        <v>136988</v>
      </c>
      <c r="D12" s="3845"/>
      <c r="E12" s="3845"/>
      <c r="F12" s="3846"/>
      <c r="G12" s="3482" t="s">
        <v>3475</v>
      </c>
      <c r="H12" s="3856">
        <v>0.02</v>
      </c>
      <c r="I12" s="3856"/>
      <c r="J12" s="3506" t="s">
        <v>3476</v>
      </c>
      <c r="L12" s="3507"/>
    </row>
    <row r="13" spans="1:16" s="3495" customFormat="1" ht="18" customHeight="1">
      <c r="A13" s="3482" t="s">
        <v>3477</v>
      </c>
      <c r="B13" s="3487" t="s">
        <v>3478</v>
      </c>
      <c r="C13" s="3844">
        <f>SUM(C8:F12)</f>
        <v>7602834</v>
      </c>
      <c r="D13" s="3845"/>
      <c r="E13" s="3845"/>
      <c r="F13" s="3846"/>
      <c r="G13" s="3855" t="s">
        <v>3479</v>
      </c>
      <c r="H13" s="3855"/>
      <c r="I13" s="3855"/>
      <c r="J13" s="3506" t="s">
        <v>3480</v>
      </c>
      <c r="L13" s="3507"/>
    </row>
    <row r="14" spans="1:16" s="3495" customFormat="1" ht="18" customHeight="1">
      <c r="A14" s="3482" t="s">
        <v>3481</v>
      </c>
      <c r="B14" s="3487" t="s">
        <v>3482</v>
      </c>
      <c r="C14" s="3844">
        <f>ROUND(C13*H14,0)</f>
        <v>228085</v>
      </c>
      <c r="D14" s="3845"/>
      <c r="E14" s="3845"/>
      <c r="F14" s="3846"/>
      <c r="G14" s="3482" t="s">
        <v>3483</v>
      </c>
      <c r="H14" s="3870">
        <v>0.03</v>
      </c>
      <c r="I14" s="3870"/>
      <c r="J14" s="3493">
        <v>2</v>
      </c>
      <c r="L14" s="3507"/>
    </row>
    <row r="15" spans="1:16" s="3495" customFormat="1" ht="18" customHeight="1">
      <c r="A15" s="3482" t="s">
        <v>3484</v>
      </c>
      <c r="B15" s="3487" t="s">
        <v>3485</v>
      </c>
      <c r="C15" s="3857">
        <f>H15</f>
        <v>0.02</v>
      </c>
      <c r="D15" s="3858"/>
      <c r="E15" s="3859" t="str">
        <f>E18</f>
        <v>V</v>
      </c>
      <c r="F15" s="3860"/>
      <c r="G15" s="3482" t="s">
        <v>3486</v>
      </c>
      <c r="H15" s="3870">
        <v>0.02</v>
      </c>
      <c r="I15" s="3870"/>
      <c r="J15" s="3493">
        <v>2</v>
      </c>
      <c r="K15" s="3505"/>
    </row>
    <row r="16" spans="1:16" s="3495" customFormat="1" ht="18" customHeight="1">
      <c r="A16" s="3508" t="s">
        <v>3487</v>
      </c>
      <c r="B16" s="3509" t="s">
        <v>3488</v>
      </c>
      <c r="C16" s="3510">
        <f ca="1">C17</f>
        <v>245108</v>
      </c>
      <c r="D16" s="3511" t="s">
        <v>3489</v>
      </c>
      <c r="E16" s="3511">
        <f ca="1">C18</f>
        <v>6.2600000000000004E-4</v>
      </c>
      <c r="F16" s="3512" t="str">
        <f>E18</f>
        <v>V</v>
      </c>
      <c r="G16" s="3844" t="s">
        <v>3490</v>
      </c>
      <c r="H16" s="3845"/>
      <c r="I16" s="3846"/>
      <c r="J16" s="3493"/>
      <c r="K16" s="3505"/>
    </row>
    <row r="17" spans="1:21" s="3495" customFormat="1" ht="18" customHeight="1">
      <c r="A17" s="3482" t="s">
        <v>3491</v>
      </c>
      <c r="B17" s="3487" t="s">
        <v>3492</v>
      </c>
      <c r="C17" s="3844">
        <f ca="1">ROUND((C13+C14)*I18*(I17/2),0)</f>
        <v>245108</v>
      </c>
      <c r="D17" s="3845"/>
      <c r="E17" s="3845"/>
      <c r="F17" s="3846"/>
      <c r="G17" s="3510" t="s">
        <v>3493</v>
      </c>
      <c r="H17" s="3487" t="s">
        <v>3494</v>
      </c>
      <c r="I17" s="3482">
        <f>'[2]数据-取费表'!B21</f>
        <v>2</v>
      </c>
      <c r="J17" s="3506" t="s">
        <v>3495</v>
      </c>
      <c r="K17" s="3505"/>
      <c r="L17" s="3505"/>
    </row>
    <row r="18" spans="1:21" s="3495" customFormat="1" ht="18" customHeight="1">
      <c r="A18" s="3482" t="s">
        <v>3496</v>
      </c>
      <c r="B18" s="3487" t="s">
        <v>3497</v>
      </c>
      <c r="C18" s="3857">
        <f ca="1">H15*I18*I17/2</f>
        <v>6.2600000000000004E-4</v>
      </c>
      <c r="D18" s="3858"/>
      <c r="E18" s="3859" t="s">
        <v>3498</v>
      </c>
      <c r="F18" s="3860"/>
      <c r="G18" s="3510" t="s">
        <v>3499</v>
      </c>
      <c r="H18" s="3487" t="s">
        <v>3500</v>
      </c>
      <c r="I18" s="3513">
        <f ca="1">'数据-取费表'!B40</f>
        <v>3.1300000000000001E-2</v>
      </c>
      <c r="J18" s="3506" t="s">
        <v>3501</v>
      </c>
      <c r="K18" s="3505"/>
      <c r="L18" s="3505"/>
    </row>
    <row r="19" spans="1:21" s="3495" customFormat="1" ht="27" customHeight="1">
      <c r="A19" s="3482" t="s">
        <v>3502</v>
      </c>
      <c r="B19" s="3487" t="s">
        <v>3503</v>
      </c>
      <c r="C19" s="3510">
        <f>C20</f>
        <v>1174638</v>
      </c>
      <c r="D19" s="3511" t="s">
        <v>3489</v>
      </c>
      <c r="E19" s="3511">
        <f>C21</f>
        <v>3.0000000000000001E-3</v>
      </c>
      <c r="F19" s="3512" t="str">
        <f>E21</f>
        <v>V</v>
      </c>
      <c r="G19" s="3844" t="s">
        <v>3504</v>
      </c>
      <c r="H19" s="3845"/>
      <c r="I19" s="3846"/>
      <c r="J19" s="3493"/>
      <c r="K19" s="3505"/>
      <c r="L19" s="3505"/>
      <c r="U19" s="3495" t="s">
        <v>3505</v>
      </c>
    </row>
    <row r="20" spans="1:21" s="3495" customFormat="1" ht="26.25" customHeight="1">
      <c r="A20" s="3482" t="s">
        <v>3506</v>
      </c>
      <c r="B20" s="3487" t="s">
        <v>3507</v>
      </c>
      <c r="C20" s="3844">
        <f>ROUND((C13+C14)*I20,0)</f>
        <v>1174638</v>
      </c>
      <c r="D20" s="3845"/>
      <c r="E20" s="3845"/>
      <c r="F20" s="3846"/>
      <c r="G20" s="3482" t="s">
        <v>3508</v>
      </c>
      <c r="H20" s="3867" t="s">
        <v>3509</v>
      </c>
      <c r="I20" s="3869">
        <v>0.15</v>
      </c>
      <c r="J20" s="3506" t="s">
        <v>3510</v>
      </c>
      <c r="K20" s="3505"/>
      <c r="L20" s="3505"/>
      <c r="R20" s="3495" t="s">
        <v>3511</v>
      </c>
      <c r="S20" s="3495">
        <v>8.5</v>
      </c>
      <c r="T20" s="3495">
        <v>10</v>
      </c>
      <c r="U20" s="3495" t="e">
        <f>ROUND(U21*U22/365/0.8,1)</f>
        <v>#REF!</v>
      </c>
    </row>
    <row r="21" spans="1:21" s="3495" customFormat="1" ht="27" customHeight="1">
      <c r="A21" s="3482" t="s">
        <v>3506</v>
      </c>
      <c r="B21" s="3487" t="s">
        <v>3512</v>
      </c>
      <c r="C21" s="3857">
        <f>H15*I20</f>
        <v>3.0000000000000001E-3</v>
      </c>
      <c r="D21" s="3858"/>
      <c r="E21" s="3859" t="s">
        <v>3498</v>
      </c>
      <c r="F21" s="3860"/>
      <c r="G21" s="3482" t="s">
        <v>3513</v>
      </c>
      <c r="H21" s="3868"/>
      <c r="I21" s="3869"/>
      <c r="J21" s="3493"/>
      <c r="K21" s="3505"/>
      <c r="L21" s="3505"/>
      <c r="R21" s="3495" t="s">
        <v>3514</v>
      </c>
      <c r="S21" s="3495">
        <f>S20*365*0.8/S22</f>
        <v>49640</v>
      </c>
      <c r="T21" s="3495">
        <v>50000</v>
      </c>
      <c r="U21" s="3495" t="e">
        <f>'[2]比较法-商业售价'!B3</f>
        <v>#REF!</v>
      </c>
    </row>
    <row r="22" spans="1:21" s="3495" customFormat="1" ht="18" customHeight="1">
      <c r="A22" s="3482" t="s">
        <v>3515</v>
      </c>
      <c r="B22" s="3487" t="s">
        <v>3516</v>
      </c>
      <c r="C22" s="3857">
        <f>ROUND(H22/1.05,4)</f>
        <v>5.33E-2</v>
      </c>
      <c r="D22" s="3858"/>
      <c r="E22" s="3859" t="s">
        <v>3498</v>
      </c>
      <c r="F22" s="3860"/>
      <c r="G22" s="3482" t="s">
        <v>3517</v>
      </c>
      <c r="H22" s="3856">
        <v>5.6000000000000001E-2</v>
      </c>
      <c r="I22" s="3856"/>
      <c r="J22" s="3493"/>
      <c r="K22" s="3505"/>
      <c r="L22" s="3505"/>
      <c r="R22" s="3495" t="s">
        <v>3518</v>
      </c>
      <c r="S22" s="3495">
        <v>0.05</v>
      </c>
      <c r="T22" s="3495">
        <f>T20*365*0.8/T21</f>
        <v>5.8400000000000001E-2</v>
      </c>
      <c r="U22" s="3514">
        <v>0.06</v>
      </c>
    </row>
    <row r="23" spans="1:21" s="3495" customFormat="1" ht="18" customHeight="1">
      <c r="A23" s="3482" t="s">
        <v>3519</v>
      </c>
      <c r="B23" s="3487" t="s">
        <v>3520</v>
      </c>
      <c r="C23" s="3844">
        <f ca="1">ROUND((C13+C14+C17+C20)/(1-H15-C18-C21-C22),0)</f>
        <v>10021585</v>
      </c>
      <c r="D23" s="3845"/>
      <c r="E23" s="3845"/>
      <c r="F23" s="3846"/>
      <c r="G23" s="3844" t="s">
        <v>3521</v>
      </c>
      <c r="H23" s="3845"/>
      <c r="I23" s="3846"/>
      <c r="J23" s="3493"/>
      <c r="K23" s="3505"/>
      <c r="L23" s="3505"/>
    </row>
    <row r="24" spans="1:21" s="3495" customFormat="1" ht="18" customHeight="1">
      <c r="A24" s="3482" t="s">
        <v>3522</v>
      </c>
      <c r="B24" s="3487" t="s">
        <v>3523</v>
      </c>
      <c r="C24" s="3515">
        <f ca="1">C27+C28</f>
        <v>59127</v>
      </c>
      <c r="D24" s="3511" t="s">
        <v>3524</v>
      </c>
      <c r="E24" s="3859">
        <f>H29+E26+H25</f>
        <v>0.18028571428571427</v>
      </c>
      <c r="F24" s="3860"/>
      <c r="G24" s="3855" t="s">
        <v>3525</v>
      </c>
      <c r="H24" s="3855"/>
      <c r="I24" s="3855"/>
      <c r="J24" s="3493"/>
      <c r="K24" s="3505">
        <f ca="1">C4/C30</f>
        <v>0.81123198624632498</v>
      </c>
      <c r="L24" s="3505"/>
    </row>
    <row r="25" spans="1:21" s="3495" customFormat="1" ht="18" customHeight="1">
      <c r="A25" s="3482" t="s">
        <v>3477</v>
      </c>
      <c r="B25" s="3487" t="s">
        <v>3526</v>
      </c>
      <c r="C25" s="3857" t="s">
        <v>3527</v>
      </c>
      <c r="D25" s="3858"/>
      <c r="E25" s="3861">
        <f>ROUND(H25/1.05,4)</f>
        <v>5.33E-2</v>
      </c>
      <c r="F25" s="3862"/>
      <c r="G25" s="3482" t="s">
        <v>3528</v>
      </c>
      <c r="H25" s="3856">
        <v>5.6000000000000001E-2</v>
      </c>
      <c r="I25" s="3856"/>
      <c r="J25" s="3493"/>
      <c r="K25" s="3505"/>
      <c r="L25" s="3505"/>
    </row>
    <row r="26" spans="1:21" s="3495" customFormat="1" ht="18" customHeight="1">
      <c r="A26" s="3482" t="s">
        <v>3481</v>
      </c>
      <c r="B26" s="3487" t="s">
        <v>3529</v>
      </c>
      <c r="C26" s="3857" t="s">
        <v>3527</v>
      </c>
      <c r="D26" s="3858"/>
      <c r="E26" s="3863">
        <f>H26/1.05</f>
        <v>0.11428571428571428</v>
      </c>
      <c r="F26" s="3864"/>
      <c r="G26" s="3482"/>
      <c r="H26" s="3865">
        <f>'[2]数据-取费表'!B51</f>
        <v>0.12</v>
      </c>
      <c r="I26" s="3866"/>
      <c r="J26" s="3493"/>
      <c r="K26" s="3505"/>
      <c r="L26" s="3505"/>
    </row>
    <row r="27" spans="1:21" s="3495" customFormat="1" ht="18" customHeight="1">
      <c r="A27" s="3482" t="s">
        <v>3484</v>
      </c>
      <c r="B27" s="3487" t="s">
        <v>3530</v>
      </c>
      <c r="C27" s="3844">
        <f ca="1">ROUND(C23*H27,0)</f>
        <v>50108</v>
      </c>
      <c r="D27" s="3845"/>
      <c r="E27" s="3845"/>
      <c r="F27" s="3846"/>
      <c r="G27" s="3482" t="s">
        <v>3531</v>
      </c>
      <c r="H27" s="3856">
        <v>5.0000000000000001E-3</v>
      </c>
      <c r="I27" s="3856"/>
      <c r="J27" s="3493"/>
      <c r="K27" s="3505"/>
      <c r="L27" s="3505"/>
    </row>
    <row r="28" spans="1:21" s="3495" customFormat="1" ht="18" customHeight="1">
      <c r="A28" s="3482" t="s">
        <v>3487</v>
      </c>
      <c r="B28" s="3487" t="s">
        <v>3532</v>
      </c>
      <c r="C28" s="3844">
        <f ca="1">ROUND(C7*H28,0)</f>
        <v>9019</v>
      </c>
      <c r="D28" s="3845"/>
      <c r="E28" s="3845"/>
      <c r="F28" s="3846"/>
      <c r="G28" s="3482" t="s">
        <v>3533</v>
      </c>
      <c r="H28" s="3856">
        <v>1E-3</v>
      </c>
      <c r="I28" s="3856"/>
      <c r="J28" s="3493"/>
      <c r="K28" s="3505"/>
      <c r="L28" s="3505"/>
    </row>
    <row r="29" spans="1:21" s="3495" customFormat="1" ht="18" customHeight="1">
      <c r="A29" s="3482" t="s">
        <v>3534</v>
      </c>
      <c r="B29" s="3487" t="s">
        <v>3535</v>
      </c>
      <c r="C29" s="3857" t="s">
        <v>3527</v>
      </c>
      <c r="D29" s="3858"/>
      <c r="E29" s="3859">
        <f>H29</f>
        <v>0.01</v>
      </c>
      <c r="F29" s="3860"/>
      <c r="G29" s="3482" t="s">
        <v>3536</v>
      </c>
      <c r="H29" s="3856">
        <v>0.01</v>
      </c>
      <c r="I29" s="3856"/>
      <c r="J29" s="3516"/>
      <c r="K29" s="3505"/>
      <c r="L29" s="3505"/>
    </row>
    <row r="30" spans="1:21" s="3495" customFormat="1" ht="18" customHeight="1">
      <c r="A30" s="3486" t="s">
        <v>3537</v>
      </c>
      <c r="B30" s="3487" t="s">
        <v>3538</v>
      </c>
      <c r="C30" s="3844">
        <f ca="1">ROUND((C4+C24)/(1-E24),0)</f>
        <v>6970646</v>
      </c>
      <c r="D30" s="3845"/>
      <c r="E30" s="3845"/>
      <c r="F30" s="3846"/>
      <c r="G30" s="3847" t="s">
        <v>3539</v>
      </c>
      <c r="H30" s="3847"/>
      <c r="I30" s="3847"/>
      <c r="J30" s="3517" t="s">
        <v>3540</v>
      </c>
      <c r="K30" s="3505"/>
      <c r="L30" s="3505"/>
    </row>
    <row r="31" spans="1:21" s="3495" customFormat="1" ht="18" customHeight="1">
      <c r="A31" s="3847" t="s">
        <v>3541</v>
      </c>
      <c r="B31" s="3848" t="s">
        <v>3542</v>
      </c>
      <c r="C31" s="3849">
        <f ca="1">ROUND(C30/I31/I32/I3,1)</f>
        <v>15.5</v>
      </c>
      <c r="D31" s="3850"/>
      <c r="E31" s="3850"/>
      <c r="F31" s="3851"/>
      <c r="G31" s="3855" t="s">
        <v>3543</v>
      </c>
      <c r="H31" s="3487" t="s">
        <v>3544</v>
      </c>
      <c r="I31" s="3482">
        <v>365</v>
      </c>
      <c r="J31" s="3493"/>
      <c r="K31" s="3505"/>
      <c r="L31" s="3505"/>
    </row>
    <row r="32" spans="1:21" s="3495" customFormat="1" ht="18" customHeight="1">
      <c r="A32" s="3847"/>
      <c r="B32" s="3848"/>
      <c r="C32" s="3852"/>
      <c r="D32" s="3853"/>
      <c r="E32" s="3853"/>
      <c r="F32" s="3854"/>
      <c r="G32" s="3855"/>
      <c r="H32" s="3487" t="s">
        <v>3545</v>
      </c>
      <c r="I32" s="3490">
        <v>0.9</v>
      </c>
      <c r="J32" s="3493" t="s">
        <v>3546</v>
      </c>
      <c r="K32" s="3505"/>
      <c r="L32" s="3505"/>
    </row>
    <row r="33" spans="1:13" s="3495" customFormat="1" ht="18" customHeight="1">
      <c r="A33" s="3481"/>
      <c r="B33" s="3518"/>
      <c r="C33" s="3519"/>
      <c r="D33" s="3519"/>
      <c r="E33" s="3519"/>
      <c r="F33" s="3519"/>
      <c r="G33" s="3520"/>
      <c r="H33" s="3521"/>
      <c r="I33" s="3481"/>
      <c r="J33" s="3496" t="s">
        <v>3546</v>
      </c>
      <c r="K33" s="3505"/>
      <c r="L33" s="3505"/>
    </row>
    <row r="34" spans="1:13" s="3495" customFormat="1" ht="18" customHeight="1">
      <c r="A34" s="3481"/>
      <c r="B34" s="3836" t="s">
        <v>3547</v>
      </c>
      <c r="C34" s="3836"/>
      <c r="D34" s="3836"/>
      <c r="E34" s="3836"/>
      <c r="F34" s="3836"/>
      <c r="G34" s="3522"/>
      <c r="H34" s="3523"/>
      <c r="I34" s="3524"/>
      <c r="J34" s="3493"/>
      <c r="K34" s="3505"/>
      <c r="L34" s="3505"/>
      <c r="M34" s="3481"/>
    </row>
    <row r="35" spans="1:13" s="3495" customFormat="1" ht="18" customHeight="1">
      <c r="A35" s="3481"/>
      <c r="B35" s="3525" t="s">
        <v>3548</v>
      </c>
      <c r="C35" s="3526" t="s">
        <v>3447</v>
      </c>
      <c r="D35" s="3835" t="s">
        <v>3549</v>
      </c>
      <c r="E35" s="3835"/>
      <c r="F35" s="3835"/>
      <c r="G35" s="3522"/>
      <c r="H35" s="3523"/>
      <c r="I35" s="3524"/>
      <c r="J35" s="3493"/>
      <c r="K35" s="3481"/>
      <c r="L35" s="3481"/>
      <c r="M35" s="3481"/>
    </row>
    <row r="36" spans="1:13">
      <c r="B36" s="3525" t="s">
        <v>3550</v>
      </c>
      <c r="C36" s="3526">
        <v>0.5</v>
      </c>
      <c r="D36" s="3837">
        <f>'比较法-租金'!C50</f>
        <v>17</v>
      </c>
      <c r="E36" s="3838"/>
      <c r="F36" s="3839"/>
      <c r="G36" s="3522"/>
      <c r="H36" s="3523"/>
      <c r="I36" s="3524"/>
      <c r="K36" s="3481"/>
      <c r="L36" s="3481"/>
    </row>
    <row r="37" spans="1:13" ht="20.100000000000001" customHeight="1">
      <c r="B37" s="3525" t="s">
        <v>3551</v>
      </c>
      <c r="C37" s="3526">
        <f>1-C36</f>
        <v>0.5</v>
      </c>
      <c r="D37" s="3835">
        <f ca="1">C31</f>
        <v>15.5</v>
      </c>
      <c r="E37" s="3835"/>
      <c r="F37" s="3835"/>
      <c r="G37" s="3527">
        <f ca="1">(D37-D36)/D37</f>
        <v>-9.6774193548387094E-2</v>
      </c>
      <c r="H37" s="3528"/>
      <c r="I37" s="3529"/>
      <c r="J37" s="3481"/>
      <c r="K37" s="3481"/>
      <c r="L37" s="3481"/>
    </row>
    <row r="38" spans="1:13" ht="22.5" customHeight="1">
      <c r="B38" s="3840" t="s">
        <v>3552</v>
      </c>
      <c r="C38" s="3840"/>
      <c r="D38" s="3841">
        <f ca="1">ROUND(D36*C36+D37*C37,1)</f>
        <v>16.3</v>
      </c>
      <c r="E38" s="3842"/>
      <c r="F38" s="3843"/>
      <c r="G38" s="3522"/>
      <c r="H38" s="3528"/>
      <c r="I38" s="3529"/>
      <c r="J38" s="3481"/>
      <c r="K38" s="3481"/>
      <c r="L38" s="3481"/>
    </row>
    <row r="39" spans="1:13" ht="22.5" customHeight="1">
      <c r="B39" s="3525" t="s">
        <v>3553</v>
      </c>
      <c r="C39" s="3525">
        <f ca="1">ROUND(D38*0.9,1)</f>
        <v>14.7</v>
      </c>
      <c r="D39" s="3526" t="s">
        <v>3554</v>
      </c>
      <c r="E39" s="3835">
        <f ca="1">ROUND(D38*1.1,1)</f>
        <v>17.899999999999999</v>
      </c>
      <c r="F39" s="3835"/>
      <c r="G39" s="3530"/>
      <c r="H39" s="3531"/>
      <c r="J39" s="3481"/>
      <c r="K39" s="3481"/>
      <c r="L39" s="3481"/>
    </row>
    <row r="40" spans="1:13" ht="18" customHeight="1">
      <c r="B40" s="3525" t="s">
        <v>3555</v>
      </c>
      <c r="C40" s="3525">
        <f ca="1">ROUND(C39*365/12,0)</f>
        <v>447</v>
      </c>
      <c r="D40" s="3526" t="s">
        <v>3554</v>
      </c>
      <c r="E40" s="3835">
        <f ca="1">ROUND(E39*365/12,0)</f>
        <v>544</v>
      </c>
      <c r="F40" s="3835"/>
      <c r="G40" s="3532" t="s">
        <v>3556</v>
      </c>
      <c r="H40" s="3532">
        <v>2.5</v>
      </c>
      <c r="J40" s="3481"/>
      <c r="K40" s="3481"/>
      <c r="L40" s="3481"/>
    </row>
    <row r="41" spans="1:13" ht="18" customHeight="1">
      <c r="B41" s="3533"/>
      <c r="C41" s="3523"/>
      <c r="D41" s="3523"/>
      <c r="E41" s="3523"/>
      <c r="F41" s="3523"/>
      <c r="G41" s="3530"/>
      <c r="H41" s="3534"/>
      <c r="J41" s="3481"/>
    </row>
    <row r="42" spans="1:13" ht="18" customHeight="1">
      <c r="B42" s="3530" t="s">
        <v>3557</v>
      </c>
      <c r="C42" s="3523"/>
      <c r="D42" s="3523"/>
      <c r="E42" s="3530" t="s">
        <v>3558</v>
      </c>
      <c r="F42" s="3523"/>
      <c r="G42" s="3530"/>
      <c r="H42" s="3530" t="s">
        <v>3559</v>
      </c>
      <c r="J42" s="3481"/>
    </row>
    <row r="43" spans="1:13" ht="29.25" customHeight="1"/>
    <row r="44" spans="1:13">
      <c r="B44" s="3535" t="s">
        <v>3560</v>
      </c>
      <c r="C44" s="3524">
        <f ca="1">D38*30*F44</f>
        <v>428662.29</v>
      </c>
      <c r="F44" s="3524">
        <v>876.61</v>
      </c>
    </row>
    <row r="45" spans="1:13">
      <c r="B45" s="3535" t="s">
        <v>3561</v>
      </c>
      <c r="C45" s="3524">
        <f ca="1">D38*I3*30</f>
        <v>669871.32000000007</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selection activeCell="R22" sqref="R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890" t="s">
        <v>2084</v>
      </c>
      <c r="D1" s="3891"/>
      <c r="E1" s="3891"/>
      <c r="F1" s="3891"/>
      <c r="G1" s="3891"/>
      <c r="H1" s="3891"/>
      <c r="I1" s="3891"/>
      <c r="J1" s="3891"/>
      <c r="K1" s="3891"/>
      <c r="L1" s="3891"/>
      <c r="M1" s="3891"/>
      <c r="N1" s="3891"/>
      <c r="O1" s="3891"/>
      <c r="P1" s="3891"/>
      <c r="Q1" s="3891"/>
      <c r="R1" s="3891"/>
      <c r="S1" s="3892"/>
      <c r="T1" s="982" t="s">
        <v>2085</v>
      </c>
    </row>
    <row r="2" spans="1:45" s="655" customFormat="1" ht="38.25">
      <c r="A2" s="983"/>
      <c r="B2" s="651" t="s">
        <v>2086</v>
      </c>
      <c r="C2" s="652" t="str">
        <f t="shared" ref="C2:L2" si="0">C3&amp;"(含)"&amp;"-"&amp;D3</f>
        <v>0(含)-300</v>
      </c>
      <c r="D2" s="653" t="str">
        <f t="shared" si="0"/>
        <v>300(含)-500</v>
      </c>
      <c r="E2" s="653" t="str">
        <f t="shared" si="0"/>
        <v>500(含)-1000</v>
      </c>
      <c r="F2" s="653" t="str">
        <f t="shared" si="0"/>
        <v>1000(含)-2000</v>
      </c>
      <c r="G2" s="653" t="str">
        <f t="shared" si="0"/>
        <v>2000(含)-3000</v>
      </c>
      <c r="H2" s="653" t="str">
        <f t="shared" si="0"/>
        <v>3000(含)-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'比较法-售价办公'!C104</f>
        <v>0</v>
      </c>
      <c r="D3" s="657">
        <f>'比较法-售价办公'!D104</f>
        <v>300</v>
      </c>
      <c r="E3" s="657">
        <f>'比较法-售价办公'!E104</f>
        <v>500</v>
      </c>
      <c r="F3" s="657">
        <f>'比较法-售价办公'!F104</f>
        <v>1000</v>
      </c>
      <c r="G3" s="657">
        <f>'比较法-售价办公'!G104</f>
        <v>2000</v>
      </c>
      <c r="H3" s="657">
        <f>'比较法-售价办公'!H104</f>
        <v>3000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'比较法-售价办公'!C105</f>
        <v>99</v>
      </c>
      <c r="D4" s="988">
        <f>'比较法-售价办公'!D105</f>
        <v>100</v>
      </c>
      <c r="E4" s="988">
        <f>'比较法-售价办公'!E105</f>
        <v>99</v>
      </c>
      <c r="F4" s="988">
        <f>'比较法-售价办公'!F105</f>
        <v>98</v>
      </c>
      <c r="G4" s="988">
        <f>'比较法-售价办公'!G105</f>
        <v>97</v>
      </c>
      <c r="H4" s="988">
        <f>'比较法-售价办公'!H105</f>
        <v>96</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'比较法-售价办公'!C89</f>
        <v>高区</v>
      </c>
      <c r="D17" s="1009" t="str">
        <f>'比较法-售价办公'!D89</f>
        <v>中区</v>
      </c>
      <c r="E17" s="1009" t="str">
        <f>'比较法-售价办公'!E89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'比较法-售价办公'!C90</f>
        <v>100</v>
      </c>
      <c r="D18" s="1021">
        <f>'比较法-售价办公'!D90</f>
        <v>98</v>
      </c>
      <c r="E18" s="1021">
        <f>'比较法-售价办公'!E90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10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16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6305.16</v>
      </c>
      <c r="C22" s="3887" t="s">
        <v>27</v>
      </c>
      <c r="D22" s="3888"/>
      <c r="E22" s="3888"/>
      <c r="F22" s="3888"/>
      <c r="G22" s="3888"/>
      <c r="H22" s="3888"/>
      <c r="I22" s="3888"/>
      <c r="J22" s="3888"/>
      <c r="K22" s="3888"/>
      <c r="L22" s="3888"/>
      <c r="M22" s="3888"/>
      <c r="N22" s="3888"/>
      <c r="O22" s="3888"/>
      <c r="P22" s="3888"/>
      <c r="Q22" s="3889"/>
      <c r="R22" s="662">
        <f>ROUND((B24*R24+B25*R25+B26*R26)/B22,1)</f>
        <v>17</v>
      </c>
      <c r="S22" s="21">
        <f>SUM(S24:S10000)</f>
        <v>10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t="s">
        <v>3611</v>
      </c>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201</v>
      </c>
      <c r="B24" s="664">
        <f>'数据-基础表'!I13</f>
        <v>1369.88</v>
      </c>
      <c r="C24" s="2809">
        <v>1</v>
      </c>
      <c r="D24" s="2810"/>
      <c r="E24" s="2809">
        <v>1</v>
      </c>
      <c r="F24" s="2810"/>
      <c r="G24" s="2809">
        <v>1</v>
      </c>
      <c r="H24" s="2810"/>
      <c r="I24" s="2809">
        <v>1</v>
      </c>
      <c r="J24" s="2810"/>
      <c r="K24" s="2809">
        <v>1</v>
      </c>
      <c r="L24" s="2810"/>
      <c r="M24" s="2809">
        <v>1</v>
      </c>
      <c r="N24" s="2810"/>
      <c r="O24" s="2809">
        <v>1</v>
      </c>
      <c r="P24" s="2810" t="s">
        <v>3583</v>
      </c>
      <c r="Q24" s="2809">
        <v>1</v>
      </c>
      <c r="R24" s="667">
        <f>'比较法-租金'!C50</f>
        <v>17</v>
      </c>
      <c r="S24" s="665">
        <f t="shared" ref="S24:S54" si="11">ROUND(R24*B24/10000,0)</f>
        <v>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501</v>
      </c>
      <c r="B25" s="664">
        <f>'数据-基础表'!I14</f>
        <v>2467.64</v>
      </c>
      <c r="C25" s="21">
        <f>IF(B25="",1,(LOOKUP(B25,$3:$3,$4:$4)-LOOKUP($B$24,$3:$3,$4:$4)+100)/100)</f>
        <v>0.99</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3583</v>
      </c>
      <c r="Q25" s="21">
        <f>(SUMIF($17:$17,P25,$18:$18)-SUMIF($17:$17,$P$24,$18:$18)+100)/100</f>
        <v>1</v>
      </c>
      <c r="R25" s="662">
        <f>IF(B25="",0,ROUND($R$24*C25*E25*G25*I25*K25*M25*O25*Q25,0))</f>
        <v>17</v>
      </c>
      <c r="S25" s="316">
        <f t="shared" si="11"/>
        <v>4</v>
      </c>
    </row>
    <row r="26" spans="1:45">
      <c r="A26" s="150">
        <v>601</v>
      </c>
      <c r="B26" s="664">
        <f>'数据-基础表'!I15</f>
        <v>2467.64</v>
      </c>
      <c r="C26" s="21">
        <f t="shared" ref="C26:C89" si="12">IF(B26="",1,(LOOKUP(B26,$3:$3,$4:$4)-LOOKUP($B$24,$3:$3,$4:$4)+100)/100)</f>
        <v>0.99</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3604</v>
      </c>
      <c r="Q26" s="21">
        <f t="shared" ref="Q26:Q89" si="19">(SUMIF($17:$17,P26,$18:$18)-SUMIF($17:$17,$P$24,$18:$18)+100)/100</f>
        <v>1.02</v>
      </c>
      <c r="R26" s="662">
        <f t="shared" ref="R26:R89" si="20">IF(B26="",0,ROUND($R$24*C26*E26*G26*I26*K26*M26*O26*Q26,0))</f>
        <v>17</v>
      </c>
      <c r="S26" s="316">
        <f t="shared" si="11"/>
        <v>4</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0.04</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0.04</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0.04</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0.04</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0.04</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0.04</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0.04</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0.04</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0.04</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0.04</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0.04</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0.04</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0.04</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0.04</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0.04</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0.04</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0.04</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0.04</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0.04</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0.04</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0.04</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0.04</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0.04</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0.04</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0.04</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0.04</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0.04</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0.04</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0.04</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0.04</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0.04</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0.04</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0.04</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0.04</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0.04</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0.04</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0.04</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0.04</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0.04</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0.04</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0.04</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0.04</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0.04</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0.04</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0.04</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0.04</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0.04</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0.04</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0.04</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0.04</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0.04</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0.04</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0.04</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0.04</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0.04</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0.04</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0.04</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0.04</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0.04</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0.04</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0.04</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0.04</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0.04</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0.04</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0.04</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0.04</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0.04</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0.04</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0.04</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0.04</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0.04</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0.04</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0.04</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0.04</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0.04</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0.04</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0.04</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0.04</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0.04</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0.04</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0.04</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0.04</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0.04</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0.04</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0.04</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0.04</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0.04</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0.04</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0.04</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0.04</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0.04</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0.04</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0.04</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0.04</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0.04</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0.04</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0.04</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0.04</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0.04</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0.04</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0.04</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0.04</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0.04</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0.04</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0.04</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0.04</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0.04</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0.04</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0.04</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0.04</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0.04</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0.04</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0.04</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0.04</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0.04</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0.04</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0.04</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0.04</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0.04</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0.04</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0.04</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0.04</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0.04</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0.04</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0.04</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0.04</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0.04</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0.04</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0.04</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0.04</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0.04</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0.04</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0.04</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0.04</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0.04</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0.04</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0.04</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0.04</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0.04</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0.04</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0.04</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0.04</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0.04</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0.04</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0.04</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0.04</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0.04</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0.04</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0.04</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0.04</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0.04</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0.04</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0.04</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0.04</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0.04</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0.04</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0.04</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0.04</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0.04</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0.04</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0.04</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0.04</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0.04</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0.04</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0.04</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0.04</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0.04</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0.04</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0.04</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0.04</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0.04</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0.04</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0.04</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0.04</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0.04</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0.04</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0.04</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0.04</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0.04</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0.04</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0.04</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0.04</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0.04</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0.04</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0.04</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0.04</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0.04</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0.04</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0.04</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0.04</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0.04</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0.04</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0.04</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0.04</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0.04</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0.04</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0.04</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0.04</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0.04</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0.04</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0.04</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0.04</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0.04</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0.04</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0.04</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0.04</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0.04</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0.04</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0.04</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0.04</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0.04</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0.04</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0.04</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0.04</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0.04</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0.04</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0.04</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0.04</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0.04</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0.04</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0.04</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0.04</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0.04</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0.04</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0.04</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0.04</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0.04</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0.04</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0.04</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0.04</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0.04</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0.04</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0.04</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0.04</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0.04</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0.04</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0.04</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0.04</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0.04</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0.04</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0.04</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0.04</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0.04</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0.04</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0.04</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0.04</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0.04</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0.04</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0.04</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0.04</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0.04</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0.04</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0.04</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0.04</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0.04</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0.04</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0.04</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0.04</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0.04</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0.04</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0.04</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0.04</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0.04</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0.04</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0.04</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0.04</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0.04</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0.04</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0.04</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0.04</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0.04</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0.04</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0.04</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0.04</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0.04</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0.04</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0.04</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0.04</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0.04</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0.04</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0.04</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0.04</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0.04</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0.04</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0.04</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0.04</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0.04</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0.04</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0.04</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0.04</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0.04</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0.04</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0.04</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0.04</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0.04</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0.04</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0.04</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0.04</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0.04</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0.04</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0.04</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0.04</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0.04</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0.04</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0.04</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0.04</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0.04</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0.04</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0.04</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0.04</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0.04</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0.04</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0.04</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0.04</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0.04</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0.04</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0.04</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0.04</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0.04</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0.04</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0.04</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0.04</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0.04</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0.04</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0.04</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0.04</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0.04</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0.04</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0.04</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0.04</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0.04</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0.04</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0.04</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0.04</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0.04</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0.04</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0.04</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0.04</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0.04</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0.04</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0.04</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0.04</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0.04</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0.04</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0.04</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0.04</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0.04</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0.04</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0.04</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0.04</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0.04</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0.04</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0.04</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0.04</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0.04</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0.04</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0.04</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0.04</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0.04</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0.04</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0.04</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0.04</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0.04</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0.04</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0.04</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0.04</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0.04</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0.04</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0.04</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0.04</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0.04</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0.04</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0.04</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0.04</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0.04</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0.04</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0.04</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0.04</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0.04</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0.04</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0.04</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0.04</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0.04</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0.04</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0.04</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0.04</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0.04</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0.04</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0.04</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0.04</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0.04</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0.04</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0.04</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0.04</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0.04</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0.04</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0.04</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0.04</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0.04</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0.04</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0.04</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0.04</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0.04</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0.04</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0.04</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0.04</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0.04</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0.04</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0.04</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0.04</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0.04</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0.04</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0.04</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0.04</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0.04</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0.04</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0.04</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0.04</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0.04</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0.04</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0.04</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0.04</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0.04</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0.04</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0.04</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0.04</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0.04</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0.04</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0.04</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0.04</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0.04</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0.04</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0.04</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0.04</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0.04</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0.04</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0.04</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0.04</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0.04</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0.04</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0.04</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0.04</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0.04</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0.04</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0.04</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0.04</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0.04</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0.04</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0.04</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0.04</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0.04</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0.04</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0.04</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0.04</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0.04</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0.04</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0.04</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0.04</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0.04</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0.04</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0.04</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0.04</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0.04</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0.04</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0.04</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0.04</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0.04</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0.04</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0.04</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0.04</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0.04</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0.04</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0.04</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0.04</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0.04</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0.04</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0.04</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0.04</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0.04</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0.04</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0.04</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0.04</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0.04</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0.04</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0.04</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0.04</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0.04</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0.04</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0.04</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0.04</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0.04</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0.04</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0.04</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0.04</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0.04</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0.04</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0.04</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0.04</v>
      </c>
      <c r="R524" s="662">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900"/>
      <c r="B4" s="3901"/>
      <c r="C4" s="3901"/>
      <c r="D4" s="3902"/>
      <c r="E4" s="3902"/>
      <c r="F4" s="3902"/>
      <c r="G4" s="3902"/>
      <c r="H4" s="3902"/>
      <c r="I4" s="3902"/>
      <c r="J4" s="390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3236</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897" t="s">
        <v>1960</v>
      </c>
      <c r="X8" s="38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899"/>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8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3242</v>
      </c>
      <c r="G14" s="3311" t="s">
        <v>3242</v>
      </c>
      <c r="H14" s="3311" t="s">
        <v>3242</v>
      </c>
      <c r="I14" s="3311" t="s">
        <v>3242</v>
      </c>
      <c r="J14" s="3311" t="s">
        <v>3242</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t="e">
        <f>ROUND(G18/I18,2)</f>
        <v>#DIV/0!</v>
      </c>
      <c r="F17" s="3321" t="s">
        <v>3249</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3248</v>
      </c>
      <c r="E19" s="3337"/>
      <c r="F19" s="3338" t="s">
        <v>3251</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04" t="s">
        <v>3253</v>
      </c>
      <c r="B20" s="167" t="s">
        <v>1994</v>
      </c>
      <c r="C20" s="3324" t="e">
        <f>ROUND(IF(F21="与级别开发程度一致",0,(G21-E21)/C21),0)</f>
        <v>#DIV/0!</v>
      </c>
      <c r="D20" s="3340" t="s">
        <v>1998</v>
      </c>
      <c r="E20" s="3341"/>
      <c r="F20" s="3910" t="s">
        <v>1995</v>
      </c>
      <c r="G20" s="391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90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45909</v>
      </c>
      <c r="H23" s="3342"/>
      <c r="I23" s="3343" t="str">
        <f>IF(H23="季度增幅（自定义）",SUMIF(N25:N28,E2,O25:O28),"")</f>
        <v/>
      </c>
      <c r="J23" s="3445"/>
      <c r="K23" s="1124"/>
      <c r="L23" s="2054" t="s">
        <v>2004</v>
      </c>
      <c r="M23" s="1327">
        <f>ROUND(SUMIF(地价!B2:G2,E2,地价!B16:G16),0)</f>
        <v>0</v>
      </c>
      <c r="N23" s="2055" t="s">
        <v>2005</v>
      </c>
      <c r="O23" s="762">
        <f>ROUNDDOWN(DATEDIF(E23,G23,"M")/3,0)</f>
        <v>18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存贷款利率!E28/100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3332</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3262</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08"/>
      <c r="B37" s="2112" t="s">
        <v>2036</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1"/>
      <c r="K37" s="3358" t="s">
        <v>3263</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09"/>
      <c r="B38" s="2040" t="s">
        <v>2037</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09"/>
      <c r="B39" s="2040" t="s">
        <v>3256</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3266</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3266</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3266</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3267</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3270</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3266</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3271</v>
      </c>
      <c r="B96" s="3384" t="s">
        <v>3282</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3272</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3273</v>
      </c>
      <c r="B98" s="3385" t="s">
        <v>3283</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3274</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3275</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3276</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06" t="s">
        <v>3291</v>
      </c>
      <c r="B103" s="3906"/>
      <c r="C103" s="3906"/>
      <c r="D103" s="3906"/>
      <c r="E103" s="3906"/>
      <c r="F103" s="3906"/>
      <c r="G103" s="3906"/>
      <c r="H103" s="3906"/>
      <c r="I103" s="3906"/>
      <c r="J103" s="3906"/>
      <c r="K103" s="3389"/>
      <c r="L103" s="3389"/>
      <c r="M103" s="3389"/>
      <c r="N103" s="3389"/>
    </row>
    <row r="104" spans="1:14">
      <c r="A104" s="3907" t="s">
        <v>3292</v>
      </c>
      <c r="B104" s="3907" t="s">
        <v>3293</v>
      </c>
      <c r="C104" s="3390" t="s">
        <v>3294</v>
      </c>
      <c r="D104" s="3391"/>
      <c r="E104" s="3391"/>
      <c r="F104" s="3391"/>
      <c r="G104" s="3391"/>
      <c r="H104" s="3391"/>
      <c r="I104" s="3391"/>
      <c r="J104" s="3392"/>
      <c r="K104" s="3393"/>
      <c r="L104" s="3393"/>
      <c r="M104" s="3393"/>
      <c r="N104" s="3393"/>
    </row>
    <row r="105" spans="1:14">
      <c r="A105" s="3907"/>
      <c r="B105" s="3907"/>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893"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94"/>
      <c r="B111" s="3394" t="s">
        <v>3265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9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96" t="s">
        <v>3308</v>
      </c>
      <c r="B113" s="3896"/>
      <c r="C113" s="3896"/>
      <c r="D113" s="3896"/>
      <c r="E113" s="3896"/>
      <c r="F113" s="3896"/>
      <c r="G113" s="3896"/>
      <c r="H113" s="3896"/>
      <c r="I113" s="3896"/>
      <c r="J113" s="38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v>
      </c>
      <c r="E116" s="1999" t="s">
        <v>3311</v>
      </c>
      <c r="F116" s="3401">
        <f>E2</f>
        <v>0</v>
      </c>
      <c r="G116" s="1999" t="s">
        <v>3312</v>
      </c>
      <c r="H116" s="3401">
        <f>G2</f>
        <v>0</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2611</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923" t="s">
        <v>2606</v>
      </c>
      <c r="B20" s="3916" t="s">
        <v>2627</v>
      </c>
      <c r="C20" s="3476" t="s">
        <v>2438</v>
      </c>
      <c r="D20" s="3476"/>
      <c r="E20" s="3104">
        <v>1</v>
      </c>
      <c r="F20" s="3105" t="s">
        <v>2439</v>
      </c>
      <c r="G20" s="3105"/>
    </row>
    <row r="21" spans="1:13" ht="19.5" customHeight="1">
      <c r="A21" s="3924"/>
      <c r="B21" s="3912"/>
      <c r="C21" s="3466" t="s">
        <v>2440</v>
      </c>
      <c r="D21" s="3466"/>
      <c r="E21" s="3108">
        <v>1</v>
      </c>
      <c r="F21" s="3105" t="s">
        <v>2441</v>
      </c>
      <c r="G21" s="3105"/>
    </row>
    <row r="22" spans="1:13" ht="19.5" customHeight="1">
      <c r="A22" s="3924"/>
      <c r="B22" s="3912"/>
      <c r="C22" s="3466" t="s">
        <v>2442</v>
      </c>
      <c r="D22" s="3466"/>
      <c r="E22" s="3108">
        <v>0.9</v>
      </c>
      <c r="F22" s="3105" t="s">
        <v>2443</v>
      </c>
      <c r="G22" s="3105"/>
    </row>
    <row r="23" spans="1:13" ht="19.5" customHeight="1">
      <c r="A23" s="3924"/>
      <c r="B23" s="3912"/>
      <c r="C23" s="3466" t="s">
        <v>2444</v>
      </c>
      <c r="D23" s="3466"/>
      <c r="E23" s="3108">
        <v>0.9</v>
      </c>
      <c r="F23" s="3105" t="s">
        <v>2445</v>
      </c>
      <c r="G23" s="3105"/>
    </row>
    <row r="24" spans="1:13" ht="19.5" customHeight="1">
      <c r="A24" s="3924"/>
      <c r="B24" s="3912"/>
      <c r="C24" s="3466" t="s">
        <v>2446</v>
      </c>
      <c r="D24" s="3466"/>
      <c r="E24" s="3108">
        <v>0.8</v>
      </c>
      <c r="F24" s="3105" t="s">
        <v>2447</v>
      </c>
      <c r="G24" s="3105"/>
    </row>
    <row r="25" spans="1:13" ht="19.5" customHeight="1">
      <c r="A25" s="3924"/>
      <c r="B25" s="3912"/>
      <c r="C25" s="3466" t="s">
        <v>2448</v>
      </c>
      <c r="D25" s="3466"/>
      <c r="E25" s="3108">
        <v>0.8</v>
      </c>
      <c r="F25" s="3105"/>
      <c r="G25" s="3105"/>
    </row>
    <row r="26" spans="1:13" ht="19.5" customHeight="1">
      <c r="A26" s="3924"/>
      <c r="B26" s="3912"/>
      <c r="C26" s="3469" t="s">
        <v>3409</v>
      </c>
      <c r="D26" s="3469"/>
      <c r="E26" s="3470">
        <v>0.43</v>
      </c>
      <c r="F26" s="3105"/>
      <c r="G26" s="3105"/>
    </row>
    <row r="27" spans="1:13" ht="19.5" customHeight="1" thickBot="1">
      <c r="A27" s="3925"/>
      <c r="B27" s="3917"/>
      <c r="C27" s="3471" t="s">
        <v>3410</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918" t="s">
        <v>2630</v>
      </c>
      <c r="B29" s="3921" t="s">
        <v>2611</v>
      </c>
      <c r="C29" s="3102" t="s">
        <v>2451</v>
      </c>
      <c r="D29" s="3103"/>
      <c r="E29" s="3104">
        <v>1</v>
      </c>
      <c r="F29" s="3105" t="s">
        <v>2452</v>
      </c>
      <c r="G29" s="3105"/>
    </row>
    <row r="30" spans="1:13" ht="19.5" customHeight="1">
      <c r="A30" s="3919"/>
      <c r="B30" s="3915"/>
      <c r="C30" s="3106" t="s">
        <v>2453</v>
      </c>
      <c r="D30" s="3107"/>
      <c r="E30" s="3108">
        <v>1</v>
      </c>
      <c r="F30" s="3105" t="s">
        <v>2454</v>
      </c>
      <c r="G30" s="3105"/>
    </row>
    <row r="31" spans="1:13" ht="19.5" customHeight="1">
      <c r="A31" s="3919"/>
      <c r="B31" s="3915"/>
      <c r="C31" s="3106" t="s">
        <v>2455</v>
      </c>
      <c r="D31" s="3107"/>
      <c r="E31" s="3108">
        <v>0.8</v>
      </c>
      <c r="F31" s="3105" t="s">
        <v>2456</v>
      </c>
      <c r="G31" s="3105"/>
    </row>
    <row r="32" spans="1:13" ht="19.5" customHeight="1">
      <c r="A32" s="3919"/>
      <c r="B32" s="3915"/>
      <c r="C32" s="3106" t="s">
        <v>2457</v>
      </c>
      <c r="D32" s="3107"/>
      <c r="E32" s="3108">
        <v>0.8</v>
      </c>
      <c r="F32" s="3105" t="s">
        <v>2458</v>
      </c>
      <c r="G32" s="3105"/>
    </row>
    <row r="33" spans="1:7" ht="19.5" customHeight="1">
      <c r="A33" s="3919"/>
      <c r="B33" s="3915"/>
      <c r="C33" s="3106" t="s">
        <v>2459</v>
      </c>
      <c r="D33" s="3107"/>
      <c r="E33" s="3108">
        <v>0.8</v>
      </c>
      <c r="F33" s="3105" t="s">
        <v>2460</v>
      </c>
      <c r="G33" s="3105"/>
    </row>
    <row r="34" spans="1:7" ht="19.5" customHeight="1">
      <c r="A34" s="3919"/>
      <c r="B34" s="3915"/>
      <c r="C34" s="3106" t="s">
        <v>2461</v>
      </c>
      <c r="D34" s="3107"/>
      <c r="E34" s="3108">
        <v>0.7</v>
      </c>
      <c r="F34" s="3105" t="s">
        <v>2462</v>
      </c>
      <c r="G34" s="3105"/>
    </row>
    <row r="35" spans="1:7" ht="19.5" customHeight="1">
      <c r="A35" s="3919"/>
      <c r="B35" s="3915"/>
      <c r="C35" s="3106" t="s">
        <v>2463</v>
      </c>
      <c r="D35" s="3107"/>
      <c r="E35" s="3108">
        <v>0.8</v>
      </c>
      <c r="F35" s="3105" t="s">
        <v>2464</v>
      </c>
      <c r="G35" s="3105"/>
    </row>
    <row r="36" spans="1:7" ht="19.5" customHeight="1">
      <c r="A36" s="3919"/>
      <c r="B36" s="3915"/>
      <c r="C36" s="3106" t="s">
        <v>2465</v>
      </c>
      <c r="D36" s="3107"/>
      <c r="E36" s="3108">
        <v>0.6</v>
      </c>
      <c r="F36" s="3105" t="s">
        <v>2466</v>
      </c>
      <c r="G36" s="3105"/>
    </row>
    <row r="37" spans="1:7" ht="19.5" customHeight="1">
      <c r="A37" s="3919"/>
      <c r="B37" s="3915"/>
      <c r="C37" s="3106" t="s">
        <v>2467</v>
      </c>
      <c r="D37" s="3107"/>
      <c r="E37" s="3108">
        <v>0.2</v>
      </c>
      <c r="F37" s="3105" t="s">
        <v>2468</v>
      </c>
      <c r="G37" s="3105"/>
    </row>
    <row r="38" spans="1:7" ht="19.5" customHeight="1">
      <c r="A38" s="3919"/>
      <c r="B38" s="3915"/>
      <c r="C38" s="3106" t="s">
        <v>2469</v>
      </c>
      <c r="D38" s="3107"/>
      <c r="E38" s="3108">
        <v>0.2</v>
      </c>
      <c r="F38" s="3105" t="s">
        <v>2470</v>
      </c>
      <c r="G38" s="3105"/>
    </row>
    <row r="39" spans="1:7" ht="19.5" customHeight="1">
      <c r="A39" s="3919"/>
      <c r="B39" s="3913" t="s">
        <v>2631</v>
      </c>
      <c r="C39" s="3106" t="s">
        <v>2471</v>
      </c>
      <c r="D39" s="3107"/>
      <c r="E39" s="3108">
        <v>0.6</v>
      </c>
      <c r="F39" s="3105" t="s">
        <v>2472</v>
      </c>
      <c r="G39" s="3105"/>
    </row>
    <row r="40" spans="1:7" ht="19.5" customHeight="1">
      <c r="A40" s="3919"/>
      <c r="B40" s="3915"/>
      <c r="C40" s="3106" t="s">
        <v>2473</v>
      </c>
      <c r="D40" s="3107"/>
      <c r="E40" s="3108">
        <v>0.6</v>
      </c>
      <c r="F40" s="3105" t="s">
        <v>2474</v>
      </c>
      <c r="G40" s="3105"/>
    </row>
    <row r="41" spans="1:7" ht="19.5" customHeight="1" thickBot="1">
      <c r="A41" s="3920"/>
      <c r="B41" s="3922"/>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923" t="s">
        <v>2609</v>
      </c>
      <c r="B43" s="3921" t="s">
        <v>2633</v>
      </c>
      <c r="C43" s="3102" t="s">
        <v>2478</v>
      </c>
      <c r="D43" s="3103"/>
      <c r="E43" s="3104">
        <v>1</v>
      </c>
      <c r="F43" s="3105" t="s">
        <v>2479</v>
      </c>
      <c r="G43" s="3105"/>
    </row>
    <row r="44" spans="1:7" ht="19.5" customHeight="1">
      <c r="A44" s="3924"/>
      <c r="B44" s="3915"/>
      <c r="C44" s="3106" t="s">
        <v>2480</v>
      </c>
      <c r="D44" s="3107"/>
      <c r="E44" s="3108">
        <v>1</v>
      </c>
      <c r="F44" s="3105" t="s">
        <v>2481</v>
      </c>
      <c r="G44" s="3105"/>
    </row>
    <row r="45" spans="1:7" ht="19.5" customHeight="1">
      <c r="A45" s="3924"/>
      <c r="B45" s="3914"/>
      <c r="C45" s="3106" t="s">
        <v>2482</v>
      </c>
      <c r="D45" s="3107"/>
      <c r="E45" s="3108">
        <v>1.5</v>
      </c>
      <c r="F45" s="3105" t="s">
        <v>2483</v>
      </c>
      <c r="G45" s="3105"/>
    </row>
    <row r="46" spans="1:7" ht="19.5" customHeight="1">
      <c r="A46" s="3924"/>
      <c r="B46" s="3117" t="s">
        <v>2634</v>
      </c>
      <c r="C46" s="3106" t="s">
        <v>2635</v>
      </c>
      <c r="D46" s="3107"/>
      <c r="E46" s="3108">
        <v>2</v>
      </c>
      <c r="F46" s="3105" t="s">
        <v>2484</v>
      </c>
      <c r="G46" s="3105"/>
    </row>
    <row r="47" spans="1:7" ht="19.5" customHeight="1">
      <c r="A47" s="3924"/>
      <c r="B47" s="3913" t="s">
        <v>2636</v>
      </c>
      <c r="C47" s="3106" t="s">
        <v>2485</v>
      </c>
      <c r="D47" s="3107"/>
      <c r="E47" s="3108">
        <v>1</v>
      </c>
      <c r="F47" s="3105" t="s">
        <v>2486</v>
      </c>
      <c r="G47" s="3105"/>
    </row>
    <row r="48" spans="1:7" ht="19.5" customHeight="1">
      <c r="A48" s="3924"/>
      <c r="B48" s="3915"/>
      <c r="C48" s="3106" t="s">
        <v>2487</v>
      </c>
      <c r="D48" s="3107"/>
      <c r="E48" s="3108">
        <v>1</v>
      </c>
      <c r="F48" s="3105" t="s">
        <v>2488</v>
      </c>
      <c r="G48" s="3105"/>
    </row>
    <row r="49" spans="1:7" ht="19.5" customHeight="1">
      <c r="A49" s="3924"/>
      <c r="B49" s="3915"/>
      <c r="C49" s="3106" t="s">
        <v>2489</v>
      </c>
      <c r="D49" s="3107"/>
      <c r="E49" s="3108">
        <v>1</v>
      </c>
      <c r="F49" s="3105" t="s">
        <v>2490</v>
      </c>
      <c r="G49" s="3105"/>
    </row>
    <row r="50" spans="1:7" ht="19.5" customHeight="1">
      <c r="A50" s="3924"/>
      <c r="B50" s="3915"/>
      <c r="C50" s="3106" t="s">
        <v>2491</v>
      </c>
      <c r="D50" s="3107"/>
      <c r="E50" s="3108">
        <v>1</v>
      </c>
      <c r="F50" s="3105" t="s">
        <v>2492</v>
      </c>
      <c r="G50" s="3105"/>
    </row>
    <row r="51" spans="1:7" ht="19.5" customHeight="1">
      <c r="A51" s="3924"/>
      <c r="B51" s="3915"/>
      <c r="C51" s="3106" t="s">
        <v>2493</v>
      </c>
      <c r="D51" s="3107"/>
      <c r="E51" s="3108">
        <v>1</v>
      </c>
      <c r="F51" s="3105" t="s">
        <v>2494</v>
      </c>
      <c r="G51" s="3105"/>
    </row>
    <row r="52" spans="1:7" ht="19.5" customHeight="1">
      <c r="A52" s="3924"/>
      <c r="B52" s="3915"/>
      <c r="C52" s="3106" t="s">
        <v>2495</v>
      </c>
      <c r="D52" s="3107"/>
      <c r="E52" s="3108">
        <v>1</v>
      </c>
      <c r="F52" s="3105" t="s">
        <v>2496</v>
      </c>
      <c r="G52" s="3105"/>
    </row>
    <row r="53" spans="1:7" ht="19.5" customHeight="1" thickBot="1">
      <c r="A53" s="3925"/>
      <c r="B53" s="3922"/>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913" t="s">
        <v>2650</v>
      </c>
      <c r="C75" s="3091" t="s">
        <v>2651</v>
      </c>
      <c r="D75" s="3091" t="s">
        <v>2652</v>
      </c>
      <c r="E75" s="3117">
        <v>0.2</v>
      </c>
      <c r="F75" s="3117">
        <v>25</v>
      </c>
    </row>
    <row r="76" spans="1:7" ht="24">
      <c r="A76" s="3117">
        <v>2</v>
      </c>
      <c r="B76" s="3915"/>
      <c r="C76" s="3091" t="s">
        <v>2653</v>
      </c>
      <c r="D76" s="3091" t="s">
        <v>2654</v>
      </c>
      <c r="E76" s="3117">
        <v>0.2</v>
      </c>
      <c r="F76" s="3117">
        <v>25</v>
      </c>
    </row>
    <row r="77" spans="1:7" ht="24">
      <c r="A77" s="3117">
        <v>3</v>
      </c>
      <c r="B77" s="3915"/>
      <c r="C77" s="3091" t="s">
        <v>2655</v>
      </c>
      <c r="D77" s="3091" t="s">
        <v>2656</v>
      </c>
      <c r="E77" s="3117">
        <v>0.2</v>
      </c>
      <c r="F77" s="3117">
        <v>25</v>
      </c>
    </row>
    <row r="78" spans="1:7" ht="13.5">
      <c r="A78" s="3117">
        <v>4</v>
      </c>
      <c r="B78" s="3915"/>
      <c r="C78" s="3091" t="s">
        <v>2657</v>
      </c>
      <c r="D78" s="3091" t="s">
        <v>2658</v>
      </c>
      <c r="E78" s="3117">
        <v>0.15</v>
      </c>
      <c r="F78" s="3117">
        <v>20</v>
      </c>
    </row>
    <row r="79" spans="1:7" ht="24">
      <c r="A79" s="3117">
        <v>5</v>
      </c>
      <c r="B79" s="3915"/>
      <c r="C79" s="3091" t="s">
        <v>2659</v>
      </c>
      <c r="D79" s="3091" t="s">
        <v>2660</v>
      </c>
      <c r="E79" s="3117">
        <v>0.15</v>
      </c>
      <c r="F79" s="3117">
        <v>20</v>
      </c>
    </row>
    <row r="80" spans="1:7" ht="24">
      <c r="A80" s="3117">
        <v>6</v>
      </c>
      <c r="B80" s="3915"/>
      <c r="C80" s="3091" t="s">
        <v>2661</v>
      </c>
      <c r="D80" s="3091" t="s">
        <v>2662</v>
      </c>
      <c r="E80" s="3117">
        <v>0.15</v>
      </c>
      <c r="F80" s="3117">
        <v>20</v>
      </c>
    </row>
    <row r="81" spans="1:6" ht="24">
      <c r="A81" s="3117">
        <v>7</v>
      </c>
      <c r="B81" s="3915"/>
      <c r="C81" s="3091" t="s">
        <v>2663</v>
      </c>
      <c r="D81" s="3091" t="s">
        <v>2664</v>
      </c>
      <c r="E81" s="3117">
        <v>0.15</v>
      </c>
      <c r="F81" s="3117">
        <v>20</v>
      </c>
    </row>
    <row r="82" spans="1:6" ht="24">
      <c r="A82" s="3117">
        <v>8</v>
      </c>
      <c r="B82" s="3915"/>
      <c r="C82" s="3091" t="s">
        <v>2665</v>
      </c>
      <c r="D82" s="3091" t="s">
        <v>2666</v>
      </c>
      <c r="E82" s="3117">
        <v>0.1</v>
      </c>
      <c r="F82" s="3117">
        <v>15</v>
      </c>
    </row>
    <row r="83" spans="1:6" ht="24">
      <c r="A83" s="3117">
        <v>9</v>
      </c>
      <c r="B83" s="3915"/>
      <c r="C83" s="3091" t="s">
        <v>2667</v>
      </c>
      <c r="D83" s="3091" t="s">
        <v>2668</v>
      </c>
      <c r="E83" s="3117">
        <v>0.1</v>
      </c>
      <c r="F83" s="3117">
        <v>15</v>
      </c>
    </row>
    <row r="84" spans="1:6" ht="24">
      <c r="A84" s="3117">
        <v>10</v>
      </c>
      <c r="B84" s="3915"/>
      <c r="C84" s="3091" t="s">
        <v>2669</v>
      </c>
      <c r="D84" s="3091" t="s">
        <v>2670</v>
      </c>
      <c r="E84" s="3117">
        <v>0.1</v>
      </c>
      <c r="F84" s="3117">
        <v>15</v>
      </c>
    </row>
    <row r="85" spans="1:6" ht="24">
      <c r="A85" s="3117">
        <v>11</v>
      </c>
      <c r="B85" s="3915"/>
      <c r="C85" s="3091" t="s">
        <v>2671</v>
      </c>
      <c r="D85" s="3091" t="s">
        <v>2672</v>
      </c>
      <c r="E85" s="3117">
        <v>0.1</v>
      </c>
      <c r="F85" s="3117">
        <v>15</v>
      </c>
    </row>
    <row r="86" spans="1:6" ht="24">
      <c r="A86" s="3117">
        <v>12</v>
      </c>
      <c r="B86" s="3915"/>
      <c r="C86" s="3091" t="s">
        <v>2673</v>
      </c>
      <c r="D86" s="3091" t="s">
        <v>2674</v>
      </c>
      <c r="E86" s="3117">
        <v>0.1</v>
      </c>
      <c r="F86" s="3117">
        <v>15</v>
      </c>
    </row>
    <row r="87" spans="1:6" ht="13.5">
      <c r="A87" s="3117">
        <v>13</v>
      </c>
      <c r="B87" s="3915"/>
      <c r="C87" s="3091" t="s">
        <v>2675</v>
      </c>
      <c r="D87" s="3091" t="s">
        <v>2676</v>
      </c>
      <c r="E87" s="3117">
        <v>0.1</v>
      </c>
      <c r="F87" s="3117">
        <v>15</v>
      </c>
    </row>
    <row r="88" spans="1:6" ht="13.5">
      <c r="A88" s="3117">
        <v>14</v>
      </c>
      <c r="B88" s="3915"/>
      <c r="C88" s="3091" t="s">
        <v>2677</v>
      </c>
      <c r="D88" s="3091" t="s">
        <v>2678</v>
      </c>
      <c r="E88" s="3117">
        <v>0.1</v>
      </c>
      <c r="F88" s="3117">
        <v>15</v>
      </c>
    </row>
    <row r="89" spans="1:6" ht="13.5">
      <c r="A89" s="3117">
        <v>15</v>
      </c>
      <c r="B89" s="3915"/>
      <c r="C89" s="3091" t="s">
        <v>2679</v>
      </c>
      <c r="D89" s="3091" t="s">
        <v>2680</v>
      </c>
      <c r="E89" s="3117">
        <v>0.1</v>
      </c>
      <c r="F89" s="3117">
        <v>15</v>
      </c>
    </row>
    <row r="90" spans="1:6" ht="24">
      <c r="A90" s="3117">
        <v>16</v>
      </c>
      <c r="B90" s="3915"/>
      <c r="C90" s="3091" t="s">
        <v>2681</v>
      </c>
      <c r="D90" s="3091" t="s">
        <v>2682</v>
      </c>
      <c r="E90" s="3117">
        <v>0.1</v>
      </c>
      <c r="F90" s="3117">
        <v>15</v>
      </c>
    </row>
    <row r="91" spans="1:6" ht="24">
      <c r="A91" s="3117">
        <v>17</v>
      </c>
      <c r="B91" s="3914"/>
      <c r="C91" s="3091" t="s">
        <v>2683</v>
      </c>
      <c r="D91" s="3091" t="s">
        <v>2684</v>
      </c>
      <c r="E91" s="3117">
        <v>0.1</v>
      </c>
      <c r="F91" s="3117">
        <v>15</v>
      </c>
    </row>
    <row r="92" spans="1:6" ht="13.5">
      <c r="A92" s="3117">
        <v>18</v>
      </c>
      <c r="B92" s="3913" t="s">
        <v>2685</v>
      </c>
      <c r="C92" s="3091" t="s">
        <v>2686</v>
      </c>
      <c r="D92" s="3091" t="s">
        <v>2687</v>
      </c>
      <c r="E92" s="3117">
        <v>0.2</v>
      </c>
      <c r="F92" s="3117">
        <v>25</v>
      </c>
    </row>
    <row r="93" spans="1:6" ht="24">
      <c r="A93" s="3117">
        <v>19</v>
      </c>
      <c r="B93" s="3915"/>
      <c r="C93" s="3091" t="s">
        <v>2688</v>
      </c>
      <c r="D93" s="3091" t="s">
        <v>2689</v>
      </c>
      <c r="E93" s="3117">
        <v>0.2</v>
      </c>
      <c r="F93" s="3117">
        <v>25</v>
      </c>
    </row>
    <row r="94" spans="1:6" ht="13.5">
      <c r="A94" s="3117">
        <v>20</v>
      </c>
      <c r="B94" s="3915"/>
      <c r="C94" s="3091" t="s">
        <v>2690</v>
      </c>
      <c r="D94" s="3091" t="s">
        <v>2691</v>
      </c>
      <c r="E94" s="3117">
        <v>0.15</v>
      </c>
      <c r="F94" s="3117">
        <v>20</v>
      </c>
    </row>
    <row r="95" spans="1:6" ht="13.5">
      <c r="A95" s="3117">
        <v>21</v>
      </c>
      <c r="B95" s="3915"/>
      <c r="C95" s="3091" t="s">
        <v>2692</v>
      </c>
      <c r="D95" s="3091" t="s">
        <v>2693</v>
      </c>
      <c r="E95" s="3117">
        <v>0.15</v>
      </c>
      <c r="F95" s="3117">
        <v>20</v>
      </c>
    </row>
    <row r="96" spans="1:6" ht="13.5">
      <c r="A96" s="3117">
        <v>22</v>
      </c>
      <c r="B96" s="3915"/>
      <c r="C96" s="3091" t="s">
        <v>2694</v>
      </c>
      <c r="D96" s="3091" t="s">
        <v>2695</v>
      </c>
      <c r="E96" s="3117">
        <v>0.15</v>
      </c>
      <c r="F96" s="3117">
        <v>20</v>
      </c>
    </row>
    <row r="97" spans="1:6" ht="36">
      <c r="A97" s="3117">
        <v>23</v>
      </c>
      <c r="B97" s="3915"/>
      <c r="C97" s="3091" t="s">
        <v>2696</v>
      </c>
      <c r="D97" s="3091" t="s">
        <v>2697</v>
      </c>
      <c r="E97" s="3117">
        <v>0.15</v>
      </c>
      <c r="F97" s="3117">
        <v>20</v>
      </c>
    </row>
    <row r="98" spans="1:6" ht="13.5">
      <c r="A98" s="3117">
        <v>24</v>
      </c>
      <c r="B98" s="3915"/>
      <c r="C98" s="3091" t="s">
        <v>2698</v>
      </c>
      <c r="D98" s="3091" t="s">
        <v>2699</v>
      </c>
      <c r="E98" s="3117">
        <v>0.1</v>
      </c>
      <c r="F98" s="3117">
        <v>15</v>
      </c>
    </row>
    <row r="99" spans="1:6" ht="13.5">
      <c r="A99" s="3117">
        <v>25</v>
      </c>
      <c r="B99" s="3915"/>
      <c r="C99" s="3091" t="s">
        <v>2700</v>
      </c>
      <c r="D99" s="3091" t="s">
        <v>2701</v>
      </c>
      <c r="E99" s="3117">
        <v>0.1</v>
      </c>
      <c r="F99" s="3117">
        <v>15</v>
      </c>
    </row>
    <row r="100" spans="1:6" ht="24">
      <c r="A100" s="3117">
        <v>26</v>
      </c>
      <c r="B100" s="3915"/>
      <c r="C100" s="3091" t="s">
        <v>2702</v>
      </c>
      <c r="D100" s="3091" t="s">
        <v>2703</v>
      </c>
      <c r="E100" s="3117">
        <v>0.1</v>
      </c>
      <c r="F100" s="3117">
        <v>15</v>
      </c>
    </row>
    <row r="101" spans="1:6" ht="24">
      <c r="A101" s="3117">
        <v>27</v>
      </c>
      <c r="B101" s="3915"/>
      <c r="C101" s="3091" t="s">
        <v>2704</v>
      </c>
      <c r="D101" s="3091" t="s">
        <v>2705</v>
      </c>
      <c r="E101" s="3117">
        <v>0.1</v>
      </c>
      <c r="F101" s="3117">
        <v>15</v>
      </c>
    </row>
    <row r="102" spans="1:6" ht="13.5">
      <c r="A102" s="3117">
        <v>28</v>
      </c>
      <c r="B102" s="3915"/>
      <c r="C102" s="3091" t="s">
        <v>2706</v>
      </c>
      <c r="D102" s="3091" t="s">
        <v>2707</v>
      </c>
      <c r="E102" s="3117">
        <v>0.1</v>
      </c>
      <c r="F102" s="3117">
        <v>15</v>
      </c>
    </row>
    <row r="103" spans="1:6" ht="13.5">
      <c r="A103" s="3117">
        <v>29</v>
      </c>
      <c r="B103" s="3915"/>
      <c r="C103" s="3091" t="s">
        <v>2708</v>
      </c>
      <c r="D103" s="3091" t="s">
        <v>2709</v>
      </c>
      <c r="E103" s="3117">
        <v>0.1</v>
      </c>
      <c r="F103" s="3117">
        <v>15</v>
      </c>
    </row>
    <row r="104" spans="1:6" ht="13.5">
      <c r="A104" s="3117">
        <v>30</v>
      </c>
      <c r="B104" s="3915"/>
      <c r="C104" s="3091" t="s">
        <v>2710</v>
      </c>
      <c r="D104" s="3091" t="s">
        <v>2711</v>
      </c>
      <c r="E104" s="3117">
        <v>0.1</v>
      </c>
      <c r="F104" s="3117">
        <v>15</v>
      </c>
    </row>
    <row r="105" spans="1:6" ht="24">
      <c r="A105" s="3117">
        <v>31</v>
      </c>
      <c r="B105" s="3915"/>
      <c r="C105" s="3091" t="s">
        <v>2712</v>
      </c>
      <c r="D105" s="3091" t="s">
        <v>2713</v>
      </c>
      <c r="E105" s="3117">
        <v>0.1</v>
      </c>
      <c r="F105" s="3117">
        <v>15</v>
      </c>
    </row>
    <row r="106" spans="1:6" ht="24">
      <c r="A106" s="3117">
        <v>32</v>
      </c>
      <c r="B106" s="3915"/>
      <c r="C106" s="3091" t="s">
        <v>2714</v>
      </c>
      <c r="D106" s="3091" t="s">
        <v>2715</v>
      </c>
      <c r="E106" s="3117">
        <v>0.1</v>
      </c>
      <c r="F106" s="3117">
        <v>15</v>
      </c>
    </row>
    <row r="107" spans="1:6" ht="24">
      <c r="A107" s="3117">
        <v>33</v>
      </c>
      <c r="B107" s="3915"/>
      <c r="C107" s="3091" t="s">
        <v>2716</v>
      </c>
      <c r="D107" s="3091" t="s">
        <v>2717</v>
      </c>
      <c r="E107" s="3117">
        <v>0.1</v>
      </c>
      <c r="F107" s="3117">
        <v>15</v>
      </c>
    </row>
    <row r="108" spans="1:6" ht="24">
      <c r="A108" s="3117">
        <v>34</v>
      </c>
      <c r="B108" s="3914"/>
      <c r="C108" s="3091" t="s">
        <v>2718</v>
      </c>
      <c r="D108" s="3091" t="s">
        <v>2719</v>
      </c>
      <c r="E108" s="3117">
        <v>0.1</v>
      </c>
      <c r="F108" s="3117">
        <v>15</v>
      </c>
    </row>
    <row r="109" spans="1:6" ht="24">
      <c r="A109" s="3117">
        <v>35</v>
      </c>
      <c r="B109" s="3913" t="s">
        <v>2720</v>
      </c>
      <c r="C109" s="3117" t="s">
        <v>2721</v>
      </c>
      <c r="D109" s="3091" t="s">
        <v>2722</v>
      </c>
      <c r="E109" s="3117">
        <v>0.15</v>
      </c>
      <c r="F109" s="3117">
        <v>20</v>
      </c>
    </row>
    <row r="110" spans="1:6" ht="13.5">
      <c r="A110" s="3117">
        <v>36</v>
      </c>
      <c r="B110" s="3915"/>
      <c r="C110" s="3117" t="s">
        <v>2723</v>
      </c>
      <c r="D110" s="3091" t="s">
        <v>2724</v>
      </c>
      <c r="E110" s="3117">
        <v>0.15</v>
      </c>
      <c r="F110" s="3117">
        <v>20</v>
      </c>
    </row>
    <row r="111" spans="1:6" ht="13.5">
      <c r="A111" s="3117">
        <v>37</v>
      </c>
      <c r="B111" s="3915"/>
      <c r="C111" s="3117" t="s">
        <v>2725</v>
      </c>
      <c r="D111" s="3091" t="s">
        <v>2726</v>
      </c>
      <c r="E111" s="3117">
        <v>0.15</v>
      </c>
      <c r="F111" s="3117">
        <v>20</v>
      </c>
    </row>
    <row r="112" spans="1:6" ht="13.5">
      <c r="A112" s="3117">
        <v>38</v>
      </c>
      <c r="B112" s="3915"/>
      <c r="C112" s="3117" t="s">
        <v>2727</v>
      </c>
      <c r="D112" s="3091" t="s">
        <v>2728</v>
      </c>
      <c r="E112" s="3117">
        <v>0.1</v>
      </c>
      <c r="F112" s="3117">
        <v>15</v>
      </c>
    </row>
    <row r="113" spans="1:6" ht="24">
      <c r="A113" s="3117">
        <v>39</v>
      </c>
      <c r="B113" s="3915"/>
      <c r="C113" s="3117" t="s">
        <v>2729</v>
      </c>
      <c r="D113" s="3091" t="s">
        <v>2730</v>
      </c>
      <c r="E113" s="3117">
        <v>0.1</v>
      </c>
      <c r="F113" s="3117">
        <v>15</v>
      </c>
    </row>
    <row r="114" spans="1:6" ht="24">
      <c r="A114" s="3117">
        <v>40</v>
      </c>
      <c r="B114" s="3914"/>
      <c r="C114" s="3117" t="s">
        <v>2731</v>
      </c>
      <c r="D114" s="3091" t="s">
        <v>2732</v>
      </c>
      <c r="E114" s="3117">
        <v>0.1</v>
      </c>
      <c r="F114" s="3117">
        <v>15</v>
      </c>
    </row>
    <row r="115" spans="1:6" ht="13.5">
      <c r="A115" s="3117">
        <v>41</v>
      </c>
      <c r="B115" s="3912" t="s">
        <v>2733</v>
      </c>
      <c r="C115" s="3117" t="s">
        <v>2734</v>
      </c>
      <c r="D115" s="3091" t="s">
        <v>2735</v>
      </c>
      <c r="E115" s="3117">
        <v>0.1</v>
      </c>
      <c r="F115" s="3117">
        <v>15</v>
      </c>
    </row>
    <row r="116" spans="1:6" ht="13.5">
      <c r="A116" s="3117">
        <v>42</v>
      </c>
      <c r="B116" s="3912"/>
      <c r="C116" s="3117" t="s">
        <v>2736</v>
      </c>
      <c r="D116" s="3091" t="s">
        <v>2737</v>
      </c>
      <c r="E116" s="3117">
        <v>0.1</v>
      </c>
      <c r="F116" s="3117">
        <v>15</v>
      </c>
    </row>
    <row r="117" spans="1:6" ht="24">
      <c r="A117" s="3117">
        <v>43</v>
      </c>
      <c r="B117" s="3912"/>
      <c r="C117" s="3117" t="s">
        <v>2738</v>
      </c>
      <c r="D117" s="3091" t="s">
        <v>2739</v>
      </c>
      <c r="E117" s="3117">
        <v>0.1</v>
      </c>
      <c r="F117" s="3117">
        <v>15</v>
      </c>
    </row>
    <row r="118" spans="1:6" ht="13.5">
      <c r="A118" s="3117">
        <v>44</v>
      </c>
      <c r="B118" s="3913" t="s">
        <v>2740</v>
      </c>
      <c r="C118" s="3117" t="s">
        <v>2741</v>
      </c>
      <c r="D118" s="3091" t="s">
        <v>2742</v>
      </c>
      <c r="E118" s="3117">
        <v>0.1</v>
      </c>
      <c r="F118" s="3117">
        <v>15</v>
      </c>
    </row>
    <row r="119" spans="1:6" ht="24">
      <c r="A119" s="3117">
        <v>45</v>
      </c>
      <c r="B119" s="3914"/>
      <c r="C119" s="3091" t="s">
        <v>2743</v>
      </c>
      <c r="D119" s="3091" t="s">
        <v>2744</v>
      </c>
      <c r="E119" s="3117">
        <v>0.1</v>
      </c>
      <c r="F119" s="3117">
        <v>15</v>
      </c>
    </row>
    <row r="120" spans="1:6" ht="24">
      <c r="A120" s="3117">
        <v>46</v>
      </c>
      <c r="B120" s="3913" t="s">
        <v>2745</v>
      </c>
      <c r="C120" s="3117" t="s">
        <v>2746</v>
      </c>
      <c r="D120" s="3091" t="s">
        <v>2747</v>
      </c>
      <c r="E120" s="3117">
        <v>0.1</v>
      </c>
      <c r="F120" s="3117">
        <v>15</v>
      </c>
    </row>
    <row r="121" spans="1:6" ht="24">
      <c r="A121" s="3117">
        <v>47</v>
      </c>
      <c r="B121" s="3914"/>
      <c r="C121" s="3117" t="s">
        <v>2748</v>
      </c>
      <c r="D121" s="3091" t="s">
        <v>2749</v>
      </c>
      <c r="E121" s="3117">
        <v>0.1</v>
      </c>
      <c r="F121" s="3117">
        <v>15</v>
      </c>
    </row>
    <row r="122" spans="1:6" ht="13.5">
      <c r="A122" s="3117">
        <v>48</v>
      </c>
      <c r="B122" s="3913" t="s">
        <v>2750</v>
      </c>
      <c r="C122" s="3117" t="s">
        <v>2751</v>
      </c>
      <c r="D122" s="3091" t="s">
        <v>2752</v>
      </c>
      <c r="E122" s="3117">
        <v>0.1</v>
      </c>
      <c r="F122" s="3117">
        <v>15</v>
      </c>
    </row>
    <row r="123" spans="1:6" ht="13.5">
      <c r="A123" s="3117">
        <v>49</v>
      </c>
      <c r="B123" s="3914"/>
      <c r="C123" s="3117" t="s">
        <v>2753</v>
      </c>
      <c r="D123" s="3091" t="s">
        <v>2754</v>
      </c>
      <c r="E123" s="3117">
        <v>0.1</v>
      </c>
      <c r="F123" s="3117">
        <v>15</v>
      </c>
    </row>
    <row r="124" spans="1:6" ht="24">
      <c r="A124" s="3117">
        <v>50</v>
      </c>
      <c r="B124" s="3912" t="s">
        <v>2755</v>
      </c>
      <c r="C124" s="3117" t="s">
        <v>2756</v>
      </c>
      <c r="D124" s="3091" t="s">
        <v>2757</v>
      </c>
      <c r="E124" s="3117">
        <v>0.1</v>
      </c>
      <c r="F124" s="3117">
        <v>15</v>
      </c>
    </row>
    <row r="125" spans="1:6" ht="24">
      <c r="A125" s="3117">
        <v>51</v>
      </c>
      <c r="B125" s="3912"/>
      <c r="C125" s="3117" t="s">
        <v>2758</v>
      </c>
      <c r="D125" s="3091" t="s">
        <v>2759</v>
      </c>
      <c r="E125" s="3117">
        <v>0.1</v>
      </c>
      <c r="F125" s="3117">
        <v>15</v>
      </c>
    </row>
    <row r="126" spans="1:6" ht="24">
      <c r="A126" s="3117">
        <v>52</v>
      </c>
      <c r="B126" s="3912" t="s">
        <v>2760</v>
      </c>
      <c r="C126" s="3117" t="s">
        <v>2761</v>
      </c>
      <c r="D126" s="3091" t="s">
        <v>2762</v>
      </c>
      <c r="E126" s="3117">
        <v>0.1</v>
      </c>
      <c r="F126" s="3117">
        <v>15</v>
      </c>
    </row>
    <row r="127" spans="1:6" ht="24">
      <c r="A127" s="3117">
        <v>53</v>
      </c>
      <c r="B127" s="3912"/>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912" t="s">
        <v>2768</v>
      </c>
      <c r="C129" s="3117" t="s">
        <v>2769</v>
      </c>
      <c r="D129" s="3091" t="s">
        <v>2770</v>
      </c>
      <c r="E129" s="3117">
        <v>0.1</v>
      </c>
      <c r="F129" s="3117">
        <v>15</v>
      </c>
    </row>
    <row r="130" spans="1:6" ht="13.5">
      <c r="A130" s="3117">
        <v>56</v>
      </c>
      <c r="B130" s="3912"/>
      <c r="C130" s="3117" t="s">
        <v>2771</v>
      </c>
      <c r="D130" s="3091" t="s">
        <v>2772</v>
      </c>
      <c r="E130" s="3117">
        <v>0.1</v>
      </c>
      <c r="F130" s="3117">
        <v>15</v>
      </c>
    </row>
    <row r="131" spans="1:6" ht="24">
      <c r="A131" s="3117">
        <v>57</v>
      </c>
      <c r="B131" s="3912"/>
      <c r="C131" s="3117" t="s">
        <v>2773</v>
      </c>
      <c r="D131" s="3091" t="s">
        <v>2774</v>
      </c>
      <c r="E131" s="3117">
        <v>0.1</v>
      </c>
      <c r="F131" s="3117">
        <v>15</v>
      </c>
    </row>
    <row r="132" spans="1:6" ht="24">
      <c r="A132" s="3117">
        <v>58</v>
      </c>
      <c r="B132" s="3912" t="s">
        <v>2775</v>
      </c>
      <c r="C132" s="3117" t="s">
        <v>2776</v>
      </c>
      <c r="D132" s="3091" t="s">
        <v>2777</v>
      </c>
      <c r="E132" s="3117">
        <v>0.1</v>
      </c>
      <c r="F132" s="3117">
        <v>15</v>
      </c>
    </row>
    <row r="133" spans="1:6" ht="13.5">
      <c r="A133" s="3117">
        <v>59</v>
      </c>
      <c r="B133" s="3912"/>
      <c r="C133" s="3117" t="s">
        <v>2778</v>
      </c>
      <c r="D133" s="3091" t="s">
        <v>2779</v>
      </c>
      <c r="E133" s="3117">
        <v>0.1</v>
      </c>
      <c r="F133" s="3117">
        <v>15</v>
      </c>
    </row>
    <row r="134" spans="1:6" ht="13.5">
      <c r="A134" s="3117">
        <v>60</v>
      </c>
      <c r="B134" s="3913" t="s">
        <v>2780</v>
      </c>
      <c r="C134" s="3117" t="s">
        <v>2781</v>
      </c>
      <c r="D134" s="3091" t="s">
        <v>2782</v>
      </c>
      <c r="E134" s="3117">
        <v>0.1</v>
      </c>
      <c r="F134" s="3117">
        <v>15</v>
      </c>
    </row>
    <row r="135" spans="1:6" ht="13.5">
      <c r="A135" s="3117">
        <v>61</v>
      </c>
      <c r="B135" s="3914"/>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912" t="s">
        <v>2788</v>
      </c>
      <c r="C137" s="3117" t="s">
        <v>2789</v>
      </c>
      <c r="D137" s="3091" t="s">
        <v>2790</v>
      </c>
      <c r="E137" s="3117">
        <v>0.1</v>
      </c>
      <c r="F137" s="3117">
        <v>15</v>
      </c>
    </row>
    <row r="138" spans="1:6" ht="13.5">
      <c r="A138" s="3117">
        <v>64</v>
      </c>
      <c r="B138" s="3912"/>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估价结果一览表（市场价值不需“结果表-1”）</v>
      </c>
      <c r="B3" s="3557"/>
      <c r="C3" s="3557"/>
      <c r="D3" s="3557"/>
      <c r="E3" s="3557"/>
    </row>
    <row r="4" spans="1:5" ht="19.5" thickBot="1">
      <c r="A4" s="1492"/>
      <c r="B4" s="3555" t="s">
        <v>917</v>
      </c>
      <c r="C4" s="3555"/>
      <c r="D4" s="3555"/>
      <c r="E4" s="1492"/>
    </row>
    <row r="5" spans="1:5" ht="16.5" thickTop="1">
      <c r="A5" s="1490"/>
      <c r="B5" s="3553" t="s">
        <v>909</v>
      </c>
      <c r="C5" s="1493" t="s">
        <v>910</v>
      </c>
      <c r="D5" s="849" t="e">
        <f ca="1">结果表!H101</f>
        <v>#REF!</v>
      </c>
      <c r="E5" s="1490"/>
    </row>
    <row r="6" spans="1:5" ht="15.75">
      <c r="A6" s="1490"/>
      <c r="B6" s="3553"/>
      <c r="C6" s="1493" t="s">
        <v>911</v>
      </c>
      <c r="D6" s="849" t="e">
        <f ca="1">NUMBERSTRING(INT(D5*10000),2)&amp;"元整"</f>
        <v>#REF!</v>
      </c>
      <c r="E6" s="1490"/>
    </row>
    <row r="7" spans="1:5" ht="15.75">
      <c r="A7" s="1490"/>
      <c r="B7" s="3558"/>
      <c r="C7" s="1494" t="s">
        <v>912</v>
      </c>
      <c r="D7" s="850" t="e">
        <f ca="1">结果表!H102</f>
        <v>#REF!</v>
      </c>
      <c r="E7" s="1490"/>
    </row>
    <row r="8" spans="1:5" ht="15.75">
      <c r="A8" s="1490"/>
      <c r="B8" s="3559" t="str">
        <f>结果表!E103</f>
        <v>2.估价师知悉的法定优先受偿款</v>
      </c>
      <c r="C8" s="1495" t="s">
        <v>913</v>
      </c>
      <c r="D8" s="850">
        <f>结果表!H103</f>
        <v>0</v>
      </c>
      <c r="E8" s="1490"/>
    </row>
    <row r="9" spans="1:5" ht="15.75">
      <c r="A9" s="1490"/>
      <c r="B9" s="356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2" t="str">
        <f>结果表!E107</f>
        <v>3.房地产抵押价值</v>
      </c>
      <c r="C13" s="1498" t="s">
        <v>910</v>
      </c>
      <c r="D13" s="852" t="e">
        <f ca="1">结果表!H107</f>
        <v>#REF!</v>
      </c>
      <c r="E13" s="1490"/>
    </row>
    <row r="14" spans="1:5" ht="15.75">
      <c r="A14" s="1490"/>
      <c r="B14" s="3553"/>
      <c r="C14" s="1493" t="s">
        <v>911</v>
      </c>
      <c r="D14" s="849" t="e">
        <f ca="1">NUMBERSTRING(INT(D13*10000),2)&amp;"元整"</f>
        <v>#REF!</v>
      </c>
      <c r="E14" s="1490"/>
    </row>
    <row r="15" spans="1:5" ht="15">
      <c r="A15" s="1490"/>
      <c r="B15" s="3558"/>
      <c r="C15" s="1494" t="s">
        <v>921</v>
      </c>
      <c r="D15" s="858" t="e">
        <f ca="1">结果表!H108</f>
        <v>#REF!</v>
      </c>
      <c r="E15" s="1490"/>
    </row>
    <row r="16" spans="1:5" ht="15">
      <c r="A16" s="1490"/>
      <c r="B16" s="3559" t="str">
        <f>结果表!E109</f>
        <v>——</v>
      </c>
      <c r="C16" s="1498" t="s">
        <v>922</v>
      </c>
      <c r="D16" s="1499" t="str">
        <f>结果表!H109</f>
        <v>——</v>
      </c>
      <c r="E16" s="1490"/>
    </row>
    <row r="17" spans="1:5" ht="15.75">
      <c r="A17" s="1490"/>
      <c r="B17" s="3560"/>
      <c r="C17" s="1493" t="s">
        <v>923</v>
      </c>
      <c r="D17" s="849" t="e">
        <f>NUMBERSTRING(INT(D16*10000),2)&amp;"元整"</f>
        <v>#VALUE!</v>
      </c>
      <c r="E17" s="1490"/>
    </row>
    <row r="18" spans="1:5" ht="15">
      <c r="A18" s="1490"/>
      <c r="B18" s="3561"/>
      <c r="C18" s="1494" t="s">
        <v>912</v>
      </c>
      <c r="D18" s="858" t="str">
        <f>结果表!H110</f>
        <v>——</v>
      </c>
      <c r="E18" s="1490"/>
    </row>
    <row r="19" spans="1:5" ht="15.75">
      <c r="A19" s="1490"/>
      <c r="B19" s="3552" t="str">
        <f>结果表!E111</f>
        <v>——</v>
      </c>
      <c r="C19" s="1498" t="s">
        <v>910</v>
      </c>
      <c r="D19" s="850" t="str">
        <f>结果表!H111</f>
        <v>——</v>
      </c>
      <c r="E19" s="1490"/>
    </row>
    <row r="20" spans="1:5" ht="15.75">
      <c r="A20" s="1490"/>
      <c r="B20" s="3553"/>
      <c r="C20" s="1493" t="s">
        <v>923</v>
      </c>
      <c r="D20" s="849" t="e">
        <f>NUMBERSTRING(INT(D19*10000),2)&amp;"元整"</f>
        <v>#VALUE!</v>
      </c>
      <c r="E20" s="1490"/>
    </row>
    <row r="21" spans="1:5" ht="15.75" thickBot="1">
      <c r="A21" s="1490"/>
      <c r="B21" s="355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2797</v>
      </c>
      <c r="B1" s="3126"/>
      <c r="C1" s="3126"/>
      <c r="D1" s="3126"/>
      <c r="E1" s="3126"/>
      <c r="F1" s="3126"/>
      <c r="G1" s="3126"/>
      <c r="H1" s="3126"/>
      <c r="I1" s="3126"/>
      <c r="J1" s="3126"/>
      <c r="K1" s="3126"/>
      <c r="L1" s="3126"/>
      <c r="M1" s="3126"/>
      <c r="N1" s="748"/>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49">
        <f>SUMPRODUCT((A95:A184=ROUNDDOWN(基准地价修正!G3,1))*(B94:M94=基准地价修正!G2)*(B95:M184))</f>
        <v>0</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49">
        <f>SUMPRODUCT((A371:A460=ROUNDDOWN(基准地价修正!G3,1))*(B370:M370=基准地价修正!G2)*(B371:M460))</f>
        <v>0</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32211</v>
      </c>
      <c r="C2" s="2" t="s">
        <v>106</v>
      </c>
      <c r="D2" s="199"/>
      <c r="E2" s="199"/>
      <c r="F2" s="199"/>
      <c r="G2" s="199"/>
    </row>
    <row r="3" spans="1:7" s="200" customFormat="1" ht="18" customHeight="1" thickBot="1">
      <c r="A3" s="203" t="s">
        <v>58</v>
      </c>
      <c r="B3" s="204">
        <f ca="1">ROUND(B2*10000/'数据-汇总表'!E3,0)</f>
        <v>51087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126</v>
      </c>
      <c r="D10" s="844">
        <f>'数据-汇总表'!E6</f>
        <v>6305.16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126</v>
      </c>
      <c r="D19" s="848">
        <f>'数据-汇总表'!E3</f>
        <v>6305.16</v>
      </c>
      <c r="E19" s="211">
        <f>'数据-取费表'!B31</f>
        <v>200</v>
      </c>
      <c r="F19" s="231"/>
      <c r="G19" s="1" t="s">
        <v>436</v>
      </c>
    </row>
    <row r="20" spans="1:7" s="214" customFormat="1" ht="13.5" customHeight="1">
      <c r="A20" s="776" t="s">
        <v>419</v>
      </c>
      <c r="B20" s="210" t="s">
        <v>77</v>
      </c>
      <c r="C20" s="232">
        <f>ROUND((C5+C19)*F20,0)</f>
        <v>622</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1337</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8</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3204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3204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3500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3153</v>
      </c>
      <c r="D34" s="217"/>
      <c r="E34" s="220"/>
      <c r="F34" s="257">
        <f>IF('数据-取费表'!B24=0,1,'数据-取费表'!N16)</f>
        <v>1</v>
      </c>
      <c r="G34" s="219" t="s">
        <v>89</v>
      </c>
    </row>
    <row r="35" spans="1:7" ht="13.5" customHeight="1">
      <c r="A35" s="779" t="s">
        <v>351</v>
      </c>
      <c r="B35" s="215" t="s">
        <v>33</v>
      </c>
      <c r="C35" s="220">
        <f>ROUND(C34*F35,0)</f>
        <v>158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126</v>
      </c>
      <c r="D37" s="217">
        <f>'数据-汇总表'!E3</f>
        <v>6305.16</v>
      </c>
      <c r="E37" s="249">
        <f>'数据-取费表'!B35</f>
        <v>200</v>
      </c>
      <c r="F37" s="259"/>
      <c r="G37" s="261" t="s">
        <v>92</v>
      </c>
    </row>
    <row r="38" spans="1:7" ht="13.5" customHeight="1">
      <c r="A38" s="779" t="s">
        <v>354</v>
      </c>
      <c r="B38" s="215" t="s">
        <v>36</v>
      </c>
      <c r="C38" s="220">
        <f>ROUND(C34*F38,0)</f>
        <v>63</v>
      </c>
      <c r="D38" s="220"/>
      <c r="E38" s="220"/>
      <c r="F38" s="259">
        <f>'数据-取费表'!B36</f>
        <v>0.02</v>
      </c>
      <c r="G38" s="219" t="s">
        <v>90</v>
      </c>
    </row>
    <row r="39" spans="1:7" s="214" customFormat="1" ht="13.5" customHeight="1">
      <c r="A39" s="776" t="s">
        <v>338</v>
      </c>
      <c r="B39" s="210" t="s">
        <v>77</v>
      </c>
      <c r="C39" s="232">
        <f>ROUND(C33*F20,0)</f>
        <v>105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113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110</v>
      </c>
      <c r="D42" s="238"/>
      <c r="E42" s="238"/>
      <c r="F42" s="239"/>
      <c r="G42" s="3734" t="s">
        <v>94</v>
      </c>
    </row>
    <row r="43" spans="1:7" ht="13.5" customHeight="1">
      <c r="A43" s="779" t="s">
        <v>347</v>
      </c>
      <c r="B43" s="215" t="s">
        <v>426</v>
      </c>
      <c r="C43" s="238">
        <f ca="1">ROUND(IF('数据-取费表'!B22&lt;=1,C39*F22*'数据-取费表'!B21/2,C39*(POWER((1+F22),'数据-取费表'!B21/2)-1)),0)</f>
        <v>3</v>
      </c>
      <c r="D43" s="238"/>
      <c r="E43" s="238"/>
      <c r="F43" s="239"/>
      <c r="G43" s="3735"/>
    </row>
    <row r="44" spans="1:7" ht="13.5" customHeight="1">
      <c r="A44" s="779" t="s">
        <v>348</v>
      </c>
      <c r="B44" s="215" t="s">
        <v>428</v>
      </c>
      <c r="C44" s="238">
        <f ca="1">ROUND(IF('数据-取费表'!B22&lt;=1,C40*F22*'数据-取费表'!B21/2,C40*(POWER((1+F22),'数据-取费表'!B21/2)-1)),4)</f>
        <v>5.9999999999999995E-4</v>
      </c>
      <c r="D44" s="238"/>
      <c r="E44" s="238"/>
      <c r="F44" s="239"/>
      <c r="G44" s="3736"/>
    </row>
    <row r="45" spans="1:7" s="214" customFormat="1" ht="13.5" customHeight="1">
      <c r="A45" s="776" t="s">
        <v>341</v>
      </c>
      <c r="B45" s="244" t="s">
        <v>85</v>
      </c>
      <c r="C45" s="245">
        <f>C46</f>
        <v>541</v>
      </c>
      <c r="D45" s="235">
        <f>C47</f>
        <v>3.0000000000000001E-3</v>
      </c>
      <c r="E45" s="236" t="s">
        <v>102</v>
      </c>
      <c r="F45" s="246"/>
      <c r="G45" s="247" t="s">
        <v>434</v>
      </c>
    </row>
    <row r="46" spans="1:7" s="214" customFormat="1" ht="13.5" customHeight="1">
      <c r="A46" s="779" t="s">
        <v>349</v>
      </c>
      <c r="B46" s="248" t="s">
        <v>427</v>
      </c>
      <c r="C46" s="249">
        <f>ROUND((C33+C39)*F27,0)</f>
        <v>541</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4614</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4153</v>
      </c>
      <c r="D51" s="232"/>
      <c r="E51" s="232"/>
      <c r="F51" s="264"/>
      <c r="G51" s="234" t="s">
        <v>37</v>
      </c>
    </row>
    <row r="52" spans="1:7" s="208" customFormat="1" ht="16.5" thickBot="1">
      <c r="A52" s="265" t="s">
        <v>38</v>
      </c>
      <c r="B52" s="266"/>
      <c r="C52" s="267">
        <f ca="1">C31+C51</f>
        <v>32211</v>
      </c>
      <c r="D52" s="266"/>
      <c r="E52" s="266"/>
      <c r="F52" s="266"/>
      <c r="G52" s="268"/>
    </row>
    <row r="55" spans="1:7" ht="15">
      <c r="B55" s="270" t="s">
        <v>39</v>
      </c>
      <c r="C55" s="271"/>
    </row>
    <row r="56" spans="1:7">
      <c r="B56" s="273" t="s">
        <v>40</v>
      </c>
      <c r="C56" s="274">
        <f ca="1">ROUND(C51/C52,3)</f>
        <v>0.129</v>
      </c>
    </row>
    <row r="57" spans="1:7">
      <c r="B57" s="273" t="s">
        <v>41</v>
      </c>
      <c r="C57" s="275">
        <f ca="1">1-C56</f>
        <v>0.871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26" t="s">
        <v>3180</v>
      </c>
      <c r="B1" s="3926"/>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927" t="s">
        <v>3231</v>
      </c>
      <c r="B1" s="3927"/>
      <c r="C1" s="3927"/>
      <c r="D1" s="3927"/>
      <c r="E1" s="3927"/>
      <c r="F1" s="3928"/>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45909</v>
      </c>
      <c r="B1" s="3209" t="s">
        <v>3375</v>
      </c>
      <c r="C1" s="3210"/>
      <c r="D1" s="3210"/>
      <c r="E1" s="3210"/>
      <c r="F1" s="3210"/>
      <c r="G1" s="3210"/>
      <c r="H1" s="3210"/>
      <c r="I1" s="3210"/>
      <c r="J1" s="3164"/>
      <c r="K1" s="3210" t="s">
        <v>454</v>
      </c>
      <c r="L1" s="3210"/>
      <c r="M1" s="3210"/>
      <c r="N1" s="3210"/>
      <c r="O1" s="3210"/>
      <c r="P1" s="3210"/>
      <c r="Q1" s="3164"/>
      <c r="R1" s="3929" t="s">
        <v>456</v>
      </c>
      <c r="S1" s="3930"/>
      <c r="T1" s="3930"/>
      <c r="U1" s="3930"/>
      <c r="V1" s="3930"/>
      <c r="W1" s="3930"/>
      <c r="X1" s="3164"/>
      <c r="Y1" s="3929" t="s">
        <v>457</v>
      </c>
      <c r="Z1" s="3930"/>
      <c r="AA1" s="3930"/>
      <c r="AB1" s="3930"/>
      <c r="AC1" s="3930"/>
      <c r="AD1" s="3930"/>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3402</v>
      </c>
      <c r="AG2" t="s">
        <v>673</v>
      </c>
      <c r="AH2" t="s">
        <v>21</v>
      </c>
      <c r="AI2" t="s">
        <v>3403</v>
      </c>
      <c r="AJ2" t="s">
        <v>3</v>
      </c>
      <c r="AK2" t="s">
        <v>3404</v>
      </c>
      <c r="AM2" t="s">
        <v>3402</v>
      </c>
      <c r="AN2" t="s">
        <v>673</v>
      </c>
      <c r="AO2" t="s">
        <v>21</v>
      </c>
      <c r="AP2" t="s">
        <v>3403</v>
      </c>
      <c r="AQ2" t="s">
        <v>3</v>
      </c>
      <c r="AR2" t="s">
        <v>3404</v>
      </c>
    </row>
    <row r="3" spans="1:44" s="3160" customFormat="1" ht="12.75">
      <c r="A3" s="3148" t="s">
        <v>2818</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3401</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3400</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3399</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3407</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3406</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929" t="s">
        <v>2826</v>
      </c>
      <c r="S29" s="3930"/>
      <c r="T29" s="3930"/>
      <c r="U29" s="3930"/>
      <c r="V29" s="3930"/>
      <c r="W29" s="3930"/>
      <c r="X29" s="3164"/>
      <c r="Y29" s="3929" t="s">
        <v>2827</v>
      </c>
      <c r="Z29" s="3930"/>
      <c r="AA29" s="3930"/>
      <c r="AB29" s="3930"/>
      <c r="AC29" s="3930"/>
      <c r="AD29" s="3930"/>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3403</v>
      </c>
      <c r="AJ30"/>
      <c r="AK30" t="s">
        <v>3404</v>
      </c>
      <c r="AN30" t="s">
        <v>673</v>
      </c>
      <c r="AO30" t="s">
        <v>21</v>
      </c>
      <c r="AP30" t="s">
        <v>3403</v>
      </c>
      <c r="AQ30"/>
      <c r="AR30" t="s">
        <v>3404</v>
      </c>
    </row>
    <row r="31" spans="1:44" s="3160" customFormat="1" ht="12.75">
      <c r="A31" s="3148" t="s">
        <v>2833</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3401</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3400</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3408</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3405</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3406</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36" t="s">
        <v>452</v>
      </c>
      <c r="C1" s="3936"/>
      <c r="D1" s="3936"/>
      <c r="E1" s="3936"/>
      <c r="F1" s="3936"/>
      <c r="G1" s="3935" t="s">
        <v>453</v>
      </c>
      <c r="H1" s="3935"/>
      <c r="I1" s="3935"/>
      <c r="J1" s="3935"/>
      <c r="K1" s="3935"/>
      <c r="L1" s="3935"/>
      <c r="N1" s="3935" t="s">
        <v>454</v>
      </c>
      <c r="O1" s="3935"/>
      <c r="P1" s="3935"/>
      <c r="Q1" s="3935"/>
      <c r="S1" s="3935" t="s">
        <v>455</v>
      </c>
      <c r="T1" s="3935"/>
      <c r="U1" s="3935"/>
      <c r="V1" s="3935"/>
      <c r="X1" s="3934" t="s">
        <v>456</v>
      </c>
      <c r="Y1" s="3935"/>
      <c r="Z1" s="3935"/>
      <c r="AA1" s="3935"/>
      <c r="AB1" s="3935"/>
      <c r="AD1" s="3934" t="s">
        <v>457</v>
      </c>
      <c r="AE1" s="3935"/>
      <c r="AF1" s="3935"/>
      <c r="AG1" s="3935"/>
      <c r="AH1" s="393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3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3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3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3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3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3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3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3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3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3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3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3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3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3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3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3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3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3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3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3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3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3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3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3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3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3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3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3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3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3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3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3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3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3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3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3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3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3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3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3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3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3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3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3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3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3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3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3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3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3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3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3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3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3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3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3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3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3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3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3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944" t="s">
        <v>2838</v>
      </c>
      <c r="B1" s="3944"/>
      <c r="C1" s="3944"/>
      <c r="D1" s="3944"/>
      <c r="E1" s="3944"/>
      <c r="F1" s="3944"/>
      <c r="G1" s="3945"/>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942"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943"/>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45909</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3" workbookViewId="0">
      <selection activeCell="A361" sqref="A36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P129"/>
  <sheetViews>
    <sheetView topLeftCell="A115" workbookViewId="0">
      <selection activeCell="R131" sqref="R131"/>
    </sheetView>
  </sheetViews>
  <sheetFormatPr defaultRowHeight="13.5"/>
  <sheetData>
    <row r="9" spans="14:15">
      <c r="N9" s="3550" t="s">
        <v>3614</v>
      </c>
      <c r="O9">
        <f>30/30</f>
        <v>1</v>
      </c>
    </row>
    <row r="10" spans="14:15">
      <c r="N10">
        <f>19.17-O9</f>
        <v>18.170000000000002</v>
      </c>
    </row>
    <row r="32" spans="14:15">
      <c r="N32" s="3550" t="s">
        <v>3613</v>
      </c>
      <c r="O32">
        <f>34/30</f>
        <v>1.1333333333333333</v>
      </c>
    </row>
    <row r="33" spans="14:14">
      <c r="N33">
        <f>19.2-O32</f>
        <v>18.066666666666666</v>
      </c>
    </row>
    <row r="54" spans="14:15">
      <c r="N54" s="3550" t="s">
        <v>3613</v>
      </c>
      <c r="O54">
        <f>34/30</f>
        <v>1.1333333333333333</v>
      </c>
    </row>
    <row r="55" spans="14:15">
      <c r="N55">
        <f>22.48-O54</f>
        <v>21.346666666666668</v>
      </c>
    </row>
    <row r="74" spans="14:15">
      <c r="N74" s="3550" t="s">
        <v>3612</v>
      </c>
      <c r="O74">
        <f>35/30</f>
        <v>1.1666666666666667</v>
      </c>
    </row>
    <row r="76" spans="14:15">
      <c r="N76">
        <f>17.62-O74</f>
        <v>16.453333333333333</v>
      </c>
    </row>
    <row r="127" spans="15:16">
      <c r="O127" s="3550" t="s">
        <v>3618</v>
      </c>
      <c r="P127">
        <f>30/30</f>
        <v>1</v>
      </c>
    </row>
    <row r="129" spans="15:15">
      <c r="O129">
        <f>17.34-P127</f>
        <v>16.34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69" t="str">
        <f>IF(项目基本情况!B9="房地产市场价值","估价结果一览表","结果表-2")</f>
        <v>估价结果一览表</v>
      </c>
      <c r="B1" s="3569"/>
      <c r="C1" s="3569"/>
      <c r="D1" s="3569"/>
      <c r="E1" s="3569"/>
      <c r="F1" s="3569"/>
      <c r="G1" s="3569"/>
      <c r="H1" s="3569"/>
      <c r="I1" s="3569"/>
    </row>
    <row r="2" spans="1:9" ht="30" customHeight="1" thickTop="1">
      <c r="A2" s="3570" t="s">
        <v>928</v>
      </c>
      <c r="B2" s="3570" t="s">
        <v>929</v>
      </c>
      <c r="C2" s="3570" t="s">
        <v>930</v>
      </c>
      <c r="D2" s="3570" t="str">
        <f>结果表!D116</f>
        <v>出让国有建设用地使用权价值</v>
      </c>
      <c r="E2" s="3570"/>
      <c r="F2" s="3570" t="str">
        <f>结果表!F116</f>
        <v>在建建筑物价值</v>
      </c>
      <c r="G2" s="3570"/>
      <c r="H2" s="3570" t="str">
        <f>IF(项目基本情况!B9="房地产市场价值","房地产市场价值","房地产价值")</f>
        <v>房地产市场价值</v>
      </c>
      <c r="I2" s="3570"/>
    </row>
    <row r="3" spans="1:9" ht="15">
      <c r="A3" s="3565"/>
      <c r="B3" s="3565"/>
      <c r="C3" s="3565"/>
      <c r="D3" s="853" t="s">
        <v>925</v>
      </c>
      <c r="E3" s="853" t="s">
        <v>931</v>
      </c>
      <c r="F3" s="853" t="s">
        <v>925</v>
      </c>
      <c r="G3" s="853" t="s">
        <v>926</v>
      </c>
      <c r="H3" s="853" t="s">
        <v>925</v>
      </c>
      <c r="I3" s="853" t="s">
        <v>926</v>
      </c>
    </row>
    <row r="4" spans="1:9" ht="45">
      <c r="A4" s="1504" t="str">
        <f>项目基本情况!S2</f>
        <v>北京市西城区金融大街6号楼2层201、5层501、6层601共3套办公用房房地产</v>
      </c>
      <c r="B4" s="853">
        <f>项目基本情况!C17</f>
        <v>6305.16</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65" t="s">
        <v>927</v>
      </c>
      <c r="B5" s="3565"/>
      <c r="C5" s="3565"/>
      <c r="D5" s="3565" t="e">
        <f ca="1">结果表!D119</f>
        <v>#REF!</v>
      </c>
      <c r="E5" s="3565"/>
      <c r="F5" s="3565" t="e">
        <f ca="1">结果表!F119</f>
        <v>#REF!</v>
      </c>
      <c r="G5" s="3565"/>
      <c r="H5" s="3565" t="e">
        <f ca="1">结果表!H119</f>
        <v>#REF!</v>
      </c>
      <c r="I5" s="3565"/>
    </row>
    <row r="6" spans="1:9" ht="15.75">
      <c r="A6" s="3564" t="str">
        <f>结果表!A120</f>
        <v/>
      </c>
      <c r="B6" s="3564"/>
      <c r="C6" s="3564"/>
      <c r="D6" s="3564">
        <f>结果表!D120</f>
        <v>0</v>
      </c>
      <c r="E6" s="3564"/>
      <c r="F6" s="3564"/>
      <c r="G6" s="3564"/>
      <c r="H6" s="3564"/>
      <c r="I6" s="3564"/>
    </row>
    <row r="7" spans="1:9" ht="15">
      <c r="A7" s="3565" t="s">
        <v>927</v>
      </c>
      <c r="B7" s="3565"/>
      <c r="C7" s="3565"/>
      <c r="D7" s="3566" t="str">
        <f>结果表!D121</f>
        <v>零元整</v>
      </c>
      <c r="E7" s="3567"/>
      <c r="F7" s="3567"/>
      <c r="G7" s="3567"/>
      <c r="H7" s="3567"/>
      <c r="I7" s="3568"/>
    </row>
    <row r="8" spans="1:9" ht="15.75">
      <c r="A8" s="3564" t="str">
        <f>结果表!A122</f>
        <v/>
      </c>
      <c r="B8" s="3564"/>
      <c r="C8" s="3564"/>
      <c r="D8" s="3564" t="e">
        <f ca="1">结果表!D122</f>
        <v>#REF!</v>
      </c>
      <c r="E8" s="3564"/>
      <c r="F8" s="3564"/>
      <c r="G8" s="3564"/>
      <c r="H8" s="3564"/>
      <c r="I8" s="3564"/>
    </row>
    <row r="9" spans="1:9" ht="15">
      <c r="A9" s="3565" t="s">
        <v>927</v>
      </c>
      <c r="B9" s="3565"/>
      <c r="C9" s="3565"/>
      <c r="D9" s="3565" t="e">
        <f ca="1">结果表!D123</f>
        <v>#REF!</v>
      </c>
      <c r="E9" s="3565"/>
      <c r="F9" s="3565"/>
      <c r="G9" s="3565"/>
      <c r="H9" s="3565"/>
      <c r="I9" s="3565"/>
    </row>
    <row r="10" spans="1:9" ht="15.75">
      <c r="A10" s="3564" t="str">
        <f>结果表!A124</f>
        <v/>
      </c>
      <c r="B10" s="3564"/>
      <c r="C10" s="3564"/>
      <c r="D10" s="3564" t="str">
        <f>结果表!D124</f>
        <v>——</v>
      </c>
      <c r="E10" s="3564"/>
      <c r="F10" s="3564"/>
      <c r="G10" s="3564"/>
      <c r="H10" s="3564"/>
      <c r="I10" s="3564"/>
    </row>
    <row r="11" spans="1:9" ht="15">
      <c r="A11" s="3565" t="s">
        <v>927</v>
      </c>
      <c r="B11" s="3565"/>
      <c r="C11" s="3565"/>
      <c r="D11" s="3565" t="e">
        <f>结果表!D125</f>
        <v>#VALUE!</v>
      </c>
      <c r="E11" s="3565"/>
      <c r="F11" s="3565"/>
      <c r="G11" s="3565"/>
      <c r="H11" s="3565"/>
      <c r="I11" s="3565"/>
    </row>
    <row r="12" spans="1:9" ht="15.75">
      <c r="A12" s="3564" t="str">
        <f>结果表!A126</f>
        <v/>
      </c>
      <c r="B12" s="3564"/>
      <c r="C12" s="3564"/>
      <c r="D12" s="3564" t="str">
        <f>结果表!D126</f>
        <v>——</v>
      </c>
      <c r="E12" s="3564"/>
      <c r="F12" s="3564"/>
      <c r="G12" s="3564"/>
      <c r="H12" s="3564"/>
      <c r="I12" s="3564"/>
    </row>
    <row r="13" spans="1:9" ht="15.75" thickBot="1">
      <c r="A13" s="3562" t="s">
        <v>927</v>
      </c>
      <c r="B13" s="3562"/>
      <c r="C13" s="3562"/>
      <c r="D13" s="3562" t="e">
        <f>结果表!D127</f>
        <v>#VALUE!</v>
      </c>
      <c r="E13" s="3562"/>
      <c r="F13" s="3562"/>
      <c r="G13" s="3562"/>
      <c r="H13" s="3562"/>
      <c r="I13" s="3562"/>
    </row>
    <row r="14" spans="1:9" ht="15" thickTop="1">
      <c r="A14" s="3563" t="s">
        <v>932</v>
      </c>
      <c r="B14" s="3563"/>
      <c r="C14" s="3563"/>
      <c r="D14" s="3563"/>
      <c r="E14" s="3563"/>
      <c r="F14" s="3563"/>
      <c r="G14" s="3563"/>
      <c r="H14" s="3563"/>
      <c r="I14" s="356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C48"/>
  <sheetViews>
    <sheetView topLeftCell="A25" workbookViewId="0">
      <selection activeCell="B37" sqref="B37:D49"/>
    </sheetView>
  </sheetViews>
  <sheetFormatPr defaultRowHeight="13.5"/>
  <sheetData>
    <row r="37" spans="2:3">
      <c r="B37">
        <v>2</v>
      </c>
      <c r="C37">
        <f>1369.88+1514.6+6.4</f>
        <v>2890.88</v>
      </c>
    </row>
    <row r="38" spans="2:3">
      <c r="B38">
        <v>3</v>
      </c>
      <c r="C38">
        <f t="shared" ref="C38:C44" si="0">2467.64+2871.9+8.45</f>
        <v>5347.99</v>
      </c>
    </row>
    <row r="39" spans="2:3">
      <c r="B39">
        <v>4</v>
      </c>
      <c r="C39">
        <f t="shared" si="0"/>
        <v>5347.99</v>
      </c>
    </row>
    <row r="40" spans="2:3">
      <c r="B40">
        <v>5</v>
      </c>
      <c r="C40">
        <f t="shared" si="0"/>
        <v>5347.99</v>
      </c>
    </row>
    <row r="41" spans="2:3">
      <c r="B41">
        <v>6</v>
      </c>
      <c r="C41">
        <f t="shared" si="0"/>
        <v>5347.99</v>
      </c>
    </row>
    <row r="42" spans="2:3">
      <c r="B42">
        <v>7</v>
      </c>
      <c r="C42">
        <f t="shared" si="0"/>
        <v>5347.99</v>
      </c>
    </row>
    <row r="43" spans="2:3">
      <c r="B43">
        <v>8</v>
      </c>
      <c r="C43">
        <f t="shared" si="0"/>
        <v>5347.99</v>
      </c>
    </row>
    <row r="44" spans="2:3">
      <c r="B44">
        <v>9</v>
      </c>
      <c r="C44">
        <f t="shared" si="0"/>
        <v>5347.99</v>
      </c>
    </row>
    <row r="45" spans="2:3">
      <c r="B45">
        <v>10</v>
      </c>
      <c r="C45">
        <v>3007.87</v>
      </c>
    </row>
    <row r="46" spans="2:3">
      <c r="B46">
        <v>11</v>
      </c>
      <c r="C46">
        <v>3006.49</v>
      </c>
    </row>
    <row r="47" spans="2:3">
      <c r="B47">
        <v>12</v>
      </c>
      <c r="C47">
        <v>3376.22</v>
      </c>
    </row>
    <row r="48" spans="2:3">
      <c r="B48">
        <v>13</v>
      </c>
      <c r="C48">
        <v>3376.22</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77" t="s">
        <v>949</v>
      </c>
      <c r="B1" s="3577"/>
      <c r="C1" s="3577"/>
      <c r="D1" s="3577"/>
    </row>
    <row r="2" spans="1:4" ht="18">
      <c r="A2" s="3578" t="s">
        <v>933</v>
      </c>
      <c r="B2" s="3578"/>
      <c r="C2" s="3578"/>
      <c r="D2" s="3578"/>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78" t="s">
        <v>939</v>
      </c>
      <c r="B6" s="3578"/>
      <c r="C6" s="3578"/>
      <c r="D6" s="357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79" t="s">
        <v>942</v>
      </c>
      <c r="B11" s="3571"/>
      <c r="C11" s="3571"/>
      <c r="D11" s="3571"/>
    </row>
    <row r="12" spans="1:4" ht="15.75">
      <c r="A12" s="35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6"/>
      <c r="C12" s="3576"/>
      <c r="D12" s="3576"/>
    </row>
    <row r="13" spans="1:4" ht="30" customHeight="1">
      <c r="A13" s="35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6"/>
      <c r="C13" s="3576"/>
      <c r="D13" s="3576"/>
    </row>
    <row r="14" spans="1:4" ht="15.75" customHeight="1">
      <c r="A14" s="3571" t="str">
        <f>IF(项目基本情况!B8="抵押","4.本次评估估价师所知悉的法定优先受偿款情况说明如下：","——")</f>
        <v>4.本次评估估价师所知悉的法定优先受偿款情况说明如下：</v>
      </c>
      <c r="B14" s="3576"/>
      <c r="C14" s="3576"/>
      <c r="D14" s="3576"/>
    </row>
    <row r="15" spans="1:4" ht="42" customHeight="1">
      <c r="A15" s="35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1"/>
      <c r="C15" s="3571"/>
      <c r="D15" s="3571"/>
    </row>
    <row r="16" spans="1:4" ht="30" customHeight="1">
      <c r="A16" s="3573" t="s">
        <v>943</v>
      </c>
      <c r="B16" s="3573"/>
      <c r="C16" s="3573"/>
      <c r="D16" s="3573"/>
    </row>
    <row r="17" spans="1:4" ht="144" customHeight="1">
      <c r="A17" s="3573" t="s">
        <v>944</v>
      </c>
      <c r="B17" s="3573"/>
      <c r="C17" s="3573"/>
      <c r="D17" s="3573"/>
    </row>
    <row r="18" spans="1:4" ht="15.75" customHeight="1">
      <c r="A18" s="3571" t="str">
        <f>IF(项目基本情况!B8="抵押",结果表!K120,"——")</f>
        <v>故，本次评估不存在</v>
      </c>
      <c r="B18" s="3571"/>
      <c r="C18" s="3571"/>
      <c r="D18" s="3571"/>
    </row>
    <row r="19" spans="1:4" ht="46.5" customHeight="1">
      <c r="A19" s="35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spans="1:4" ht="57.75" customHeight="1">
      <c r="A20" s="35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1"/>
      <c r="C20" s="3571"/>
      <c r="D20" s="3571"/>
    </row>
    <row r="21" spans="1:4" ht="57.75" customHeight="1">
      <c r="A21" s="35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4"/>
      <c r="C21" s="3574"/>
      <c r="D21" s="3574"/>
    </row>
    <row r="22" spans="1:4" ht="18.75" customHeight="1">
      <c r="A22" s="3575" t="s">
        <v>945</v>
      </c>
      <c r="B22" s="3575"/>
      <c r="C22" s="3575"/>
      <c r="D22" s="357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2">
        <v>42551</v>
      </c>
      <c r="D31" s="35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85" t="s">
        <v>956</v>
      </c>
      <c r="B15" s="3580" t="s">
        <v>109</v>
      </c>
      <c r="C15" s="3581"/>
    </row>
    <row r="16" spans="1:7" ht="13.5">
      <c r="A16" s="3586"/>
      <c r="B16" s="3580" t="s">
        <v>42</v>
      </c>
      <c r="C16" s="3581"/>
    </row>
    <row r="17" spans="1:3" ht="13.5">
      <c r="A17" s="3586"/>
      <c r="B17" s="3583" t="s">
        <v>957</v>
      </c>
      <c r="C17" s="1531" t="s">
        <v>956</v>
      </c>
    </row>
    <row r="18" spans="1:3" ht="13.5">
      <c r="A18" s="3586"/>
      <c r="B18" s="3583"/>
      <c r="C18" s="1531" t="s">
        <v>958</v>
      </c>
    </row>
    <row r="19" spans="1:3" ht="13.5">
      <c r="A19" s="3586"/>
      <c r="B19" s="3583"/>
      <c r="C19" s="1531" t="s">
        <v>959</v>
      </c>
    </row>
    <row r="20" spans="1:3" ht="13.5">
      <c r="A20" s="3587"/>
      <c r="B20" s="3582" t="s">
        <v>960</v>
      </c>
      <c r="C20" s="3581"/>
    </row>
    <row r="21" spans="1:3" ht="13.5">
      <c r="A21" s="1532" t="s">
        <v>961</v>
      </c>
      <c r="B21" s="1533"/>
      <c r="C21" s="1534"/>
    </row>
    <row r="22" spans="1:3" ht="13.5">
      <c r="A22" s="3584" t="s">
        <v>962</v>
      </c>
      <c r="B22" s="3582" t="s">
        <v>963</v>
      </c>
      <c r="C22" s="3581"/>
    </row>
    <row r="23" spans="1:3" ht="13.5">
      <c r="A23" s="3584"/>
      <c r="B23" s="3582" t="s">
        <v>964</v>
      </c>
      <c r="C23" s="3581"/>
    </row>
    <row r="24" spans="1:3" ht="13.5">
      <c r="A24" s="3584"/>
      <c r="B24" s="3582" t="s">
        <v>965</v>
      </c>
      <c r="C24" s="3581"/>
    </row>
    <row r="25" spans="1:3" ht="13.5">
      <c r="A25" s="3584"/>
      <c r="B25" s="3583" t="s">
        <v>966</v>
      </c>
      <c r="C25" s="1531" t="s">
        <v>967</v>
      </c>
    </row>
    <row r="26" spans="1:3" ht="13.5">
      <c r="A26" s="3584"/>
      <c r="B26" s="3583"/>
      <c r="C26" s="1531" t="s">
        <v>968</v>
      </c>
    </row>
    <row r="27" spans="1:3" ht="13.5">
      <c r="A27" s="3584"/>
      <c r="B27" s="3583"/>
      <c r="C27" s="1531" t="s">
        <v>969</v>
      </c>
    </row>
    <row r="28" spans="1:3" ht="13.5">
      <c r="A28" s="3584"/>
      <c r="B28" s="3583"/>
      <c r="C28" s="1531" t="s">
        <v>970</v>
      </c>
    </row>
    <row r="29" spans="1:3" ht="13.5">
      <c r="A29" s="3584"/>
      <c r="B29" s="3583"/>
      <c r="C29" s="1531" t="s">
        <v>971</v>
      </c>
    </row>
    <row r="30" spans="1:3" ht="13.5">
      <c r="A30" s="3584"/>
      <c r="B30" s="3583"/>
      <c r="C30" s="1531" t="s">
        <v>972</v>
      </c>
    </row>
    <row r="31" spans="1:3" ht="13.5">
      <c r="A31" s="3584"/>
      <c r="B31" s="3583"/>
      <c r="C31" s="1531" t="s">
        <v>973</v>
      </c>
    </row>
    <row r="32" spans="1:3" ht="13.5">
      <c r="A32" s="3584"/>
      <c r="B32" s="3583"/>
      <c r="C32" s="1531" t="s">
        <v>974</v>
      </c>
    </row>
    <row r="33" spans="1:3" ht="13.5">
      <c r="A33" s="3584"/>
      <c r="B33" s="35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45910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88" t="s">
        <v>2159</v>
      </c>
      <c r="B17" s="3588"/>
      <c r="C17" s="3588"/>
      <c r="D17" s="3588"/>
      <c r="E17" s="3588"/>
      <c r="F17" s="3588"/>
      <c r="G17" s="3588"/>
      <c r="H17" s="3588"/>
    </row>
    <row r="18" spans="1:8" ht="24" customHeight="1">
      <c r="A18" s="3589" t="s">
        <v>2160</v>
      </c>
      <c r="B18" s="3589"/>
      <c r="C18" s="3589"/>
      <c r="D18" s="2342"/>
      <c r="E18" s="3590" t="s">
        <v>2161</v>
      </c>
      <c r="F18" s="3589"/>
      <c r="G18" s="358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172</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比较法-售价办公</vt:lpstr>
      <vt:lpstr>比较法-工业</vt:lpstr>
      <vt:lpstr>比较法-车位</vt:lpstr>
      <vt:lpstr>比较法-仓储</vt:lpstr>
      <vt:lpstr>土地比较法-住宅、综合</vt:lpstr>
      <vt:lpstr>土地比较法-工业</vt:lpstr>
      <vt:lpstr>比较法-租金</vt:lpstr>
      <vt:lpstr>收益法倒推-办公</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Sheet1</vt:lpstr>
      <vt:lpstr>'比较法-仓储'!Print_Area</vt:lpstr>
      <vt:lpstr>'比较法-车位'!Print_Area</vt:lpstr>
      <vt:lpstr>'比较法-工业'!Print_Area</vt:lpstr>
      <vt:lpstr>'比较法-商业'!Print_Area</vt:lpstr>
      <vt:lpstr>'比较法-售价办公'!Print_Area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2025-09-10T02:30:29Z</dcterms:modified>
</cp:coreProperties>
</file>